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DROM\"/>
    </mc:Choice>
  </mc:AlternateContent>
  <bookViews>
    <workbookView xWindow="0" yWindow="0" windowWidth="25200" windowHeight="11412" tabRatio="724" firstSheet="2" activeTab="9"/>
  </bookViews>
  <sheets>
    <sheet name="Pour Enerdata" sheetId="1" state="hidden" r:id="rId1"/>
    <sheet name="DESCRIPTION" sheetId="15" r:id="rId2"/>
    <sheet name="Bilan d'énergie" sheetId="12" r:id="rId3"/>
    <sheet name="Cadrage macroéconomique " sheetId="2" r:id="rId4"/>
    <sheet name="Prod Energie" sheetId="4" r:id="rId5"/>
    <sheet name="Transports" sheetId="5" r:id="rId6"/>
    <sheet name="Industrie" sheetId="6" r:id="rId7"/>
    <sheet name="Résidentiel-tertiaire" sheetId="7" r:id="rId8"/>
    <sheet name="Agriculture" sheetId="8" r:id="rId9"/>
    <sheet name="UTCATF" sheetId="9" r:id="rId10"/>
    <sheet name="Déchets" sheetId="10" r:id="rId11"/>
    <sheet name="GES" sheetId="3" r:id="rId12"/>
    <sheet name="Bilan d'énergie SDES historique" sheetId="11" r:id="rId13"/>
  </sheets>
  <externalReferences>
    <externalReference r:id="rId14"/>
    <externalReference r:id="rId15"/>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N293" i="12" l="1"/>
  <c r="Y38" i="8" l="1"/>
  <c r="V38" i="8"/>
  <c r="S38" i="8"/>
  <c r="P38" i="8"/>
  <c r="M38" i="8"/>
  <c r="J38" i="8"/>
  <c r="G38" i="8"/>
  <c r="AH282" i="12"/>
  <c r="AF282" i="12"/>
  <c r="AE282" i="12"/>
  <c r="AD282" i="12"/>
  <c r="AC282" i="12"/>
  <c r="AB282" i="12"/>
  <c r="Y282" i="12"/>
  <c r="W282" i="12"/>
  <c r="AH241" i="12"/>
  <c r="AF241" i="12"/>
  <c r="AE241" i="12"/>
  <c r="AD241" i="12"/>
  <c r="AC241" i="12"/>
  <c r="AB241" i="12"/>
  <c r="Y241" i="12"/>
  <c r="W241" i="12"/>
  <c r="AH200" i="12"/>
  <c r="AF200" i="12"/>
  <c r="AE200" i="12"/>
  <c r="AD200" i="12"/>
  <c r="AC200" i="12"/>
  <c r="AB200" i="12"/>
  <c r="Y200" i="12"/>
  <c r="W200" i="12"/>
  <c r="AH159" i="12"/>
  <c r="AF159" i="12"/>
  <c r="AE159" i="12"/>
  <c r="AD159" i="12"/>
  <c r="AC159" i="12"/>
  <c r="AB159" i="12"/>
  <c r="Y159" i="12"/>
  <c r="W159" i="12"/>
  <c r="AH118" i="12"/>
  <c r="AF118" i="12"/>
  <c r="AE118" i="12"/>
  <c r="AD118" i="12"/>
  <c r="AC118" i="12"/>
  <c r="AB118" i="12"/>
  <c r="Y118" i="12"/>
  <c r="W118" i="12"/>
  <c r="AH77" i="12"/>
  <c r="AF77" i="12"/>
  <c r="AE77" i="12"/>
  <c r="AD77" i="12"/>
  <c r="AC77" i="12"/>
  <c r="AB77" i="12"/>
  <c r="Y77" i="12"/>
  <c r="W77" i="12"/>
  <c r="C77" i="12"/>
  <c r="E312" i="12" l="1"/>
  <c r="I17" i="10" l="1"/>
  <c r="H17" i="10"/>
  <c r="G17" i="10"/>
  <c r="F17" i="10"/>
  <c r="E17" i="10"/>
  <c r="D17" i="10"/>
  <c r="C17" i="10"/>
  <c r="B30" i="10" l="1"/>
  <c r="G6" i="10"/>
  <c r="H6" i="10"/>
  <c r="I6" i="10"/>
  <c r="J6" i="10"/>
  <c r="K6" i="10"/>
  <c r="I59" i="4" l="1"/>
  <c r="I58" i="4"/>
  <c r="H59" i="4"/>
  <c r="H58" i="4"/>
  <c r="G59" i="4"/>
  <c r="G58" i="4"/>
  <c r="F59" i="4"/>
  <c r="F58" i="4"/>
  <c r="H62" i="4"/>
  <c r="I62" i="4"/>
  <c r="G62" i="4"/>
  <c r="F61" i="4"/>
  <c r="G61" i="4"/>
  <c r="H61" i="4"/>
  <c r="I61" i="4"/>
  <c r="E61" i="4"/>
  <c r="D50" i="4"/>
  <c r="I50" i="4"/>
  <c r="H50" i="4"/>
  <c r="G50" i="4"/>
  <c r="F50" i="4"/>
  <c r="E50" i="4"/>
  <c r="AL219" i="12"/>
  <c r="AL250" i="12"/>
  <c r="H184" i="7"/>
  <c r="C168" i="7"/>
  <c r="H183" i="7"/>
  <c r="H181" i="7"/>
  <c r="I181" i="7"/>
  <c r="I184" i="7"/>
  <c r="I183" i="7"/>
  <c r="AI174" i="12"/>
  <c r="AI173" i="12"/>
  <c r="AI172" i="12"/>
  <c r="I167" i="7" l="1"/>
  <c r="H167" i="7"/>
  <c r="G167" i="7"/>
  <c r="F167" i="7"/>
  <c r="E167" i="7"/>
  <c r="D167" i="7"/>
  <c r="C167" i="7"/>
  <c r="B167" i="7"/>
  <c r="I176" i="7"/>
  <c r="H176" i="7"/>
  <c r="G176" i="7"/>
  <c r="F176" i="7"/>
  <c r="E176" i="7"/>
  <c r="D176" i="7"/>
  <c r="C176" i="7"/>
  <c r="B176" i="7"/>
  <c r="I162" i="7"/>
  <c r="H162" i="7"/>
  <c r="G162" i="7"/>
  <c r="F162" i="7"/>
  <c r="E162" i="7"/>
  <c r="D162" i="7"/>
  <c r="C162" i="7"/>
  <c r="B162" i="7"/>
  <c r="E116" i="7"/>
  <c r="F116" i="7"/>
  <c r="G116" i="7"/>
  <c r="H116" i="7"/>
  <c r="I116" i="7"/>
  <c r="D116" i="7"/>
  <c r="K107" i="7"/>
  <c r="F79" i="7"/>
  <c r="G79" i="7"/>
  <c r="H79" i="7"/>
  <c r="I79" i="7"/>
  <c r="E79" i="7"/>
  <c r="D79" i="7"/>
  <c r="C116" i="7"/>
  <c r="B116" i="7"/>
  <c r="C79" i="7"/>
  <c r="B79" i="7"/>
  <c r="I142" i="7" l="1"/>
  <c r="G142" i="7"/>
  <c r="E142" i="7"/>
  <c r="C142" i="7"/>
  <c r="I137" i="7" l="1"/>
  <c r="G137" i="7"/>
  <c r="E137" i="7"/>
  <c r="B137" i="7"/>
  <c r="C137" i="7"/>
  <c r="B168" i="7" l="1"/>
  <c r="R296" i="12"/>
  <c r="R295" i="12"/>
  <c r="C27" i="6" l="1"/>
  <c r="E18" i="12" l="1"/>
  <c r="E17" i="12"/>
  <c r="Y296" i="12"/>
  <c r="Y255" i="12"/>
  <c r="F56" i="6"/>
  <c r="G56" i="6"/>
  <c r="H56" i="6"/>
  <c r="I56" i="6"/>
  <c r="E56" i="6"/>
  <c r="D56" i="6"/>
  <c r="O29" i="9" l="1"/>
  <c r="U30" i="10"/>
  <c r="N30" i="10"/>
  <c r="K10" i="10"/>
  <c r="J10" i="10"/>
  <c r="I10" i="10"/>
  <c r="H10" i="10"/>
  <c r="G10" i="10"/>
  <c r="F10" i="10"/>
  <c r="E10" i="10"/>
  <c r="D10" i="10"/>
  <c r="C10" i="10"/>
  <c r="B10" i="10"/>
  <c r="K9" i="10"/>
  <c r="J9" i="10"/>
  <c r="C9" i="10"/>
  <c r="B9" i="10"/>
  <c r="K8" i="10"/>
  <c r="J8" i="10"/>
  <c r="I8" i="10"/>
  <c r="I9" i="10" s="1"/>
  <c r="H8" i="10"/>
  <c r="H9" i="10" s="1"/>
  <c r="G8" i="10"/>
  <c r="G9" i="10" s="1"/>
  <c r="F8" i="10"/>
  <c r="F9" i="10" s="1"/>
  <c r="E8" i="10"/>
  <c r="E9" i="10" s="1"/>
  <c r="D8" i="10"/>
  <c r="D9" i="10" s="1"/>
  <c r="C8" i="10"/>
  <c r="B8" i="10"/>
  <c r="B17" i="10"/>
  <c r="E32" i="9"/>
  <c r="K29" i="9"/>
  <c r="G29" i="9"/>
  <c r="D22" i="9"/>
  <c r="H22" i="9" s="1"/>
  <c r="C22" i="9"/>
  <c r="B22" i="9"/>
  <c r="B14" i="9"/>
  <c r="H14" i="9" s="1"/>
  <c r="D14" i="9"/>
  <c r="C14" i="9"/>
  <c r="K7" i="9"/>
  <c r="K5" i="9" s="1"/>
  <c r="B13" i="9" s="1"/>
  <c r="B21" i="9" s="1"/>
  <c r="J7" i="9"/>
  <c r="J5" i="9" s="1"/>
  <c r="I7" i="9"/>
  <c r="I5" i="9" s="1"/>
  <c r="H7" i="9"/>
  <c r="H5" i="9" s="1"/>
  <c r="G7" i="9"/>
  <c r="G5" i="9" s="1"/>
  <c r="F32" i="9" s="1"/>
  <c r="F7" i="9"/>
  <c r="F5" i="9" s="1"/>
  <c r="E7" i="9"/>
  <c r="E5" i="9" s="1"/>
  <c r="D7" i="9"/>
  <c r="D5" i="9" s="1"/>
  <c r="C7" i="9"/>
  <c r="C5" i="9" s="1"/>
  <c r="B7" i="9"/>
  <c r="B5" i="9" s="1"/>
  <c r="E44" i="8"/>
  <c r="E43" i="8"/>
  <c r="D36" i="8"/>
  <c r="D37" i="8"/>
  <c r="D38" i="8"/>
  <c r="D35" i="8"/>
  <c r="J10" i="8"/>
  <c r="J11" i="8" s="1"/>
  <c r="G10" i="8"/>
  <c r="G11" i="8" s="1"/>
  <c r="F10" i="8"/>
  <c r="F11" i="8" s="1"/>
  <c r="B10" i="8"/>
  <c r="B11" i="8" s="1"/>
  <c r="J8" i="8"/>
  <c r="J9" i="8" s="1"/>
  <c r="I8" i="8"/>
  <c r="I9" i="8" s="1"/>
  <c r="F8" i="8"/>
  <c r="F9" i="8" s="1"/>
  <c r="K7" i="8"/>
  <c r="J7" i="8"/>
  <c r="I7" i="8"/>
  <c r="H7" i="8"/>
  <c r="G7" i="8"/>
  <c r="G8" i="8" s="1"/>
  <c r="G9" i="8" s="1"/>
  <c r="F7" i="8"/>
  <c r="E7" i="8"/>
  <c r="D7" i="8"/>
  <c r="C7" i="8"/>
  <c r="B7" i="8"/>
  <c r="K6" i="8"/>
  <c r="K8" i="8" s="1"/>
  <c r="K9" i="8" s="1"/>
  <c r="J6" i="8"/>
  <c r="I6" i="8"/>
  <c r="H6" i="8"/>
  <c r="H8" i="8" s="1"/>
  <c r="H9" i="8" s="1"/>
  <c r="G6" i="8"/>
  <c r="F6" i="8"/>
  <c r="E6" i="8"/>
  <c r="E8" i="8" s="1"/>
  <c r="E9" i="8" s="1"/>
  <c r="D6" i="8"/>
  <c r="D8" i="8" s="1"/>
  <c r="D9" i="8" s="1"/>
  <c r="C6" i="8"/>
  <c r="C8" i="8" s="1"/>
  <c r="C9" i="8" s="1"/>
  <c r="B6" i="8"/>
  <c r="B8" i="8" s="1"/>
  <c r="B9" i="8" s="1"/>
  <c r="I154" i="7"/>
  <c r="G154" i="7"/>
  <c r="H154" i="7" s="1"/>
  <c r="F154" i="7"/>
  <c r="E154" i="7"/>
  <c r="C154" i="7"/>
  <c r="D154" i="7" s="1"/>
  <c r="B154" i="7"/>
  <c r="I149" i="7"/>
  <c r="H149" i="7" s="1"/>
  <c r="G149" i="7"/>
  <c r="F149" i="7"/>
  <c r="E149" i="7"/>
  <c r="C149" i="7"/>
  <c r="D149" i="7" s="1"/>
  <c r="B149" i="7"/>
  <c r="H142" i="7"/>
  <c r="F142" i="7"/>
  <c r="D142" i="7"/>
  <c r="B142" i="7"/>
  <c r="H137" i="7"/>
  <c r="F137" i="7"/>
  <c r="D137" i="7"/>
  <c r="C58" i="7"/>
  <c r="C59" i="7"/>
  <c r="C60" i="7"/>
  <c r="C61" i="7"/>
  <c r="C57" i="7"/>
  <c r="H28" i="7"/>
  <c r="D28" i="7"/>
  <c r="C33" i="7"/>
  <c r="C32" i="7"/>
  <c r="C31" i="7"/>
  <c r="C26" i="7"/>
  <c r="K13" i="7"/>
  <c r="J13" i="7"/>
  <c r="I13" i="7"/>
  <c r="H13" i="7"/>
  <c r="G13" i="7"/>
  <c r="F13" i="7"/>
  <c r="E13" i="7"/>
  <c r="D13" i="7"/>
  <c r="C13" i="7"/>
  <c r="B13" i="7"/>
  <c r="H10" i="7"/>
  <c r="G10" i="7"/>
  <c r="F10" i="7"/>
  <c r="E10" i="7"/>
  <c r="D10" i="7"/>
  <c r="C10" i="7"/>
  <c r="H9" i="7"/>
  <c r="G9" i="7"/>
  <c r="F9" i="7"/>
  <c r="E9" i="7"/>
  <c r="D9" i="7"/>
  <c r="C9" i="7"/>
  <c r="H8" i="7"/>
  <c r="G8" i="7"/>
  <c r="F8" i="7"/>
  <c r="E8" i="7"/>
  <c r="D8" i="7"/>
  <c r="C8" i="7"/>
  <c r="B48" i="6"/>
  <c r="B28" i="6"/>
  <c r="C26" i="6"/>
  <c r="C46" i="6" s="1"/>
  <c r="B26" i="6"/>
  <c r="B46" i="6" s="1"/>
  <c r="N32" i="9" l="1"/>
  <c r="N29" i="9" s="1"/>
  <c r="F29" i="9"/>
  <c r="F30" i="9"/>
  <c r="F31" i="9"/>
  <c r="F22" i="9"/>
  <c r="G22" i="9"/>
  <c r="E22" i="9"/>
  <c r="B23" i="9"/>
  <c r="W10" i="12" s="1"/>
  <c r="E14" i="9"/>
  <c r="F14" i="9"/>
  <c r="G14" i="9"/>
  <c r="B15" i="9"/>
  <c r="C10" i="12" s="1"/>
  <c r="F28" i="7"/>
  <c r="G28" i="7"/>
  <c r="N31" i="9" l="1"/>
  <c r="O31" i="9" s="1"/>
  <c r="N30" i="9"/>
  <c r="O30" i="9" s="1"/>
  <c r="B25" i="6"/>
  <c r="B45" i="6" s="1"/>
  <c r="X63" i="4"/>
  <c r="W63" i="4"/>
  <c r="V63" i="4"/>
  <c r="U63" i="4"/>
  <c r="T63" i="4"/>
  <c r="S63" i="4"/>
  <c r="S42" i="4"/>
  <c r="T40" i="4"/>
  <c r="U40" i="4" s="1"/>
  <c r="V40" i="4" s="1"/>
  <c r="W40" i="4" s="1"/>
  <c r="X40" i="4" s="1"/>
  <c r="U38" i="4"/>
  <c r="V38" i="4" s="1"/>
  <c r="W38" i="4" s="1"/>
  <c r="X38" i="4" s="1"/>
  <c r="T38" i="4"/>
  <c r="T34" i="4"/>
  <c r="T33" i="4"/>
  <c r="U33" i="4" s="1"/>
  <c r="C63" i="4"/>
  <c r="B63" i="4"/>
  <c r="C64" i="4"/>
  <c r="B64" i="4"/>
  <c r="E62" i="4"/>
  <c r="G60" i="4"/>
  <c r="H60" i="4" s="1"/>
  <c r="I60" i="4" s="1"/>
  <c r="E60" i="4"/>
  <c r="E59" i="4"/>
  <c r="D59" i="4"/>
  <c r="E58" i="4"/>
  <c r="D58" i="4"/>
  <c r="D64" i="4" s="1"/>
  <c r="E57" i="4"/>
  <c r="F57" i="4" s="1"/>
  <c r="G57" i="4" s="1"/>
  <c r="H57" i="4" s="1"/>
  <c r="I57" i="4" s="1"/>
  <c r="E56" i="4"/>
  <c r="F56" i="4" s="1"/>
  <c r="G56" i="4" s="1"/>
  <c r="H56" i="4" s="1"/>
  <c r="I56" i="4" s="1"/>
  <c r="E55" i="4"/>
  <c r="E64" i="4" s="1"/>
  <c r="G54" i="4"/>
  <c r="H54" i="4" s="1"/>
  <c r="I54" i="4" s="1"/>
  <c r="C32" i="4"/>
  <c r="C33" i="4"/>
  <c r="C34" i="4"/>
  <c r="C35" i="4"/>
  <c r="C36" i="4"/>
  <c r="C37" i="4"/>
  <c r="C38" i="4"/>
  <c r="C39" i="4"/>
  <c r="C40" i="4"/>
  <c r="C41" i="4"/>
  <c r="C31" i="4"/>
  <c r="H39" i="4"/>
  <c r="I39" i="4" s="1"/>
  <c r="G39" i="4"/>
  <c r="D38" i="4"/>
  <c r="D37" i="4"/>
  <c r="E34" i="4"/>
  <c r="F34" i="4" s="1"/>
  <c r="G34" i="4" s="1"/>
  <c r="H34" i="4" s="1"/>
  <c r="I34" i="4" s="1"/>
  <c r="E33" i="4"/>
  <c r="F33" i="4" s="1"/>
  <c r="G33" i="4" s="1"/>
  <c r="H33" i="4" s="1"/>
  <c r="I33" i="4" s="1"/>
  <c r="K22" i="4"/>
  <c r="L22" i="4"/>
  <c r="J22" i="4"/>
  <c r="H16" i="2"/>
  <c r="G16" i="2"/>
  <c r="F16" i="2"/>
  <c r="E16" i="2"/>
  <c r="D16" i="2"/>
  <c r="C16" i="2"/>
  <c r="I64" i="4" l="1"/>
  <c r="C43" i="4"/>
  <c r="T42" i="4"/>
  <c r="C42" i="4"/>
  <c r="F55" i="4"/>
  <c r="F64" i="4" s="1"/>
  <c r="D42" i="4"/>
  <c r="H64" i="4"/>
  <c r="G64" i="4"/>
  <c r="V33" i="4"/>
  <c r="U34" i="4"/>
  <c r="V34" i="4" s="1"/>
  <c r="W34" i="4" s="1"/>
  <c r="X34" i="4" s="1"/>
  <c r="U42" i="4" l="1"/>
  <c r="W33" i="4"/>
  <c r="V42" i="4"/>
  <c r="X33" i="4" l="1"/>
  <c r="X42" i="4" s="1"/>
  <c r="W42" i="4"/>
  <c r="B15" i="2" l="1"/>
  <c r="B16" i="2"/>
  <c r="B17" i="2"/>
  <c r="H17" i="2" s="1"/>
  <c r="C41" i="7"/>
  <c r="C44" i="7"/>
  <c r="C45" i="7"/>
  <c r="C46" i="7"/>
  <c r="C47" i="7"/>
  <c r="C48" i="7"/>
  <c r="B41" i="7"/>
  <c r="B44" i="7"/>
  <c r="B45" i="7"/>
  <c r="B34" i="7"/>
  <c r="B49" i="7" s="1"/>
  <c r="B32" i="7"/>
  <c r="B47" i="7" s="1"/>
  <c r="B31" i="7"/>
  <c r="B46" i="7" s="1"/>
  <c r="B28" i="7"/>
  <c r="B43" i="7" s="1"/>
  <c r="B26" i="7"/>
  <c r="C17" i="2" l="1"/>
  <c r="D17" i="2"/>
  <c r="E17" i="2"/>
  <c r="F17" i="2"/>
  <c r="G17" i="2"/>
  <c r="E18" i="7" l="1"/>
  <c r="F18" i="7"/>
  <c r="G18" i="7"/>
  <c r="H18" i="7"/>
  <c r="I18" i="7"/>
  <c r="J18" i="7"/>
  <c r="K18" i="7"/>
  <c r="L18" i="7"/>
  <c r="E19" i="7"/>
  <c r="F19" i="7"/>
  <c r="G19" i="7"/>
  <c r="H19" i="7"/>
  <c r="I19" i="7"/>
  <c r="J19" i="7"/>
  <c r="K19" i="7"/>
  <c r="L19" i="7"/>
  <c r="I29" i="7" l="1"/>
  <c r="I30" i="7"/>
  <c r="I28" i="10"/>
  <c r="H28" i="10"/>
  <c r="H30" i="10" s="1"/>
  <c r="G28" i="10"/>
  <c r="G30" i="10" s="1"/>
  <c r="F28" i="10"/>
  <c r="F30" i="10" s="1"/>
  <c r="E28" i="10"/>
  <c r="E30" i="10" s="1"/>
  <c r="D28" i="10"/>
  <c r="D30" i="10" s="1"/>
  <c r="C28" i="10"/>
  <c r="C30" i="10" s="1"/>
  <c r="L21" i="4" l="1"/>
  <c r="C21" i="4"/>
  <c r="D21" i="4"/>
  <c r="E21" i="4"/>
  <c r="F21" i="4"/>
  <c r="G21" i="4"/>
  <c r="H21" i="4"/>
  <c r="I21" i="4"/>
  <c r="J21" i="4"/>
  <c r="K21" i="4"/>
  <c r="B21" i="4"/>
  <c r="I40" i="7" l="1"/>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B303" i="12"/>
  <c r="X303" i="12"/>
  <c r="AK301" i="12"/>
  <c r="AK303" i="12" s="1"/>
  <c r="AB301" i="12"/>
  <c r="AA301" i="12"/>
  <c r="AA303" i="12" s="1"/>
  <c r="Z301" i="12"/>
  <c r="Z303" i="12" s="1"/>
  <c r="X301" i="12"/>
  <c r="W301" i="12"/>
  <c r="W303" i="12" s="1"/>
  <c r="AL300" i="12"/>
  <c r="AK293" i="12"/>
  <c r="AA293" i="12"/>
  <c r="Z293" i="12"/>
  <c r="X293" i="12"/>
  <c r="AL290" i="12"/>
  <c r="AL289" i="12"/>
  <c r="AL288" i="12"/>
  <c r="AL287" i="12"/>
  <c r="AL286" i="12"/>
  <c r="AL285" i="12"/>
  <c r="AL284" i="12"/>
  <c r="AL281" i="12"/>
  <c r="AK279" i="12"/>
  <c r="AJ279" i="12"/>
  <c r="AI279" i="12"/>
  <c r="AG279" i="12"/>
  <c r="AD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D238" i="12"/>
  <c r="AA238" i="12"/>
  <c r="Z238" i="12"/>
  <c r="AL237" i="12"/>
  <c r="AL236" i="12"/>
  <c r="AL235" i="12"/>
  <c r="AL234" i="12"/>
  <c r="AB221" i="12"/>
  <c r="AA221" i="12"/>
  <c r="AK219" i="12"/>
  <c r="AK221" i="12" s="1"/>
  <c r="AB219" i="12"/>
  <c r="AA219" i="12"/>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D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D156" i="12"/>
  <c r="AA156" i="12"/>
  <c r="Z156" i="12"/>
  <c r="AL155" i="12"/>
  <c r="AL154" i="12"/>
  <c r="AL153" i="12"/>
  <c r="AL152" i="12"/>
  <c r="AB139" i="12"/>
  <c r="AA139" i="12"/>
  <c r="AK137" i="12"/>
  <c r="AK139" i="12" s="1"/>
  <c r="AB137" i="12"/>
  <c r="AA137" i="12"/>
  <c r="Z137" i="12"/>
  <c r="Z139" i="12" s="1"/>
  <c r="X137" i="12"/>
  <c r="X139" i="12" s="1"/>
  <c r="W137" i="12"/>
  <c r="W139" i="12" s="1"/>
  <c r="AL136" i="12"/>
  <c r="AK129" i="12"/>
  <c r="AA129" i="12"/>
  <c r="Z129" i="12"/>
  <c r="X129" i="12"/>
  <c r="X115" i="12" s="1"/>
  <c r="X110" i="12" s="1"/>
  <c r="AL126" i="12"/>
  <c r="AL125" i="12"/>
  <c r="AL124" i="12"/>
  <c r="AL123" i="12"/>
  <c r="AL122" i="12"/>
  <c r="AL121" i="12"/>
  <c r="AL120" i="12"/>
  <c r="AL117" i="12"/>
  <c r="AK115" i="12"/>
  <c r="AJ115" i="12"/>
  <c r="AI115" i="12"/>
  <c r="AG115" i="12"/>
  <c r="AD115" i="12"/>
  <c r="AA115" i="12"/>
  <c r="Z115" i="12"/>
  <c r="AL114" i="12"/>
  <c r="AL113" i="12"/>
  <c r="AL112" i="12"/>
  <c r="AL111" i="12"/>
  <c r="X279" i="12" l="1"/>
  <c r="X274" i="12" s="1"/>
  <c r="X238" i="12"/>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J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J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J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J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J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D74" i="12"/>
  <c r="AA74" i="12"/>
  <c r="Z74" i="12"/>
  <c r="AL73" i="12"/>
  <c r="AL72" i="12"/>
  <c r="AL71" i="12"/>
  <c r="AL70" i="12"/>
  <c r="R70" i="12"/>
  <c r="R71" i="12"/>
  <c r="R72" i="12"/>
  <c r="R73" i="12"/>
  <c r="F74" i="12"/>
  <c r="G74" i="12"/>
  <c r="J74" i="12"/>
  <c r="M74" i="12"/>
  <c r="O74" i="12"/>
  <c r="P74" i="12"/>
  <c r="Q74" i="12"/>
  <c r="Q98" i="12"/>
  <c r="F98" i="12"/>
  <c r="D98" i="12"/>
  <c r="R18" i="12"/>
  <c r="R17" i="12"/>
  <c r="W8" i="12"/>
  <c r="W7"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W6" i="12"/>
  <c r="L18" i="12"/>
  <c r="D18" i="12"/>
  <c r="F18"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I22" i="4"/>
  <c r="X46" i="1" l="1"/>
  <c r="S46" i="1"/>
  <c r="D46" i="1"/>
  <c r="E14" i="6"/>
  <c r="B63" i="7" l="1"/>
  <c r="I63" i="4"/>
  <c r="H63" i="4"/>
  <c r="G63" i="4"/>
  <c r="F63" i="4"/>
  <c r="E63" i="4"/>
  <c r="D63" i="4"/>
  <c r="D43" i="4"/>
  <c r="W108" i="1"/>
  <c r="V108" i="1"/>
  <c r="W106" i="1"/>
  <c r="V106" i="1"/>
  <c r="Z170" i="1"/>
  <c r="Z172" i="1" s="1"/>
  <c r="Y170" i="1"/>
  <c r="Y172" i="1" s="1"/>
  <c r="D100" i="1"/>
  <c r="H29" i="10" l="1"/>
  <c r="G29" i="10"/>
  <c r="F29" i="10"/>
  <c r="E29" i="10"/>
  <c r="D29" i="10"/>
  <c r="C29" i="10"/>
  <c r="C11" i="10"/>
  <c r="B11" i="10"/>
  <c r="B18" i="10"/>
  <c r="F11" i="10"/>
  <c r="E11" i="10"/>
  <c r="D11" i="10"/>
  <c r="C33" i="10"/>
  <c r="B28" i="10"/>
  <c r="E46" i="8"/>
  <c r="AG45" i="8"/>
  <c r="AB45" i="8"/>
  <c r="AA45" i="8"/>
  <c r="Z45" i="8"/>
  <c r="X45" i="8"/>
  <c r="W45" i="8"/>
  <c r="V45" i="8"/>
  <c r="T45" i="8"/>
  <c r="S45" i="8"/>
  <c r="R45" i="8"/>
  <c r="P45" i="8"/>
  <c r="O45" i="8"/>
  <c r="N45" i="8"/>
  <c r="L45" i="8"/>
  <c r="K45" i="8"/>
  <c r="J45" i="8"/>
  <c r="H45" i="8"/>
  <c r="G45" i="8"/>
  <c r="F45" i="8"/>
  <c r="AG44" i="8"/>
  <c r="AI299" i="12" s="1"/>
  <c r="AB44" i="8"/>
  <c r="AA44" i="8"/>
  <c r="Z44" i="8"/>
  <c r="X44" i="8"/>
  <c r="W44" i="8"/>
  <c r="V44" i="8"/>
  <c r="T44" i="8"/>
  <c r="S44" i="8"/>
  <c r="R44" i="8"/>
  <c r="P44" i="8"/>
  <c r="O44" i="8"/>
  <c r="N44" i="8"/>
  <c r="L44" i="8"/>
  <c r="K44" i="8"/>
  <c r="J44" i="8"/>
  <c r="H44" i="8"/>
  <c r="G44" i="8"/>
  <c r="F44" i="8"/>
  <c r="AG43" i="8"/>
  <c r="AB43" i="8"/>
  <c r="AA43" i="8"/>
  <c r="Z43" i="8"/>
  <c r="Y43" i="8"/>
  <c r="Y217" i="12" s="1"/>
  <c r="X43" i="8"/>
  <c r="W43" i="8"/>
  <c r="V43" i="8"/>
  <c r="U43" i="8"/>
  <c r="Y176" i="12" s="1"/>
  <c r="T43" i="8"/>
  <c r="S43" i="8"/>
  <c r="R43" i="8"/>
  <c r="P43" i="8"/>
  <c r="O43" i="8"/>
  <c r="N43" i="8"/>
  <c r="L43" i="8"/>
  <c r="K43" i="8"/>
  <c r="J43" i="8"/>
  <c r="I43" i="8"/>
  <c r="H43" i="8"/>
  <c r="G43" i="8"/>
  <c r="F43" i="8"/>
  <c r="Y36" i="8"/>
  <c r="AD8" i="12" s="1"/>
  <c r="U36" i="8"/>
  <c r="T36" i="8"/>
  <c r="R36" i="8"/>
  <c r="Q36" i="8"/>
  <c r="S36" i="8" s="1"/>
  <c r="AB8" i="12" s="1"/>
  <c r="O36" i="8"/>
  <c r="N36" i="8"/>
  <c r="L36" i="8"/>
  <c r="K36" i="8"/>
  <c r="I36" i="8"/>
  <c r="H36" i="8"/>
  <c r="F36" i="8"/>
  <c r="E36" i="8"/>
  <c r="Y35" i="8"/>
  <c r="AD7" i="12" s="1"/>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D28" i="8" s="1"/>
  <c r="J13" i="8"/>
  <c r="I13" i="8"/>
  <c r="H13" i="8"/>
  <c r="G13" i="8"/>
  <c r="F13" i="8"/>
  <c r="E13" i="8"/>
  <c r="L12" i="8"/>
  <c r="K12" i="8"/>
  <c r="D27" i="8" s="1"/>
  <c r="Y27" i="8" s="1"/>
  <c r="E299" i="12" s="1"/>
  <c r="J12" i="8"/>
  <c r="I12" i="8"/>
  <c r="H12" i="8"/>
  <c r="G12" i="8"/>
  <c r="F12" i="8"/>
  <c r="E12" i="8"/>
  <c r="D19" i="8"/>
  <c r="C7" i="12" s="1"/>
  <c r="K5" i="8"/>
  <c r="J5" i="8"/>
  <c r="I5" i="8"/>
  <c r="H5" i="8"/>
  <c r="G5" i="8"/>
  <c r="F5" i="8"/>
  <c r="E5" i="8"/>
  <c r="D5" i="8"/>
  <c r="C5" i="8"/>
  <c r="B5" i="8"/>
  <c r="C170" i="7"/>
  <c r="B170" i="7"/>
  <c r="B184" i="7" s="1"/>
  <c r="C169" i="7"/>
  <c r="B169" i="7"/>
  <c r="B182" i="7"/>
  <c r="J122" i="7"/>
  <c r="J109" i="7"/>
  <c r="J107" i="7"/>
  <c r="B102" i="7"/>
  <c r="C101" i="7" s="1"/>
  <c r="C74" i="7"/>
  <c r="C90" i="7" s="1"/>
  <c r="B64" i="7"/>
  <c r="I45" i="7"/>
  <c r="I44" i="7"/>
  <c r="I43" i="7"/>
  <c r="C34" i="7"/>
  <c r="C49" i="7" s="1"/>
  <c r="C30" i="7"/>
  <c r="C29" i="7"/>
  <c r="C28" i="7"/>
  <c r="C43" i="7" s="1"/>
  <c r="B164" i="7"/>
  <c r="C163" i="7"/>
  <c r="K17" i="7"/>
  <c r="J17" i="7"/>
  <c r="I17" i="7"/>
  <c r="H17" i="7"/>
  <c r="G17" i="7"/>
  <c r="F17" i="7"/>
  <c r="E17" i="7"/>
  <c r="D17" i="7"/>
  <c r="C17" i="7"/>
  <c r="B17" i="7"/>
  <c r="L16" i="7"/>
  <c r="K16" i="7"/>
  <c r="B165" i="7" s="1"/>
  <c r="J16" i="7"/>
  <c r="I16" i="7"/>
  <c r="H16" i="7"/>
  <c r="G16" i="7"/>
  <c r="F16" i="7"/>
  <c r="E16" i="7"/>
  <c r="K15" i="7"/>
  <c r="J15" i="7"/>
  <c r="I15" i="7"/>
  <c r="H15" i="7"/>
  <c r="G15" i="7"/>
  <c r="B33" i="7" s="1"/>
  <c r="B48" i="7" s="1"/>
  <c r="F15" i="7"/>
  <c r="E15" i="7"/>
  <c r="D15" i="7"/>
  <c r="C15" i="7"/>
  <c r="B15" i="7"/>
  <c r="L7" i="7"/>
  <c r="K7" i="7"/>
  <c r="J7" i="7"/>
  <c r="I7" i="7"/>
  <c r="H7" i="7"/>
  <c r="G7" i="7"/>
  <c r="B25" i="7" s="1"/>
  <c r="B40" i="7" s="1"/>
  <c r="F7" i="7"/>
  <c r="E7" i="7"/>
  <c r="D7" i="7"/>
  <c r="C7" i="7"/>
  <c r="B7" i="7"/>
  <c r="D60" i="6"/>
  <c r="E58" i="6"/>
  <c r="D58" i="6"/>
  <c r="C58" i="6"/>
  <c r="H54" i="6"/>
  <c r="G54" i="6"/>
  <c r="F54" i="6"/>
  <c r="E54" i="6"/>
  <c r="D54" i="6"/>
  <c r="C54" i="6"/>
  <c r="H53" i="6"/>
  <c r="G53" i="6"/>
  <c r="F53" i="6"/>
  <c r="E53" i="6"/>
  <c r="D53" i="6"/>
  <c r="C53" i="6"/>
  <c r="H33" i="6"/>
  <c r="G33" i="6"/>
  <c r="F33" i="6"/>
  <c r="E33" i="6"/>
  <c r="D33" i="6"/>
  <c r="C33" i="6"/>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B58" i="6" s="1"/>
  <c r="H58" i="6" s="1"/>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C28" i="6"/>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C29" i="5"/>
  <c r="G29" i="5" s="1"/>
  <c r="G56" i="5" s="1"/>
  <c r="C27" i="5"/>
  <c r="H20" i="5"/>
  <c r="I20" i="5" s="1"/>
  <c r="G17" i="5"/>
  <c r="G19" i="5" s="1"/>
  <c r="H16" i="5"/>
  <c r="H18" i="5" s="1"/>
  <c r="G16" i="5"/>
  <c r="G18" i="5" s="1"/>
  <c r="AA265" i="1"/>
  <c r="X265" i="1"/>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X201" i="1"/>
  <c r="Y202" i="1"/>
  <c r="Y204" i="1" s="1"/>
  <c r="F202" i="1"/>
  <c r="F204" i="1" s="1"/>
  <c r="S192" i="1"/>
  <c r="X169"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B8" i="1"/>
  <c r="W8" i="1"/>
  <c r="W7" i="1"/>
  <c r="C7" i="1"/>
  <c r="C183" i="7" l="1"/>
  <c r="C25" i="7"/>
  <c r="K73" i="7" s="1"/>
  <c r="K9" i="7"/>
  <c r="AD8" i="1"/>
  <c r="F58" i="6"/>
  <c r="G58" i="6"/>
  <c r="D28" i="6"/>
  <c r="E28" i="6" s="1"/>
  <c r="F28" i="6" s="1"/>
  <c r="G28" i="6" s="1"/>
  <c r="H28" i="6" s="1"/>
  <c r="I28" i="6" s="1"/>
  <c r="C29" i="6"/>
  <c r="C48" i="6"/>
  <c r="G20" i="5"/>
  <c r="J29" i="5"/>
  <c r="J56" i="5" s="1"/>
  <c r="K29" i="5"/>
  <c r="K56" i="5" s="1"/>
  <c r="H13" i="6"/>
  <c r="I32" i="7"/>
  <c r="C40" i="7"/>
  <c r="K89" i="7" s="1"/>
  <c r="I31" i="7"/>
  <c r="C27" i="7"/>
  <c r="C42" i="7" s="1"/>
  <c r="W10" i="1"/>
  <c r="AD6" i="12"/>
  <c r="AC45" i="8"/>
  <c r="AE299" i="12"/>
  <c r="J35" i="8"/>
  <c r="Y7" i="12" s="1"/>
  <c r="M43" i="8"/>
  <c r="Y299" i="12"/>
  <c r="G43" i="7"/>
  <c r="C72" i="5"/>
  <c r="H29" i="5"/>
  <c r="H56" i="5" s="1"/>
  <c r="I29" i="5"/>
  <c r="I56" i="5" s="1"/>
  <c r="AD7" i="1"/>
  <c r="AD6" i="1" s="1"/>
  <c r="P35" i="8"/>
  <c r="V35" i="8"/>
  <c r="AC7" i="12" s="1"/>
  <c r="G35" i="8"/>
  <c r="G37" i="8" s="1"/>
  <c r="V37" i="8"/>
  <c r="M36" i="8"/>
  <c r="S35" i="8"/>
  <c r="AB7" i="12" s="1"/>
  <c r="AB6" i="12" s="1"/>
  <c r="P36" i="8"/>
  <c r="V36" i="8"/>
  <c r="G36" i="8"/>
  <c r="M35" i="8"/>
  <c r="Z7" i="12" s="1"/>
  <c r="Y19" i="8"/>
  <c r="J36" i="8"/>
  <c r="B27" i="7"/>
  <c r="B42" i="7" s="1"/>
  <c r="D43" i="7"/>
  <c r="B111" i="7"/>
  <c r="B126" i="7" s="1"/>
  <c r="B181" i="7" s="1"/>
  <c r="H43" i="7"/>
  <c r="C111" i="7"/>
  <c r="B178" i="7"/>
  <c r="I26" i="7"/>
  <c r="C184" i="7"/>
  <c r="E13" i="6"/>
  <c r="B49" i="6"/>
  <c r="G13" i="6"/>
  <c r="B35" i="6"/>
  <c r="C35" i="6"/>
  <c r="B36" i="6"/>
  <c r="C36" i="6"/>
  <c r="C63" i="6"/>
  <c r="B29" i="6"/>
  <c r="C37" i="6"/>
  <c r="B27" i="6"/>
  <c r="B13" i="6"/>
  <c r="B38" i="6"/>
  <c r="C38" i="6"/>
  <c r="C13" i="6"/>
  <c r="D48" i="1"/>
  <c r="W6" i="1"/>
  <c r="Y164" i="1"/>
  <c r="S160" i="1"/>
  <c r="R237" i="1"/>
  <c r="R239" i="1" s="1"/>
  <c r="P48" i="1"/>
  <c r="AE128" i="1"/>
  <c r="Y231" i="1"/>
  <c r="X48" i="1"/>
  <c r="S227" i="1"/>
  <c r="S128" i="1"/>
  <c r="AE96" i="1"/>
  <c r="Q48" i="1"/>
  <c r="F196" i="1"/>
  <c r="F100" i="1"/>
  <c r="W100" i="1"/>
  <c r="D196" i="1"/>
  <c r="W260" i="1"/>
  <c r="C21" i="10"/>
  <c r="H34" i="7"/>
  <c r="H49" i="7" s="1"/>
  <c r="I34" i="7"/>
  <c r="AE94" i="1"/>
  <c r="W231" i="1"/>
  <c r="F13" i="6"/>
  <c r="AC44" i="8"/>
  <c r="Q44" i="8"/>
  <c r="Y44" i="8"/>
  <c r="M44" i="8"/>
  <c r="AB265" i="1"/>
  <c r="AE265" i="1" s="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83" i="7"/>
  <c r="F132" i="1"/>
  <c r="AE190" i="1"/>
  <c r="AE193" i="1"/>
  <c r="Z202" i="1"/>
  <c r="Z204" i="1" s="1"/>
  <c r="S190" i="1"/>
  <c r="Y196" i="1"/>
  <c r="AE192" i="1"/>
  <c r="AD202" i="1"/>
  <c r="AD204" i="1" s="1"/>
  <c r="AE257" i="1"/>
  <c r="I26" i="6"/>
  <c r="I46" i="6" s="1"/>
  <c r="H19" i="5"/>
  <c r="I18" i="5"/>
  <c r="B36" i="5" s="1"/>
  <c r="G237" i="1"/>
  <c r="G239" i="1" s="1"/>
  <c r="C73" i="7"/>
  <c r="C72" i="7"/>
  <c r="C71" i="7"/>
  <c r="C70" i="7"/>
  <c r="G202" i="1"/>
  <c r="G204" i="1" s="1"/>
  <c r="C28" i="5"/>
  <c r="C55" i="5" s="1"/>
  <c r="C54" i="5"/>
  <c r="D27" i="5"/>
  <c r="E265" i="1"/>
  <c r="B39" i="6"/>
  <c r="B63" i="6"/>
  <c r="B74" i="7"/>
  <c r="M28" i="8"/>
  <c r="Y28" i="8"/>
  <c r="V28" i="8"/>
  <c r="J28" i="8"/>
  <c r="S28" i="8"/>
  <c r="P28" i="8"/>
  <c r="AE158" i="1"/>
  <c r="AE254" i="1"/>
  <c r="B73" i="5"/>
  <c r="B177" i="7"/>
  <c r="B163" i="7"/>
  <c r="S193" i="1"/>
  <c r="Z266" i="1"/>
  <c r="Z268" i="1" s="1"/>
  <c r="C73" i="5"/>
  <c r="D13" i="6"/>
  <c r="H16" i="10"/>
  <c r="G16" i="10"/>
  <c r="F16" i="10"/>
  <c r="E16" i="10"/>
  <c r="D16" i="10"/>
  <c r="C16" i="10"/>
  <c r="E60" i="6"/>
  <c r="I18" i="10"/>
  <c r="I19" i="10" s="1"/>
  <c r="B179" i="7"/>
  <c r="V27" i="8"/>
  <c r="E258" i="12" s="1"/>
  <c r="J27" i="8"/>
  <c r="D29" i="8"/>
  <c r="S27" i="8"/>
  <c r="E217" i="12" s="1"/>
  <c r="P27" i="8"/>
  <c r="E176" i="12" s="1"/>
  <c r="M27" i="8"/>
  <c r="E135" i="12" s="1"/>
  <c r="AG46" i="8"/>
  <c r="B47" i="6"/>
  <c r="B52" i="6" s="1"/>
  <c r="J13" i="6"/>
  <c r="I13" i="6"/>
  <c r="G11" i="10"/>
  <c r="D29" i="5"/>
  <c r="D56" i="5" s="1"/>
  <c r="C56" i="5"/>
  <c r="D73" i="5"/>
  <c r="H11" i="10"/>
  <c r="E29" i="5"/>
  <c r="E56" i="5" s="1"/>
  <c r="C164" i="7"/>
  <c r="C178" i="7"/>
  <c r="C99" i="7"/>
  <c r="D20" i="8"/>
  <c r="C8" i="12" s="1"/>
  <c r="C6" i="12" s="1"/>
  <c r="I11" i="10"/>
  <c r="H27" i="10"/>
  <c r="G27" i="10"/>
  <c r="F27" i="10"/>
  <c r="E27" i="10"/>
  <c r="D27" i="10"/>
  <c r="F29" i="5"/>
  <c r="F56" i="5" s="1"/>
  <c r="C25" i="6"/>
  <c r="M19" i="8"/>
  <c r="F7" i="12" s="1"/>
  <c r="J11" i="10"/>
  <c r="C27" i="10"/>
  <c r="B37" i="6"/>
  <c r="B59" i="6"/>
  <c r="C100" i="7"/>
  <c r="C98" i="7"/>
  <c r="V19" i="8"/>
  <c r="I7" i="12" s="1"/>
  <c r="J19" i="8"/>
  <c r="E7" i="12" s="1"/>
  <c r="S19" i="8"/>
  <c r="H7" i="12" s="1"/>
  <c r="G19" i="8"/>
  <c r="D7" i="12" s="1"/>
  <c r="P19" i="8"/>
  <c r="G7" i="12" s="1"/>
  <c r="Y45" i="8"/>
  <c r="M45" i="8"/>
  <c r="I33" i="10"/>
  <c r="D33" i="10" s="1"/>
  <c r="B32" i="10"/>
  <c r="B20" i="10"/>
  <c r="C165" i="7"/>
  <c r="C179" i="7" s="1"/>
  <c r="I45" i="8"/>
  <c r="I46" i="8" s="1"/>
  <c r="U45" i="8"/>
  <c r="E43" i="7"/>
  <c r="C177" i="7"/>
  <c r="Y37" i="8"/>
  <c r="F43" i="7"/>
  <c r="Q43" i="8"/>
  <c r="Y135" i="12" s="1"/>
  <c r="AC43" i="8"/>
  <c r="Y258" i="12" s="1"/>
  <c r="Q45" i="8"/>
  <c r="C126" i="7" l="1"/>
  <c r="I49" i="7"/>
  <c r="K123" i="7"/>
  <c r="K124" i="7"/>
  <c r="K125" i="7"/>
  <c r="K122" i="7"/>
  <c r="K108" i="7"/>
  <c r="K109" i="7"/>
  <c r="K110" i="7"/>
  <c r="AL299" i="12"/>
  <c r="Y7" i="1"/>
  <c r="AC7" i="1"/>
  <c r="H26" i="7"/>
  <c r="H41" i="7" s="1"/>
  <c r="H42" i="7" s="1"/>
  <c r="I41" i="7"/>
  <c r="I42" i="7" s="1"/>
  <c r="G26" i="7"/>
  <c r="G41" i="7" s="1"/>
  <c r="G42" i="7" s="1"/>
  <c r="F26" i="7"/>
  <c r="F41" i="7" s="1"/>
  <c r="F42" i="7" s="1"/>
  <c r="E26" i="7"/>
  <c r="E41" i="7" s="1"/>
  <c r="E42" i="7" s="1"/>
  <c r="D26" i="7"/>
  <c r="D41" i="7" s="1"/>
  <c r="D42" i="7" s="1"/>
  <c r="C49" i="6"/>
  <c r="D48" i="6"/>
  <c r="E48" i="6" s="1"/>
  <c r="F48" i="6" s="1"/>
  <c r="G48" i="6" s="1"/>
  <c r="H48" i="6" s="1"/>
  <c r="I48" i="6" s="1"/>
  <c r="I49" i="6" s="1"/>
  <c r="C32" i="6"/>
  <c r="D25" i="6"/>
  <c r="E25" i="6" s="1"/>
  <c r="F25" i="6" s="1"/>
  <c r="G25" i="6" s="1"/>
  <c r="H25" i="6" s="1"/>
  <c r="I25" i="6" s="1"/>
  <c r="C45" i="6"/>
  <c r="K13" i="6"/>
  <c r="E31" i="7"/>
  <c r="G31" i="7"/>
  <c r="H31" i="7"/>
  <c r="D31" i="7"/>
  <c r="F31" i="7"/>
  <c r="E32" i="7"/>
  <c r="G32" i="7"/>
  <c r="H32" i="7"/>
  <c r="F32" i="7"/>
  <c r="D32" i="7"/>
  <c r="C10" i="1"/>
  <c r="C9" i="1"/>
  <c r="C9" i="12"/>
  <c r="W9" i="1"/>
  <c r="W9" i="12"/>
  <c r="E94" i="12"/>
  <c r="E105" i="1"/>
  <c r="P236" i="1"/>
  <c r="O258" i="12"/>
  <c r="R258" i="12" s="1"/>
  <c r="AB201" i="1"/>
  <c r="AI217" i="12"/>
  <c r="P265" i="1"/>
  <c r="S265" i="1" s="1"/>
  <c r="O299" i="12"/>
  <c r="R299" i="12" s="1"/>
  <c r="AB137" i="1"/>
  <c r="AI135" i="12"/>
  <c r="AA7" i="1"/>
  <c r="AA7" i="12"/>
  <c r="P137" i="1"/>
  <c r="O135" i="12"/>
  <c r="AB236" i="1"/>
  <c r="AI258" i="12"/>
  <c r="Z8" i="1"/>
  <c r="Z8" i="12"/>
  <c r="Z6" i="12" s="1"/>
  <c r="AA137" i="1"/>
  <c r="AE135" i="12"/>
  <c r="Y8" i="1"/>
  <c r="Y8" i="12"/>
  <c r="Y6" i="12" s="1"/>
  <c r="X105" i="1"/>
  <c r="Y94" i="12"/>
  <c r="J7" i="1"/>
  <c r="J7" i="12"/>
  <c r="X7" i="1"/>
  <c r="X7" i="12"/>
  <c r="R135" i="12"/>
  <c r="AB169" i="1"/>
  <c r="AI176" i="12"/>
  <c r="AA169" i="1"/>
  <c r="AE176" i="12"/>
  <c r="AA105" i="1"/>
  <c r="AE94" i="12"/>
  <c r="P169" i="1"/>
  <c r="O176" i="12"/>
  <c r="X8" i="1"/>
  <c r="X8" i="12"/>
  <c r="R176" i="12"/>
  <c r="P201" i="1"/>
  <c r="O217" i="12"/>
  <c r="R217" i="12" s="1"/>
  <c r="AC8" i="1"/>
  <c r="AC6" i="1" s="1"/>
  <c r="AC8" i="12"/>
  <c r="AC6" i="12" s="1"/>
  <c r="AA201" i="1"/>
  <c r="AE217" i="12"/>
  <c r="O94" i="12"/>
  <c r="P105" i="1"/>
  <c r="AB105" i="1"/>
  <c r="AI94" i="12"/>
  <c r="AA8" i="1"/>
  <c r="AA8" i="12"/>
  <c r="AA236" i="1"/>
  <c r="AE258" i="12"/>
  <c r="AL258" i="12" s="1"/>
  <c r="C110" i="7"/>
  <c r="B109" i="7"/>
  <c r="B123" i="7"/>
  <c r="B125" i="7"/>
  <c r="B110" i="7"/>
  <c r="D36" i="5"/>
  <c r="Y6" i="1"/>
  <c r="S37" i="8"/>
  <c r="AB7" i="1"/>
  <c r="AB6" i="1" s="1"/>
  <c r="Y29" i="8"/>
  <c r="P37" i="8"/>
  <c r="U46" i="8"/>
  <c r="M37" i="8"/>
  <c r="Z7" i="1"/>
  <c r="J37" i="8"/>
  <c r="Y46" i="8"/>
  <c r="H27" i="7"/>
  <c r="I27" i="7"/>
  <c r="D27" i="7"/>
  <c r="E27" i="7"/>
  <c r="B32" i="6"/>
  <c r="I47" i="7"/>
  <c r="I46" i="7"/>
  <c r="F33" i="10"/>
  <c r="E33" i="10"/>
  <c r="G33" i="10"/>
  <c r="H18" i="10"/>
  <c r="H19" i="10" s="1"/>
  <c r="H33" i="10"/>
  <c r="H26" i="6"/>
  <c r="B31" i="10"/>
  <c r="B19" i="10"/>
  <c r="H7" i="1"/>
  <c r="B61" i="6"/>
  <c r="B63" i="5"/>
  <c r="I7" i="1"/>
  <c r="D28" i="5"/>
  <c r="D55" i="5" s="1"/>
  <c r="E27" i="5"/>
  <c r="D54" i="5"/>
  <c r="C63" i="7"/>
  <c r="C69" i="7"/>
  <c r="F7" i="1"/>
  <c r="E34" i="7"/>
  <c r="E49" i="7" s="1"/>
  <c r="E26" i="6"/>
  <c r="E46" i="6" s="1"/>
  <c r="E49" i="6" s="1"/>
  <c r="D34" i="7"/>
  <c r="D49" i="7" s="1"/>
  <c r="D26" i="6"/>
  <c r="D46" i="6" s="1"/>
  <c r="D49" i="6" s="1"/>
  <c r="M46" i="8"/>
  <c r="I33" i="7"/>
  <c r="E7" i="1"/>
  <c r="C108" i="7"/>
  <c r="B108" i="7"/>
  <c r="B124" i="7"/>
  <c r="C36" i="5"/>
  <c r="D7" i="1"/>
  <c r="B73" i="7"/>
  <c r="B69" i="7"/>
  <c r="B70" i="7"/>
  <c r="B71" i="7"/>
  <c r="B72" i="7"/>
  <c r="B90" i="7"/>
  <c r="E36" i="5"/>
  <c r="G26" i="6"/>
  <c r="G46" i="6" s="1"/>
  <c r="G49" i="6" s="1"/>
  <c r="G34" i="7"/>
  <c r="G49" i="7" s="1"/>
  <c r="E169" i="1"/>
  <c r="P29" i="8"/>
  <c r="I19" i="5"/>
  <c r="C69" i="5" s="1"/>
  <c r="H17" i="5"/>
  <c r="E63" i="5"/>
  <c r="C63" i="5"/>
  <c r="C18" i="10"/>
  <c r="C19" i="10" s="1"/>
  <c r="G7" i="1"/>
  <c r="D18" i="10"/>
  <c r="D19" i="10" s="1"/>
  <c r="F60" i="6"/>
  <c r="C109" i="7"/>
  <c r="C107" i="7"/>
  <c r="C102" i="7"/>
  <c r="B122" i="7"/>
  <c r="M29" i="8"/>
  <c r="E137" i="1"/>
  <c r="C124" i="7"/>
  <c r="C125" i="7"/>
  <c r="C181" i="7"/>
  <c r="C122" i="7"/>
  <c r="C123" i="7"/>
  <c r="K11" i="10"/>
  <c r="L11" i="10" s="1"/>
  <c r="S29" i="8"/>
  <c r="E201" i="1"/>
  <c r="B107" i="7"/>
  <c r="E18" i="10"/>
  <c r="E19" i="10" s="1"/>
  <c r="D22" i="8"/>
  <c r="D21" i="8"/>
  <c r="I29" i="6"/>
  <c r="I27" i="6"/>
  <c r="AC46" i="8"/>
  <c r="X236" i="1"/>
  <c r="AE236" i="1" s="1"/>
  <c r="F18" i="10"/>
  <c r="F19" i="10" s="1"/>
  <c r="P20" i="8"/>
  <c r="M20" i="8"/>
  <c r="Y20" i="8"/>
  <c r="J8" i="12" s="1"/>
  <c r="V20" i="8"/>
  <c r="J20" i="8"/>
  <c r="S20" i="8"/>
  <c r="G20" i="8"/>
  <c r="C8" i="1"/>
  <c r="C6" i="1" s="1"/>
  <c r="F34" i="7"/>
  <c r="F49" i="7" s="1"/>
  <c r="F26" i="6"/>
  <c r="F46" i="6" s="1"/>
  <c r="F49" i="6" s="1"/>
  <c r="D63" i="5"/>
  <c r="S105" i="1"/>
  <c r="J29" i="8"/>
  <c r="Q46" i="8"/>
  <c r="X137" i="1"/>
  <c r="D177" i="7"/>
  <c r="Y92" i="12" s="1"/>
  <c r="I21" i="10"/>
  <c r="E21" i="10" s="1"/>
  <c r="G18" i="10"/>
  <c r="G19" i="10" s="1"/>
  <c r="V29" i="8"/>
  <c r="E236" i="1"/>
  <c r="I110" i="7" l="1"/>
  <c r="F110" i="7" s="1"/>
  <c r="K72" i="7"/>
  <c r="K71" i="7"/>
  <c r="I71" i="7" s="1"/>
  <c r="H71" i="7" s="1"/>
  <c r="K70" i="7"/>
  <c r="K69" i="7"/>
  <c r="I69" i="7" s="1"/>
  <c r="H69" i="7" s="1"/>
  <c r="K87" i="7"/>
  <c r="K88" i="7"/>
  <c r="K85" i="7"/>
  <c r="K86" i="7"/>
  <c r="AE105" i="1"/>
  <c r="AE201" i="1"/>
  <c r="AE137" i="1"/>
  <c r="AL135" i="12"/>
  <c r="Z6" i="1"/>
  <c r="S201" i="1"/>
  <c r="F27" i="7"/>
  <c r="G27" i="7"/>
  <c r="H29" i="6"/>
  <c r="H46" i="6"/>
  <c r="H49" i="6" s="1"/>
  <c r="D45" i="6"/>
  <c r="C47" i="6"/>
  <c r="C52" i="6"/>
  <c r="S137" i="1"/>
  <c r="S236" i="1"/>
  <c r="F33" i="7"/>
  <c r="I123" i="7"/>
  <c r="E123" i="7" s="1"/>
  <c r="F46" i="7"/>
  <c r="G46" i="7"/>
  <c r="D46" i="7"/>
  <c r="H46" i="7"/>
  <c r="E46" i="7"/>
  <c r="E47" i="7"/>
  <c r="F47" i="7"/>
  <c r="G47" i="7"/>
  <c r="H47" i="7"/>
  <c r="D47" i="7"/>
  <c r="I109" i="7"/>
  <c r="H109" i="7" s="1"/>
  <c r="AF201" i="1"/>
  <c r="D8" i="1"/>
  <c r="D6" i="1" s="1"/>
  <c r="D8" i="12"/>
  <c r="D6" i="12" s="1"/>
  <c r="X6" i="12"/>
  <c r="X6" i="1"/>
  <c r="I8" i="1"/>
  <c r="I6" i="1" s="1"/>
  <c r="I8" i="12"/>
  <c r="I6" i="12" s="1"/>
  <c r="F8" i="1"/>
  <c r="F6" i="1" s="1"/>
  <c r="F8" i="12"/>
  <c r="F6" i="12" s="1"/>
  <c r="J6" i="12"/>
  <c r="AL217" i="12"/>
  <c r="G8" i="1"/>
  <c r="G6" i="1" s="1"/>
  <c r="G8" i="12"/>
  <c r="G6" i="12" s="1"/>
  <c r="H8" i="1"/>
  <c r="H6" i="1" s="1"/>
  <c r="H8" i="12"/>
  <c r="H6" i="12" s="1"/>
  <c r="AL176" i="12"/>
  <c r="AL94" i="12"/>
  <c r="AA6" i="1"/>
  <c r="AE169" i="1"/>
  <c r="S169" i="1"/>
  <c r="R94" i="12"/>
  <c r="E8" i="1"/>
  <c r="E6" i="1" s="1"/>
  <c r="E8" i="12"/>
  <c r="E6" i="12" s="1"/>
  <c r="AA6" i="12"/>
  <c r="I125" i="7"/>
  <c r="E125" i="7" s="1"/>
  <c r="I72" i="7"/>
  <c r="D72" i="7" s="1"/>
  <c r="I70" i="7"/>
  <c r="E70" i="7" s="1"/>
  <c r="H33" i="7"/>
  <c r="F21" i="10"/>
  <c r="G21" i="10"/>
  <c r="D33" i="7"/>
  <c r="G21" i="8"/>
  <c r="G22" i="8" s="1"/>
  <c r="J21" i="8"/>
  <c r="J22" i="8" s="1"/>
  <c r="G33" i="7"/>
  <c r="H21" i="10"/>
  <c r="E33" i="7"/>
  <c r="I48" i="7"/>
  <c r="H27" i="6"/>
  <c r="H32" i="6" s="1"/>
  <c r="H20" i="10"/>
  <c r="I20" i="10"/>
  <c r="E110" i="7"/>
  <c r="H110" i="7"/>
  <c r="G110" i="7"/>
  <c r="B69" i="5"/>
  <c r="B71" i="5" s="1"/>
  <c r="D20" i="10"/>
  <c r="C20" i="10"/>
  <c r="P21" i="8"/>
  <c r="P22" i="8" s="1"/>
  <c r="C71" i="5"/>
  <c r="E29" i="6"/>
  <c r="E27" i="6"/>
  <c r="F20" i="10"/>
  <c r="I73" i="7"/>
  <c r="H73" i="7" s="1"/>
  <c r="D27" i="6"/>
  <c r="D29" i="6"/>
  <c r="I108" i="7"/>
  <c r="H108" i="7" s="1"/>
  <c r="F29" i="6"/>
  <c r="F27" i="6"/>
  <c r="E177" i="7"/>
  <c r="Y133" i="12" s="1"/>
  <c r="X103" i="1"/>
  <c r="S21" i="8"/>
  <c r="S22" i="8" s="1"/>
  <c r="E42" i="5"/>
  <c r="E44" i="5" s="1"/>
  <c r="C42" i="5"/>
  <c r="C44" i="5" s="1"/>
  <c r="B42" i="5"/>
  <c r="B44" i="5" s="1"/>
  <c r="D42" i="5"/>
  <c r="D69" i="5"/>
  <c r="G29" i="6"/>
  <c r="G27" i="6"/>
  <c r="B88" i="7"/>
  <c r="B89" i="7"/>
  <c r="B85" i="7"/>
  <c r="B87" i="7"/>
  <c r="B86" i="7"/>
  <c r="M21" i="8"/>
  <c r="M22" i="8" s="1"/>
  <c r="I122" i="7"/>
  <c r="H122" i="7" s="1"/>
  <c r="J8" i="1"/>
  <c r="J6" i="1" s="1"/>
  <c r="Y21" i="8"/>
  <c r="Y22" i="8" s="1"/>
  <c r="E20" i="10"/>
  <c r="V21" i="8"/>
  <c r="V22" i="8" s="1"/>
  <c r="E28" i="5"/>
  <c r="E55" i="5" s="1"/>
  <c r="F27" i="5"/>
  <c r="E54" i="5"/>
  <c r="G20" i="10"/>
  <c r="D21" i="10"/>
  <c r="I32" i="6"/>
  <c r="I107" i="7"/>
  <c r="G60" i="6"/>
  <c r="E69" i="5"/>
  <c r="E71" i="5" s="1"/>
  <c r="I124" i="7"/>
  <c r="E124" i="7" s="1"/>
  <c r="D110" i="7" l="1"/>
  <c r="H123" i="7"/>
  <c r="D123" i="7"/>
  <c r="F123" i="7"/>
  <c r="G123" i="7"/>
  <c r="D47" i="6"/>
  <c r="D52" i="6" s="1"/>
  <c r="E45" i="6"/>
  <c r="E48" i="7"/>
  <c r="G125" i="7"/>
  <c r="F109" i="7"/>
  <c r="G109" i="7"/>
  <c r="E109" i="7"/>
  <c r="D109" i="7"/>
  <c r="F125" i="7"/>
  <c r="H125" i="7"/>
  <c r="D125" i="7"/>
  <c r="H48" i="7"/>
  <c r="G48" i="7"/>
  <c r="F72" i="7"/>
  <c r="D48" i="7"/>
  <c r="F48" i="7"/>
  <c r="E9" i="1"/>
  <c r="E9" i="12"/>
  <c r="D9" i="1"/>
  <c r="D9" i="12"/>
  <c r="H9" i="1"/>
  <c r="H9" i="12"/>
  <c r="J9" i="1"/>
  <c r="J9" i="12"/>
  <c r="F9" i="1"/>
  <c r="F9" i="12"/>
  <c r="I9" i="1"/>
  <c r="I9" i="12"/>
  <c r="G9" i="1"/>
  <c r="G9" i="12"/>
  <c r="E72" i="7"/>
  <c r="H72" i="7"/>
  <c r="D124" i="7"/>
  <c r="F122" i="7"/>
  <c r="F124" i="7"/>
  <c r="G124" i="7"/>
  <c r="H70" i="7"/>
  <c r="I111" i="7"/>
  <c r="H107" i="7"/>
  <c r="H111" i="7" s="1"/>
  <c r="D73" i="7"/>
  <c r="E108" i="7"/>
  <c r="D108" i="7"/>
  <c r="D70" i="7"/>
  <c r="F70" i="7"/>
  <c r="D122" i="7"/>
  <c r="F108" i="7"/>
  <c r="G70" i="7"/>
  <c r="E122" i="7"/>
  <c r="E126" i="7" s="1"/>
  <c r="E181" i="7" s="1"/>
  <c r="G108" i="7"/>
  <c r="G72" i="7"/>
  <c r="F73" i="7"/>
  <c r="G122" i="7"/>
  <c r="F69" i="7"/>
  <c r="F107" i="7"/>
  <c r="G107" i="7"/>
  <c r="G32" i="6"/>
  <c r="I74" i="7"/>
  <c r="H35" i="6"/>
  <c r="H38" i="6"/>
  <c r="H37" i="6"/>
  <c r="H39" i="6"/>
  <c r="I70" i="5"/>
  <c r="G69" i="5"/>
  <c r="H70" i="5"/>
  <c r="F69" i="5"/>
  <c r="G70" i="5"/>
  <c r="F70" i="5"/>
  <c r="J69" i="5"/>
  <c r="H69" i="5"/>
  <c r="K70" i="5"/>
  <c r="J70" i="5"/>
  <c r="K69" i="5"/>
  <c r="I69" i="5"/>
  <c r="E73" i="7"/>
  <c r="I86" i="7"/>
  <c r="D86" i="7" s="1"/>
  <c r="G71" i="7"/>
  <c r="I87" i="7"/>
  <c r="E87" i="7" s="1"/>
  <c r="G73" i="7"/>
  <c r="I85" i="7"/>
  <c r="G85" i="7" s="1"/>
  <c r="I89" i="7"/>
  <c r="F89" i="7" s="1"/>
  <c r="I35" i="6"/>
  <c r="I38" i="6"/>
  <c r="I36" i="6"/>
  <c r="I39" i="6"/>
  <c r="I37" i="6"/>
  <c r="H60" i="6"/>
  <c r="D71" i="7"/>
  <c r="E71" i="7"/>
  <c r="I88" i="7"/>
  <c r="H88" i="7" s="1"/>
  <c r="D69" i="7"/>
  <c r="G43" i="5"/>
  <c r="F43" i="5"/>
  <c r="K42" i="5"/>
  <c r="J43" i="5"/>
  <c r="H42" i="5"/>
  <c r="J42" i="5"/>
  <c r="I42" i="5"/>
  <c r="G42" i="5"/>
  <c r="F42" i="5"/>
  <c r="I43" i="5"/>
  <c r="K43" i="5"/>
  <c r="H43" i="5"/>
  <c r="D44" i="5"/>
  <c r="F54" i="5"/>
  <c r="G27" i="5"/>
  <c r="F28" i="5"/>
  <c r="F55" i="5" s="1"/>
  <c r="F36" i="5"/>
  <c r="F37" i="5"/>
  <c r="F177" i="7"/>
  <c r="Y174" i="12" s="1"/>
  <c r="X135" i="1"/>
  <c r="H124" i="7"/>
  <c r="D107" i="7"/>
  <c r="F71" i="7"/>
  <c r="I126" i="7"/>
  <c r="E32" i="6"/>
  <c r="G69" i="7"/>
  <c r="E107" i="7"/>
  <c r="F32" i="6"/>
  <c r="D32" i="6"/>
  <c r="E69" i="7"/>
  <c r="D71" i="5"/>
  <c r="I169" i="7" l="1"/>
  <c r="N298" i="12" s="1"/>
  <c r="I170" i="7"/>
  <c r="O298" i="12" s="1"/>
  <c r="H169" i="7"/>
  <c r="H170" i="7"/>
  <c r="I165" i="7"/>
  <c r="I164" i="7"/>
  <c r="I163" i="7"/>
  <c r="E297" i="12" s="1"/>
  <c r="H126" i="7"/>
  <c r="E47" i="6"/>
  <c r="E52" i="6" s="1"/>
  <c r="F45" i="6"/>
  <c r="D63" i="6"/>
  <c r="D57" i="6"/>
  <c r="D59" i="6"/>
  <c r="D62" i="6"/>
  <c r="G126" i="7"/>
  <c r="G181" i="7" s="1"/>
  <c r="G183" i="7" s="1"/>
  <c r="D126" i="7"/>
  <c r="D181" i="7" s="1"/>
  <c r="D183" i="7" s="1"/>
  <c r="AG93" i="12" s="1"/>
  <c r="F126" i="7"/>
  <c r="F181" i="7" s="1"/>
  <c r="F183" i="7" s="1"/>
  <c r="H74" i="7"/>
  <c r="F44" i="5"/>
  <c r="E91" i="12" s="1"/>
  <c r="Q261" i="1"/>
  <c r="Q266" i="1" s="1"/>
  <c r="Q268" i="1" s="1"/>
  <c r="Q260" i="1" s="1"/>
  <c r="Q255" i="1" s="1"/>
  <c r="Q259" i="1" s="1"/>
  <c r="P295" i="12"/>
  <c r="O264" i="1"/>
  <c r="M298" i="12"/>
  <c r="L298" i="12"/>
  <c r="K298" i="12"/>
  <c r="J298" i="12"/>
  <c r="I298" i="12"/>
  <c r="E267" i="1"/>
  <c r="S267" i="1" s="1"/>
  <c r="E302" i="12"/>
  <c r="O261" i="1"/>
  <c r="N295" i="12"/>
  <c r="M295" i="12"/>
  <c r="L295" i="12"/>
  <c r="K295" i="12"/>
  <c r="J295" i="12"/>
  <c r="I295" i="12"/>
  <c r="E261" i="1"/>
  <c r="E295" i="12"/>
  <c r="P261" i="1"/>
  <c r="O295" i="12"/>
  <c r="Q232" i="1"/>
  <c r="Q237" i="1" s="1"/>
  <c r="Q239" i="1" s="1"/>
  <c r="Q231" i="1" s="1"/>
  <c r="Q226" i="1" s="1"/>
  <c r="Q230" i="1" s="1"/>
  <c r="P254" i="12"/>
  <c r="E238" i="1"/>
  <c r="S238" i="1" s="1"/>
  <c r="E261" i="12"/>
  <c r="I254" i="12"/>
  <c r="N254" i="12"/>
  <c r="M254" i="12"/>
  <c r="L254" i="12"/>
  <c r="K254" i="12"/>
  <c r="J254" i="12"/>
  <c r="E232" i="1"/>
  <c r="E254" i="12"/>
  <c r="E111" i="7"/>
  <c r="D111" i="7"/>
  <c r="F74" i="7"/>
  <c r="G74" i="7"/>
  <c r="G89" i="7"/>
  <c r="D85" i="7"/>
  <c r="E85" i="7"/>
  <c r="H85" i="7"/>
  <c r="C87" i="7"/>
  <c r="C85" i="7"/>
  <c r="G111" i="7"/>
  <c r="F85" i="7"/>
  <c r="F111" i="7"/>
  <c r="E88" i="7"/>
  <c r="D87" i="7"/>
  <c r="F87" i="7"/>
  <c r="H87" i="7"/>
  <c r="G87" i="7"/>
  <c r="E74" i="7"/>
  <c r="H36" i="6"/>
  <c r="E86" i="7"/>
  <c r="D74" i="7"/>
  <c r="F86" i="7"/>
  <c r="G86" i="7"/>
  <c r="H86" i="7"/>
  <c r="F38" i="6"/>
  <c r="F35" i="6"/>
  <c r="F37" i="6"/>
  <c r="F39" i="6"/>
  <c r="E35" i="6"/>
  <c r="E38" i="6"/>
  <c r="E37" i="6"/>
  <c r="E39" i="6"/>
  <c r="F88" i="7"/>
  <c r="G54" i="5"/>
  <c r="H27" i="5"/>
  <c r="G28" i="5"/>
  <c r="G55" i="5" s="1"/>
  <c r="G36" i="5"/>
  <c r="G44" i="5" s="1"/>
  <c r="E132" i="12" s="1"/>
  <c r="G37" i="5"/>
  <c r="G45" i="5" s="1"/>
  <c r="C88" i="7"/>
  <c r="G35" i="6"/>
  <c r="G36" i="6" s="1"/>
  <c r="G38" i="6"/>
  <c r="G37" i="6"/>
  <c r="G39" i="6"/>
  <c r="H89" i="7"/>
  <c r="D35" i="6"/>
  <c r="D38" i="6"/>
  <c r="D39" i="6"/>
  <c r="D37" i="6"/>
  <c r="F64" i="5"/>
  <c r="F72" i="5" s="1"/>
  <c r="F63" i="5"/>
  <c r="F71" i="5" s="1"/>
  <c r="Y91" i="12" s="1"/>
  <c r="G177" i="7"/>
  <c r="Y215" i="12" s="1"/>
  <c r="X167" i="1"/>
  <c r="E183" i="7"/>
  <c r="D89" i="7"/>
  <c r="I90" i="7"/>
  <c r="D88" i="7"/>
  <c r="C89" i="7"/>
  <c r="F45" i="5"/>
  <c r="G88" i="7"/>
  <c r="E89" i="7"/>
  <c r="C86" i="7"/>
  <c r="O197" i="1"/>
  <c r="O232" i="1"/>
  <c r="D169" i="7" l="1"/>
  <c r="D170" i="7"/>
  <c r="E170" i="7"/>
  <c r="O134" i="12" s="1"/>
  <c r="E169" i="7"/>
  <c r="L134" i="12" s="1"/>
  <c r="G169" i="7"/>
  <c r="G170" i="7"/>
  <c r="R298" i="12"/>
  <c r="F169" i="7"/>
  <c r="F170" i="7"/>
  <c r="E165" i="7"/>
  <c r="E163" i="7"/>
  <c r="E133" i="12" s="1"/>
  <c r="E164" i="7"/>
  <c r="G165" i="7"/>
  <c r="G164" i="7"/>
  <c r="G163" i="7"/>
  <c r="E215" i="12" s="1"/>
  <c r="F165" i="7"/>
  <c r="P167" i="1" s="1"/>
  <c r="F163" i="7"/>
  <c r="E174" i="12" s="1"/>
  <c r="F164" i="7"/>
  <c r="O167" i="1" s="1"/>
  <c r="H164" i="7"/>
  <c r="O234" i="1" s="1"/>
  <c r="H165" i="7"/>
  <c r="P234" i="1" s="1"/>
  <c r="H163" i="7"/>
  <c r="E256" i="12" s="1"/>
  <c r="D164" i="7"/>
  <c r="K92" i="12" s="1"/>
  <c r="D165" i="7"/>
  <c r="O92" i="12" s="1"/>
  <c r="D163" i="7"/>
  <c r="E103" i="1" s="1"/>
  <c r="AA104" i="1"/>
  <c r="AA101" i="1"/>
  <c r="AG90" i="12"/>
  <c r="AH90" i="12"/>
  <c r="AC90" i="12"/>
  <c r="AF90" i="12"/>
  <c r="AE90" i="12"/>
  <c r="AD90" i="12"/>
  <c r="X101" i="1"/>
  <c r="AE101" i="1" s="1"/>
  <c r="Y90" i="12"/>
  <c r="AL90" i="12" s="1"/>
  <c r="D61" i="6"/>
  <c r="AA107" i="1" s="1"/>
  <c r="Y97" i="12"/>
  <c r="AL97" i="12" s="1"/>
  <c r="X107" i="1"/>
  <c r="AE107" i="1" s="1"/>
  <c r="AB101" i="1"/>
  <c r="AI90" i="12"/>
  <c r="AC101" i="1"/>
  <c r="AC106" i="1" s="1"/>
  <c r="AC108" i="1" s="1"/>
  <c r="AC100" i="1" s="1"/>
  <c r="AC95" i="1" s="1"/>
  <c r="AC99" i="1" s="1"/>
  <c r="AJ90" i="12"/>
  <c r="G45" i="6"/>
  <c r="F47" i="6"/>
  <c r="F52" i="6" s="1"/>
  <c r="E62" i="6"/>
  <c r="E57" i="6"/>
  <c r="E63" i="6"/>
  <c r="E59" i="6"/>
  <c r="AC93" i="12"/>
  <c r="AD93" i="12"/>
  <c r="AE93" i="12"/>
  <c r="AF93" i="12"/>
  <c r="AH93" i="12"/>
  <c r="L93" i="12"/>
  <c r="S261" i="1"/>
  <c r="E102" i="1"/>
  <c r="AB102" i="1"/>
  <c r="AI91" i="12"/>
  <c r="AL91" i="12" s="1"/>
  <c r="P134" i="1"/>
  <c r="O132" i="12"/>
  <c r="R132" i="12" s="1"/>
  <c r="O91" i="12"/>
  <c r="R91" i="12" s="1"/>
  <c r="P102" i="1"/>
  <c r="P235" i="1"/>
  <c r="O257" i="12"/>
  <c r="AE175" i="12"/>
  <c r="AG175" i="12"/>
  <c r="AF175" i="12"/>
  <c r="AD175" i="12"/>
  <c r="AH175" i="12"/>
  <c r="AC175" i="12"/>
  <c r="I174" i="12"/>
  <c r="R302" i="12"/>
  <c r="AA200" i="1"/>
  <c r="AF216" i="12"/>
  <c r="AE216" i="12"/>
  <c r="AD216" i="12"/>
  <c r="AC216" i="12"/>
  <c r="AH216" i="12"/>
  <c r="AG216" i="12"/>
  <c r="O136" i="1"/>
  <c r="N134" i="12"/>
  <c r="M134" i="12"/>
  <c r="P264" i="1"/>
  <c r="P263" i="1"/>
  <c r="O297" i="12"/>
  <c r="O263" i="1"/>
  <c r="O266" i="1" s="1"/>
  <c r="O268" i="1" s="1"/>
  <c r="J297" i="12"/>
  <c r="J301" i="12" s="1"/>
  <c r="J303" i="12" s="1"/>
  <c r="I297" i="12"/>
  <c r="I301" i="12" s="1"/>
  <c r="I303" i="12" s="1"/>
  <c r="K297" i="12"/>
  <c r="K301" i="12" s="1"/>
  <c r="K303" i="12" s="1"/>
  <c r="N297" i="12"/>
  <c r="N301" i="12" s="1"/>
  <c r="N303" i="12" s="1"/>
  <c r="M297" i="12"/>
  <c r="M301" i="12" s="1"/>
  <c r="M303" i="12" s="1"/>
  <c r="L297" i="12"/>
  <c r="L301" i="12" s="1"/>
  <c r="L303" i="12" s="1"/>
  <c r="O235" i="1"/>
  <c r="N257" i="12"/>
  <c r="M257" i="12"/>
  <c r="J257" i="12"/>
  <c r="I257" i="12"/>
  <c r="L257" i="12"/>
  <c r="K257" i="12"/>
  <c r="AA235" i="1"/>
  <c r="AH257" i="12"/>
  <c r="AG257" i="12"/>
  <c r="AF257" i="12"/>
  <c r="AE257" i="12"/>
  <c r="AD257" i="12"/>
  <c r="AC257" i="12"/>
  <c r="P301" i="12"/>
  <c r="P303" i="12" s="1"/>
  <c r="P293" i="12"/>
  <c r="P283" i="12" s="1"/>
  <c r="AF298" i="12"/>
  <c r="AE298" i="12"/>
  <c r="AD298" i="12"/>
  <c r="AC298" i="12"/>
  <c r="AH298" i="12"/>
  <c r="AG298" i="12"/>
  <c r="AH134" i="12"/>
  <c r="AG134" i="12"/>
  <c r="AF134" i="12"/>
  <c r="AC134" i="12"/>
  <c r="AE134" i="12"/>
  <c r="AD134" i="12"/>
  <c r="P232" i="1"/>
  <c r="S232" i="1" s="1"/>
  <c r="O254" i="12"/>
  <c r="R261" i="12"/>
  <c r="P260" i="12"/>
  <c r="P262" i="12" s="1"/>
  <c r="P252" i="12"/>
  <c r="P242" i="12" s="1"/>
  <c r="P197" i="1"/>
  <c r="O213" i="12"/>
  <c r="N213" i="12"/>
  <c r="I213" i="12"/>
  <c r="M213" i="12"/>
  <c r="L213" i="12"/>
  <c r="K213" i="12"/>
  <c r="J213" i="12"/>
  <c r="Q197" i="1"/>
  <c r="Q202" i="1" s="1"/>
  <c r="Q204" i="1" s="1"/>
  <c r="Q196" i="1" s="1"/>
  <c r="Q191" i="1" s="1"/>
  <c r="Q195" i="1" s="1"/>
  <c r="P213" i="12"/>
  <c r="E203" i="1"/>
  <c r="S203" i="1" s="1"/>
  <c r="E220" i="12"/>
  <c r="E197" i="1"/>
  <c r="E213" i="12"/>
  <c r="O165" i="1"/>
  <c r="N172" i="12"/>
  <c r="M172" i="12"/>
  <c r="L172" i="12"/>
  <c r="K172" i="12"/>
  <c r="J172" i="12"/>
  <c r="I172" i="12"/>
  <c r="E171" i="1"/>
  <c r="S171" i="1" s="1"/>
  <c r="E179" i="12"/>
  <c r="R179" i="12" s="1"/>
  <c r="Q165" i="1"/>
  <c r="Q170" i="1" s="1"/>
  <c r="Q172" i="1" s="1"/>
  <c r="Q164" i="1" s="1"/>
  <c r="Q159" i="1" s="1"/>
  <c r="Q163" i="1" s="1"/>
  <c r="P172" i="12"/>
  <c r="E165" i="1"/>
  <c r="E172" i="12"/>
  <c r="Q133" i="1"/>
  <c r="Q138" i="1" s="1"/>
  <c r="Q140" i="1" s="1"/>
  <c r="Q132" i="1" s="1"/>
  <c r="Q127" i="1" s="1"/>
  <c r="Q131" i="1" s="1"/>
  <c r="P131" i="12"/>
  <c r="O133" i="1"/>
  <c r="N131" i="12"/>
  <c r="M131" i="12"/>
  <c r="I131" i="12"/>
  <c r="L131" i="12"/>
  <c r="K131" i="12"/>
  <c r="J131" i="12"/>
  <c r="E133" i="1"/>
  <c r="E131" i="12"/>
  <c r="E139" i="1"/>
  <c r="S139" i="1" s="1"/>
  <c r="E138" i="12"/>
  <c r="R138" i="12" s="1"/>
  <c r="O101" i="1"/>
  <c r="N90" i="12"/>
  <c r="J90" i="12"/>
  <c r="I90" i="12"/>
  <c r="M90" i="12"/>
  <c r="L90" i="12"/>
  <c r="K90" i="12"/>
  <c r="P90" i="12"/>
  <c r="Q101" i="1"/>
  <c r="Q106" i="1" s="1"/>
  <c r="Q108" i="1" s="1"/>
  <c r="Q100" i="1" s="1"/>
  <c r="Q95" i="1" s="1"/>
  <c r="Q99" i="1" s="1"/>
  <c r="E90" i="12"/>
  <c r="E101" i="1"/>
  <c r="E97" i="12"/>
  <c r="R97" i="12" s="1"/>
  <c r="E107" i="1"/>
  <c r="S107" i="1" s="1"/>
  <c r="E90" i="7"/>
  <c r="E178" i="7" s="1"/>
  <c r="F90" i="7"/>
  <c r="F178" i="7" s="1"/>
  <c r="D90" i="7"/>
  <c r="D178" i="7" s="1"/>
  <c r="F36" i="6"/>
  <c r="G90" i="7"/>
  <c r="G178" i="7" s="1"/>
  <c r="H90" i="7"/>
  <c r="H178" i="7" s="1"/>
  <c r="E199" i="1"/>
  <c r="I178" i="7"/>
  <c r="F73" i="5"/>
  <c r="X102" i="1"/>
  <c r="D36" i="6"/>
  <c r="AA264" i="1"/>
  <c r="F46" i="5"/>
  <c r="AA168" i="1"/>
  <c r="AA136" i="1"/>
  <c r="G46" i="5"/>
  <c r="E134" i="1"/>
  <c r="H54" i="5"/>
  <c r="I27" i="5"/>
  <c r="H28" i="5"/>
  <c r="H55" i="5" s="1"/>
  <c r="H36" i="5"/>
  <c r="H44" i="5" s="1"/>
  <c r="E173" i="12" s="1"/>
  <c r="H37" i="5"/>
  <c r="H45" i="5" s="1"/>
  <c r="E36" i="6"/>
  <c r="H177" i="7"/>
  <c r="Y256" i="12" s="1"/>
  <c r="X199" i="1"/>
  <c r="G63" i="5"/>
  <c r="G71" i="5" s="1"/>
  <c r="Y132" i="12" s="1"/>
  <c r="G64" i="5"/>
  <c r="G72" i="5" s="1"/>
  <c r="E263" i="1"/>
  <c r="E135" i="1" l="1"/>
  <c r="I92" i="12"/>
  <c r="M92" i="12"/>
  <c r="N92" i="12"/>
  <c r="L92" i="12"/>
  <c r="O103" i="1"/>
  <c r="E234" i="1"/>
  <c r="S234" i="1" s="1"/>
  <c r="I256" i="12"/>
  <c r="I260" i="12" s="1"/>
  <c r="I262" i="12" s="1"/>
  <c r="O256" i="12"/>
  <c r="K256" i="12"/>
  <c r="K260" i="12" s="1"/>
  <c r="K262" i="12" s="1"/>
  <c r="J256" i="12"/>
  <c r="J260" i="12" s="1"/>
  <c r="J262" i="12" s="1"/>
  <c r="J174" i="12"/>
  <c r="M256" i="12"/>
  <c r="M260" i="12" s="1"/>
  <c r="M262" i="12" s="1"/>
  <c r="K174" i="12"/>
  <c r="N256" i="12"/>
  <c r="N260" i="12" s="1"/>
  <c r="N262" i="12" s="1"/>
  <c r="L174" i="12"/>
  <c r="L256" i="12"/>
  <c r="M174" i="12"/>
  <c r="N174" i="12"/>
  <c r="J92" i="12"/>
  <c r="R297" i="12"/>
  <c r="O104" i="1"/>
  <c r="P136" i="1"/>
  <c r="J93" i="12"/>
  <c r="J96" i="12" s="1"/>
  <c r="J98" i="12" s="1"/>
  <c r="J134" i="12"/>
  <c r="M93" i="12"/>
  <c r="I134" i="12"/>
  <c r="N93" i="12"/>
  <c r="N96" i="12" s="1"/>
  <c r="N98" i="12" s="1"/>
  <c r="K134" i="12"/>
  <c r="I93" i="12"/>
  <c r="E61" i="6"/>
  <c r="AA139" i="1" s="1"/>
  <c r="Y138" i="12"/>
  <c r="AL138" i="12" s="1"/>
  <c r="X139" i="1"/>
  <c r="AE139" i="1" s="1"/>
  <c r="Y131" i="12"/>
  <c r="X133" i="1"/>
  <c r="AI131" i="12"/>
  <c r="AB133" i="1"/>
  <c r="AH131" i="12"/>
  <c r="AF131" i="12"/>
  <c r="AD131" i="12"/>
  <c r="AG131" i="12"/>
  <c r="AE131" i="12"/>
  <c r="AA133" i="1"/>
  <c r="AC131" i="12"/>
  <c r="AJ131" i="12"/>
  <c r="AC133" i="1"/>
  <c r="AC138" i="1" s="1"/>
  <c r="AC140" i="1" s="1"/>
  <c r="AC132" i="1" s="1"/>
  <c r="AC127" i="1" s="1"/>
  <c r="AC131" i="1" s="1"/>
  <c r="F63" i="6"/>
  <c r="F59" i="6"/>
  <c r="F62" i="6"/>
  <c r="F57" i="6"/>
  <c r="H45" i="6"/>
  <c r="G47" i="6"/>
  <c r="G52" i="6" s="1"/>
  <c r="AJ96" i="12"/>
  <c r="AJ98" i="12" s="1"/>
  <c r="AJ88" i="12"/>
  <c r="AJ78" i="12" s="1"/>
  <c r="E92" i="12"/>
  <c r="K93" i="12"/>
  <c r="K96" i="12" s="1"/>
  <c r="K98" i="12" s="1"/>
  <c r="P103" i="1"/>
  <c r="S103" i="1" s="1"/>
  <c r="O237" i="1"/>
  <c r="O239" i="1" s="1"/>
  <c r="E167" i="1"/>
  <c r="S167" i="1" s="1"/>
  <c r="O174" i="12"/>
  <c r="S263" i="1"/>
  <c r="P251" i="12"/>
  <c r="L242" i="12"/>
  <c r="I242" i="12"/>
  <c r="J242" i="12"/>
  <c r="K242" i="12"/>
  <c r="M242" i="12"/>
  <c r="M252" i="12" s="1"/>
  <c r="N242" i="12"/>
  <c r="S197" i="1"/>
  <c r="P292" i="12"/>
  <c r="J283" i="12"/>
  <c r="M283" i="12"/>
  <c r="M293" i="12" s="1"/>
  <c r="I283" i="12"/>
  <c r="K283" i="12"/>
  <c r="L283" i="12"/>
  <c r="N283" i="12"/>
  <c r="E179" i="7"/>
  <c r="AF133" i="12"/>
  <c r="AF137" i="12" s="1"/>
  <c r="AF139" i="12" s="1"/>
  <c r="AC133" i="12"/>
  <c r="AH133" i="12"/>
  <c r="AH137" i="12" s="1"/>
  <c r="AH139" i="12" s="1"/>
  <c r="AG133" i="12"/>
  <c r="AE133" i="12"/>
  <c r="AD133" i="12"/>
  <c r="D179" i="7"/>
  <c r="AH92" i="12"/>
  <c r="AH96" i="12" s="1"/>
  <c r="AH98" i="12" s="1"/>
  <c r="AG92" i="12"/>
  <c r="AG96" i="12" s="1"/>
  <c r="AG98" i="12" s="1"/>
  <c r="AF92" i="12"/>
  <c r="AF96" i="12" s="1"/>
  <c r="AF98" i="12" s="1"/>
  <c r="AE92" i="12"/>
  <c r="AE96" i="12" s="1"/>
  <c r="AE98" i="12" s="1"/>
  <c r="AD92" i="12"/>
  <c r="AD96" i="12" s="1"/>
  <c r="AD98" i="12" s="1"/>
  <c r="AC92" i="12"/>
  <c r="AC174" i="12"/>
  <c r="AG174" i="12"/>
  <c r="AD174" i="12"/>
  <c r="AH174" i="12"/>
  <c r="AF174" i="12"/>
  <c r="AE174" i="12"/>
  <c r="I179" i="7"/>
  <c r="AF297" i="12"/>
  <c r="AE297" i="12"/>
  <c r="AD297" i="12"/>
  <c r="AC297" i="12"/>
  <c r="AH297" i="12"/>
  <c r="AG297" i="12"/>
  <c r="AH256" i="12"/>
  <c r="AG256" i="12"/>
  <c r="AF256" i="12"/>
  <c r="AE256" i="12"/>
  <c r="AD256" i="12"/>
  <c r="AC256" i="12"/>
  <c r="AA199" i="1"/>
  <c r="AG215" i="12"/>
  <c r="AF215" i="12"/>
  <c r="AH215" i="12"/>
  <c r="AE215" i="12"/>
  <c r="AD215" i="12"/>
  <c r="AC215" i="12"/>
  <c r="M96" i="12"/>
  <c r="M98" i="12" s="1"/>
  <c r="I96" i="12"/>
  <c r="I98" i="12" s="1"/>
  <c r="L260" i="12"/>
  <c r="L262" i="12" s="1"/>
  <c r="P166" i="1"/>
  <c r="O173" i="12"/>
  <c r="R173" i="12" s="1"/>
  <c r="AB134" i="1"/>
  <c r="AI132" i="12"/>
  <c r="AL132" i="12" s="1"/>
  <c r="P135" i="1"/>
  <c r="O133" i="12"/>
  <c r="O200" i="1"/>
  <c r="K216" i="12"/>
  <c r="J216" i="12"/>
  <c r="I216" i="12"/>
  <c r="L216" i="12"/>
  <c r="N216" i="12"/>
  <c r="M216" i="12"/>
  <c r="P200" i="1"/>
  <c r="O216" i="12"/>
  <c r="AB264" i="1"/>
  <c r="AE264" i="1" s="1"/>
  <c r="AI298" i="12"/>
  <c r="AL298" i="12" s="1"/>
  <c r="O199" i="1"/>
  <c r="N215" i="12"/>
  <c r="L215" i="12"/>
  <c r="K215" i="12"/>
  <c r="M215" i="12"/>
  <c r="J215" i="12"/>
  <c r="I215" i="12"/>
  <c r="L96" i="12"/>
  <c r="L98" i="12" s="1"/>
  <c r="O93" i="12"/>
  <c r="P104" i="1"/>
  <c r="P168" i="1"/>
  <c r="O175" i="12"/>
  <c r="O168" i="1"/>
  <c r="O170" i="1" s="1"/>
  <c r="O172" i="1" s="1"/>
  <c r="N175" i="12"/>
  <c r="M175" i="12"/>
  <c r="L175" i="12"/>
  <c r="L178" i="12" s="1"/>
  <c r="L180" i="12" s="1"/>
  <c r="K175" i="12"/>
  <c r="K178" i="12" s="1"/>
  <c r="K180" i="12" s="1"/>
  <c r="J175" i="12"/>
  <c r="I175" i="12"/>
  <c r="I178" i="12" s="1"/>
  <c r="I180" i="12" s="1"/>
  <c r="P199" i="1"/>
  <c r="O215" i="12"/>
  <c r="O135" i="1"/>
  <c r="O138" i="1" s="1"/>
  <c r="O140" i="1" s="1"/>
  <c r="J133" i="12"/>
  <c r="J137" i="12" s="1"/>
  <c r="J139" i="12" s="1"/>
  <c r="I133" i="12"/>
  <c r="L133" i="12"/>
  <c r="L137" i="12" s="1"/>
  <c r="L139" i="12" s="1"/>
  <c r="K133" i="12"/>
  <c r="K137" i="12" s="1"/>
  <c r="K139" i="12" s="1"/>
  <c r="N133" i="12"/>
  <c r="N137" i="12" s="1"/>
  <c r="N139" i="12" s="1"/>
  <c r="M133" i="12"/>
  <c r="M137" i="12" s="1"/>
  <c r="M139" i="12" s="1"/>
  <c r="R254" i="12"/>
  <c r="R220" i="12"/>
  <c r="P219" i="12"/>
  <c r="P221" i="12" s="1"/>
  <c r="P211" i="12"/>
  <c r="P201" i="12" s="1"/>
  <c r="R213" i="12"/>
  <c r="P170" i="12"/>
  <c r="P160" i="12" s="1"/>
  <c r="P178" i="12"/>
  <c r="P180" i="12" s="1"/>
  <c r="P165" i="1"/>
  <c r="S165" i="1" s="1"/>
  <c r="O172" i="12"/>
  <c r="R172" i="12" s="1"/>
  <c r="P133" i="1"/>
  <c r="S133" i="1" s="1"/>
  <c r="O131" i="12"/>
  <c r="R131" i="12" s="1"/>
  <c r="P129" i="12"/>
  <c r="P119" i="12" s="1"/>
  <c r="P137" i="12"/>
  <c r="P139" i="12" s="1"/>
  <c r="P88" i="12"/>
  <c r="P78" i="12" s="1"/>
  <c r="I78" i="12" s="1"/>
  <c r="P96" i="12"/>
  <c r="P98" i="12" s="1"/>
  <c r="O90" i="12"/>
  <c r="P101" i="1"/>
  <c r="AA234" i="1"/>
  <c r="G47" i="5"/>
  <c r="S134" i="1"/>
  <c r="I54" i="5"/>
  <c r="J27" i="5"/>
  <c r="I28" i="5"/>
  <c r="I55" i="5" s="1"/>
  <c r="I37" i="5"/>
  <c r="I45" i="5" s="1"/>
  <c r="I36" i="5"/>
  <c r="I44" i="5" s="1"/>
  <c r="E214" i="12" s="1"/>
  <c r="AA167" i="1"/>
  <c r="X234" i="1"/>
  <c r="H63" i="5"/>
  <c r="H71" i="5" s="1"/>
  <c r="Y173" i="12" s="1"/>
  <c r="H64" i="5"/>
  <c r="H72" i="5" s="1"/>
  <c r="F47" i="5"/>
  <c r="S102" i="1"/>
  <c r="F179" i="7"/>
  <c r="AE102" i="1"/>
  <c r="F74" i="5"/>
  <c r="H179" i="7"/>
  <c r="G73" i="5"/>
  <c r="X134" i="1"/>
  <c r="G179" i="7"/>
  <c r="AI215" i="12" s="1"/>
  <c r="H46" i="5"/>
  <c r="E166" i="1"/>
  <c r="AA263" i="1"/>
  <c r="AA135" i="1"/>
  <c r="AA103" i="1"/>
  <c r="O106" i="1" l="1"/>
  <c r="O108" i="1" s="1"/>
  <c r="J178" i="12"/>
  <c r="J180" i="12" s="1"/>
  <c r="R256" i="12"/>
  <c r="M178" i="12"/>
  <c r="M180" i="12" s="1"/>
  <c r="N178" i="12"/>
  <c r="N180" i="12" s="1"/>
  <c r="R174" i="12"/>
  <c r="R92" i="12"/>
  <c r="G59" i="6"/>
  <c r="G63" i="6"/>
  <c r="G62" i="6"/>
  <c r="G57" i="6"/>
  <c r="I45" i="6"/>
  <c r="I47" i="6" s="1"/>
  <c r="I52" i="6" s="1"/>
  <c r="H47" i="6"/>
  <c r="H52" i="6" s="1"/>
  <c r="AA165" i="1"/>
  <c r="AD172" i="12"/>
  <c r="AC172" i="12"/>
  <c r="AC178" i="12" s="1"/>
  <c r="AC180" i="12" s="1"/>
  <c r="AH172" i="12"/>
  <c r="AE172" i="12"/>
  <c r="AG172" i="12"/>
  <c r="AF172" i="12"/>
  <c r="AF178" i="12" s="1"/>
  <c r="AF180" i="12" s="1"/>
  <c r="X171" i="1"/>
  <c r="Y179" i="12"/>
  <c r="AL179" i="12" s="1"/>
  <c r="F61" i="6"/>
  <c r="AA171" i="1" s="1"/>
  <c r="AC165" i="1"/>
  <c r="AC170" i="1" s="1"/>
  <c r="AC172" i="1" s="1"/>
  <c r="AC164" i="1" s="1"/>
  <c r="AC159" i="1" s="1"/>
  <c r="AC163" i="1" s="1"/>
  <c r="AJ172" i="12"/>
  <c r="AB165" i="1"/>
  <c r="AE178" i="12"/>
  <c r="AE180" i="12" s="1"/>
  <c r="Y172" i="12"/>
  <c r="X165" i="1"/>
  <c r="AD137" i="12"/>
  <c r="AD139" i="12" s="1"/>
  <c r="AE133" i="1"/>
  <c r="AL131" i="12"/>
  <c r="AH178" i="12"/>
  <c r="AH180" i="12" s="1"/>
  <c r="AE137" i="12"/>
  <c r="AE139" i="12" s="1"/>
  <c r="AD178" i="12"/>
  <c r="AD180" i="12" s="1"/>
  <c r="AG137" i="12"/>
  <c r="AG139" i="12" s="1"/>
  <c r="AJ87" i="12"/>
  <c r="AE78" i="12"/>
  <c r="AF78" i="12"/>
  <c r="AG78" i="12"/>
  <c r="AG88" i="12" s="1"/>
  <c r="AH78" i="12"/>
  <c r="AD78" i="12"/>
  <c r="AC78" i="12"/>
  <c r="AJ129" i="12"/>
  <c r="AJ119" i="12" s="1"/>
  <c r="AJ137" i="12"/>
  <c r="AJ139" i="12" s="1"/>
  <c r="AG178" i="12"/>
  <c r="AG180" i="12" s="1"/>
  <c r="AC137" i="12"/>
  <c r="AC139" i="12" s="1"/>
  <c r="S199" i="1"/>
  <c r="S135" i="1"/>
  <c r="J219" i="12"/>
  <c r="J221" i="12" s="1"/>
  <c r="P106" i="1"/>
  <c r="P108" i="1" s="1"/>
  <c r="P100" i="1" s="1"/>
  <c r="P95" i="1" s="1"/>
  <c r="G95" i="1" s="1"/>
  <c r="G100" i="1" s="1"/>
  <c r="P138" i="1"/>
  <c r="P140" i="1" s="1"/>
  <c r="P132" i="1" s="1"/>
  <c r="P127" i="1" s="1"/>
  <c r="C127" i="1" s="1"/>
  <c r="C132" i="1" s="1"/>
  <c r="S101" i="1"/>
  <c r="P170" i="1"/>
  <c r="P172" i="1" s="1"/>
  <c r="P164" i="1" s="1"/>
  <c r="P159" i="1" s="1"/>
  <c r="E159" i="1" s="1"/>
  <c r="E164" i="1" s="1"/>
  <c r="P128" i="12"/>
  <c r="J119" i="12"/>
  <c r="L119" i="12"/>
  <c r="N119" i="12"/>
  <c r="I119" i="12"/>
  <c r="K119" i="12"/>
  <c r="M119" i="12"/>
  <c r="M129" i="12" s="1"/>
  <c r="P210" i="12"/>
  <c r="J201" i="12"/>
  <c r="L201" i="12"/>
  <c r="N201" i="12"/>
  <c r="I201" i="12"/>
  <c r="K201" i="12"/>
  <c r="M201" i="12"/>
  <c r="M211" i="12" s="1"/>
  <c r="P169" i="12"/>
  <c r="J160" i="12"/>
  <c r="M160" i="12"/>
  <c r="M170" i="12" s="1"/>
  <c r="K160" i="12"/>
  <c r="L160" i="12"/>
  <c r="N160" i="12"/>
  <c r="I160" i="12"/>
  <c r="P87" i="12"/>
  <c r="K78" i="12"/>
  <c r="L78" i="12"/>
  <c r="M78" i="12"/>
  <c r="M88" i="12" s="1"/>
  <c r="N78" i="12"/>
  <c r="J78" i="12"/>
  <c r="N219" i="12"/>
  <c r="N221" i="12" s="1"/>
  <c r="M219" i="12"/>
  <c r="M221" i="12" s="1"/>
  <c r="K219" i="12"/>
  <c r="K221" i="12" s="1"/>
  <c r="L219" i="12"/>
  <c r="L221" i="12" s="1"/>
  <c r="AC96" i="12"/>
  <c r="AL215" i="12"/>
  <c r="AB234" i="1"/>
  <c r="AE234" i="1" s="1"/>
  <c r="AI256" i="12"/>
  <c r="AL256" i="12" s="1"/>
  <c r="AB167" i="1"/>
  <c r="AE167" i="1" s="1"/>
  <c r="AL174" i="12"/>
  <c r="AB263" i="1"/>
  <c r="AE263" i="1" s="1"/>
  <c r="AI297" i="12"/>
  <c r="AL297" i="12" s="1"/>
  <c r="AB103" i="1"/>
  <c r="AI92" i="12"/>
  <c r="AB135" i="1"/>
  <c r="AI133" i="12"/>
  <c r="R215" i="12"/>
  <c r="I219" i="12"/>
  <c r="I221" i="12" s="1"/>
  <c r="R133" i="12"/>
  <c r="O137" i="12"/>
  <c r="O139" i="12" s="1"/>
  <c r="O129" i="12" s="1"/>
  <c r="O118" i="12" s="1"/>
  <c r="P198" i="1"/>
  <c r="P202" i="1" s="1"/>
  <c r="P204" i="1" s="1"/>
  <c r="P196" i="1" s="1"/>
  <c r="P191" i="1" s="1"/>
  <c r="O214" i="12"/>
  <c r="O219" i="12" s="1"/>
  <c r="O221" i="12" s="1"/>
  <c r="O211" i="12" s="1"/>
  <c r="O200" i="12" s="1"/>
  <c r="AB166" i="1"/>
  <c r="O202" i="1"/>
  <c r="O204" i="1" s="1"/>
  <c r="O178" i="12"/>
  <c r="O180" i="12" s="1"/>
  <c r="O170" i="12" s="1"/>
  <c r="O159" i="12" s="1"/>
  <c r="I137" i="12"/>
  <c r="I139" i="12" s="1"/>
  <c r="O96" i="12"/>
  <c r="O98" i="12" s="1"/>
  <c r="O88" i="12" s="1"/>
  <c r="O77" i="12" s="1"/>
  <c r="R90" i="12"/>
  <c r="AA170" i="1"/>
  <c r="AA172" i="1" s="1"/>
  <c r="I46" i="5"/>
  <c r="E198" i="1"/>
  <c r="J54" i="5"/>
  <c r="K27" i="5"/>
  <c r="J28" i="5"/>
  <c r="J55" i="5" s="1"/>
  <c r="J36" i="5"/>
  <c r="J44" i="5" s="1"/>
  <c r="E255" i="12" s="1"/>
  <c r="J37" i="5"/>
  <c r="J45" i="5" s="1"/>
  <c r="AA138" i="1"/>
  <c r="AA140" i="1" s="1"/>
  <c r="H47" i="5"/>
  <c r="S166" i="1"/>
  <c r="I63" i="5"/>
  <c r="I71" i="5" s="1"/>
  <c r="Y214" i="12" s="1"/>
  <c r="I64" i="5"/>
  <c r="I72" i="5" s="1"/>
  <c r="G74" i="5"/>
  <c r="AE134" i="1"/>
  <c r="AB199" i="1"/>
  <c r="AA106" i="1"/>
  <c r="AA108" i="1" s="1"/>
  <c r="AF108" i="1" s="1"/>
  <c r="X166" i="1"/>
  <c r="H73" i="5"/>
  <c r="E200" i="12" l="1"/>
  <c r="C200" i="12"/>
  <c r="N200" i="12"/>
  <c r="J200" i="12"/>
  <c r="G29" i="4"/>
  <c r="E118" i="12"/>
  <c r="C118" i="12"/>
  <c r="N118" i="12"/>
  <c r="L118" i="12"/>
  <c r="J118" i="12"/>
  <c r="E29" i="4"/>
  <c r="K77" i="12"/>
  <c r="N77" i="12"/>
  <c r="N88" i="12" s="1"/>
  <c r="N74" i="12" s="1"/>
  <c r="N68" i="12" s="1"/>
  <c r="H77" i="12"/>
  <c r="F312" i="12" s="1"/>
  <c r="I77" i="12"/>
  <c r="L77" i="12"/>
  <c r="E77" i="12"/>
  <c r="J77" i="12"/>
  <c r="D29" i="4"/>
  <c r="N211" i="12"/>
  <c r="N197" i="12" s="1"/>
  <c r="N191" i="12" s="1"/>
  <c r="N159" i="12"/>
  <c r="N170" i="12" s="1"/>
  <c r="N156" i="12" s="1"/>
  <c r="N150" i="12" s="1"/>
  <c r="J159" i="12"/>
  <c r="L159" i="12"/>
  <c r="E159" i="12"/>
  <c r="C159" i="12"/>
  <c r="F29" i="4"/>
  <c r="N129" i="12"/>
  <c r="N115" i="12" s="1"/>
  <c r="N109" i="12" s="1"/>
  <c r="I59" i="6"/>
  <c r="I63" i="6"/>
  <c r="I57" i="6"/>
  <c r="I62" i="6"/>
  <c r="AL172" i="12"/>
  <c r="AE171" i="1"/>
  <c r="AH119" i="12"/>
  <c r="AC119" i="12"/>
  <c r="AJ128" i="12"/>
  <c r="AF119" i="12"/>
  <c r="AG119" i="12"/>
  <c r="AG129" i="12" s="1"/>
  <c r="AE119" i="12"/>
  <c r="AD119" i="12"/>
  <c r="AI213" i="12"/>
  <c r="AB197" i="1"/>
  <c r="H63" i="6"/>
  <c r="H59" i="6"/>
  <c r="H57" i="6"/>
  <c r="H62" i="6"/>
  <c r="AG213" i="12"/>
  <c r="AG219" i="12" s="1"/>
  <c r="AG221" i="12" s="1"/>
  <c r="AA197" i="1"/>
  <c r="AA202" i="1" s="1"/>
  <c r="AF213" i="12"/>
  <c r="AF219" i="12" s="1"/>
  <c r="AF221" i="12" s="1"/>
  <c r="AE213" i="12"/>
  <c r="AE219" i="12" s="1"/>
  <c r="AE221" i="12" s="1"/>
  <c r="AD213" i="12"/>
  <c r="AD219" i="12" s="1"/>
  <c r="AD221" i="12" s="1"/>
  <c r="AC213" i="12"/>
  <c r="AC219" i="12" s="1"/>
  <c r="AC221" i="12" s="1"/>
  <c r="AH213" i="12"/>
  <c r="AH219" i="12" s="1"/>
  <c r="AH221" i="12" s="1"/>
  <c r="AC197" i="1"/>
  <c r="AC202" i="1" s="1"/>
  <c r="AC204" i="1" s="1"/>
  <c r="AC196" i="1" s="1"/>
  <c r="AC191" i="1" s="1"/>
  <c r="AC195" i="1" s="1"/>
  <c r="AJ213" i="12"/>
  <c r="AE165" i="1"/>
  <c r="P99" i="1"/>
  <c r="S99" i="1" s="1"/>
  <c r="X203" i="1"/>
  <c r="Y220" i="12"/>
  <c r="AL220" i="12" s="1"/>
  <c r="G61" i="6"/>
  <c r="AA203" i="1" s="1"/>
  <c r="AE203" i="1" s="1"/>
  <c r="C95" i="1"/>
  <c r="C100" i="1" s="1"/>
  <c r="P98" i="1"/>
  <c r="S98" i="1" s="1"/>
  <c r="AJ178" i="12"/>
  <c r="AJ180" i="12" s="1"/>
  <c r="AJ170" i="12"/>
  <c r="AJ160" i="12" s="1"/>
  <c r="X197" i="1"/>
  <c r="Y213" i="12"/>
  <c r="P131" i="1"/>
  <c r="S131" i="1" s="1"/>
  <c r="E127" i="1"/>
  <c r="E132" i="1" s="1"/>
  <c r="I95" i="1"/>
  <c r="E95" i="1"/>
  <c r="E100" i="1" s="1"/>
  <c r="P130" i="1"/>
  <c r="S130" i="1" s="1"/>
  <c r="M95" i="1"/>
  <c r="J95" i="1"/>
  <c r="K95" i="1"/>
  <c r="H95" i="1"/>
  <c r="O95" i="1"/>
  <c r="AE135" i="1"/>
  <c r="P163" i="1"/>
  <c r="S163" i="1" s="1"/>
  <c r="P162" i="1"/>
  <c r="S162" i="1" s="1"/>
  <c r="C159" i="1"/>
  <c r="C164" i="1" s="1"/>
  <c r="AE103" i="1"/>
  <c r="O87" i="12"/>
  <c r="O86" i="12"/>
  <c r="R86" i="12" s="1"/>
  <c r="R214" i="12"/>
  <c r="O128" i="12"/>
  <c r="R128" i="12" s="1"/>
  <c r="O127" i="12"/>
  <c r="R127" i="12" s="1"/>
  <c r="AL133" i="12"/>
  <c r="AC98" i="12"/>
  <c r="AL92" i="12"/>
  <c r="P195" i="1"/>
  <c r="S195" i="1" s="1"/>
  <c r="O210" i="12"/>
  <c r="R210" i="12" s="1"/>
  <c r="P194" i="1"/>
  <c r="S194" i="1" s="1"/>
  <c r="E191" i="1"/>
  <c r="E196" i="1" s="1"/>
  <c r="C191" i="1"/>
  <c r="C196" i="1" s="1"/>
  <c r="AL173" i="12"/>
  <c r="AB198" i="1"/>
  <c r="AI214" i="12"/>
  <c r="O209" i="12"/>
  <c r="R209" i="12" s="1"/>
  <c r="P233" i="1"/>
  <c r="P237" i="1" s="1"/>
  <c r="P239" i="1" s="1"/>
  <c r="P231" i="1" s="1"/>
  <c r="P226" i="1" s="1"/>
  <c r="C226" i="1" s="1"/>
  <c r="O255" i="12"/>
  <c r="O260" i="12" s="1"/>
  <c r="O262" i="12" s="1"/>
  <c r="O252" i="12" s="1"/>
  <c r="O241" i="12" s="1"/>
  <c r="O169" i="12"/>
  <c r="R169" i="12" s="1"/>
  <c r="O168" i="12"/>
  <c r="R168" i="12" s="1"/>
  <c r="J46" i="5"/>
  <c r="E233" i="1"/>
  <c r="I73" i="5"/>
  <c r="X198" i="1"/>
  <c r="K54" i="5"/>
  <c r="K28" i="5"/>
  <c r="K55" i="5" s="1"/>
  <c r="K36" i="5"/>
  <c r="K44" i="5" s="1"/>
  <c r="E296" i="12" s="1"/>
  <c r="K37" i="5"/>
  <c r="K45" i="5" s="1"/>
  <c r="J63" i="5"/>
  <c r="J71" i="5" s="1"/>
  <c r="J64" i="5"/>
  <c r="J72" i="5" s="1"/>
  <c r="S198" i="1"/>
  <c r="I47" i="5"/>
  <c r="AF199" i="1"/>
  <c r="AE199" i="1"/>
  <c r="H74" i="5"/>
  <c r="AE166" i="1"/>
  <c r="G41" i="4" l="1"/>
  <c r="F40" i="4"/>
  <c r="G40" i="4"/>
  <c r="H40" i="4"/>
  <c r="E40" i="4"/>
  <c r="N241" i="12"/>
  <c r="N252" i="12" s="1"/>
  <c r="N238" i="12" s="1"/>
  <c r="N232" i="12" s="1"/>
  <c r="J241" i="12"/>
  <c r="E241" i="12"/>
  <c r="C241" i="12"/>
  <c r="H29" i="4"/>
  <c r="H41" i="4" s="1"/>
  <c r="L241" i="12" s="1"/>
  <c r="S100" i="1"/>
  <c r="AG254" i="12"/>
  <c r="AG260" i="12" s="1"/>
  <c r="AG262" i="12" s="1"/>
  <c r="AF254" i="12"/>
  <c r="AF260" i="12" s="1"/>
  <c r="AF262" i="12" s="1"/>
  <c r="AH254" i="12"/>
  <c r="AH260" i="12" s="1"/>
  <c r="AH262" i="12" s="1"/>
  <c r="AE254" i="12"/>
  <c r="AE260" i="12" s="1"/>
  <c r="AE262" i="12" s="1"/>
  <c r="AD254" i="12"/>
  <c r="AD260" i="12" s="1"/>
  <c r="AD262" i="12" s="1"/>
  <c r="AC254" i="12"/>
  <c r="AC260" i="12" s="1"/>
  <c r="AC262" i="12" s="1"/>
  <c r="AA232" i="1"/>
  <c r="AA237" i="1" s="1"/>
  <c r="AB232" i="1"/>
  <c r="AI254" i="12"/>
  <c r="X238" i="1"/>
  <c r="Y261" i="12"/>
  <c r="AL261" i="12" s="1"/>
  <c r="H61" i="6"/>
  <c r="AA238" i="1" s="1"/>
  <c r="AE238" i="1" s="1"/>
  <c r="AL213" i="12"/>
  <c r="AJ211" i="12"/>
  <c r="AJ201" i="12" s="1"/>
  <c r="AJ219" i="12"/>
  <c r="AJ221" i="12" s="1"/>
  <c r="X232" i="1"/>
  <c r="Y254" i="12"/>
  <c r="AF197" i="1"/>
  <c r="AE197" i="1"/>
  <c r="AC232" i="1"/>
  <c r="AC237" i="1" s="1"/>
  <c r="AC239" i="1" s="1"/>
  <c r="AC231" i="1" s="1"/>
  <c r="AC226" i="1" s="1"/>
  <c r="AC230" i="1" s="1"/>
  <c r="AJ254" i="12"/>
  <c r="X261" i="1"/>
  <c r="Y295" i="12"/>
  <c r="AG160" i="12"/>
  <c r="AG170" i="12" s="1"/>
  <c r="AH160" i="12"/>
  <c r="AC160" i="12"/>
  <c r="AD160" i="12"/>
  <c r="AE160" i="12"/>
  <c r="AJ169" i="12"/>
  <c r="AF160" i="12"/>
  <c r="AA261" i="1"/>
  <c r="AA266" i="1" s="1"/>
  <c r="AD295" i="12"/>
  <c r="AD301" i="12" s="1"/>
  <c r="AD303" i="12" s="1"/>
  <c r="AE295" i="12"/>
  <c r="AE301" i="12" s="1"/>
  <c r="AE303" i="12" s="1"/>
  <c r="AC295" i="12"/>
  <c r="AC301" i="12" s="1"/>
  <c r="AC303" i="12" s="1"/>
  <c r="AH295" i="12"/>
  <c r="AH301" i="12" s="1"/>
  <c r="AH303" i="12" s="1"/>
  <c r="AG295" i="12"/>
  <c r="AG301" i="12" s="1"/>
  <c r="AG303" i="12" s="1"/>
  <c r="AF295" i="12"/>
  <c r="AF301" i="12" s="1"/>
  <c r="AF303" i="12" s="1"/>
  <c r="AB261" i="1"/>
  <c r="AI295" i="12"/>
  <c r="AC261" i="1"/>
  <c r="AC266" i="1" s="1"/>
  <c r="AC268" i="1" s="1"/>
  <c r="AC260" i="1" s="1"/>
  <c r="AC255" i="1" s="1"/>
  <c r="AC259" i="1" s="1"/>
  <c r="AJ295" i="12"/>
  <c r="AA204" i="1"/>
  <c r="Y302" i="12"/>
  <c r="AL302" i="12" s="1"/>
  <c r="X267" i="1"/>
  <c r="AE267" i="1" s="1"/>
  <c r="I61" i="6"/>
  <c r="AA267" i="1" s="1"/>
  <c r="S95" i="1"/>
  <c r="R87" i="12"/>
  <c r="AL119" i="12"/>
  <c r="R119" i="12"/>
  <c r="AL214" i="12"/>
  <c r="P230" i="1"/>
  <c r="S230" i="1" s="1"/>
  <c r="E226" i="1"/>
  <c r="E231" i="1" s="1"/>
  <c r="P229" i="1"/>
  <c r="S229" i="1" s="1"/>
  <c r="R201" i="12"/>
  <c r="O250" i="12"/>
  <c r="R250" i="12" s="1"/>
  <c r="O251" i="12"/>
  <c r="R251" i="12" s="1"/>
  <c r="AB233" i="1"/>
  <c r="AI255" i="12"/>
  <c r="R255" i="12"/>
  <c r="R160" i="12"/>
  <c r="P262" i="1"/>
  <c r="P266" i="1" s="1"/>
  <c r="P268" i="1" s="1"/>
  <c r="P260" i="1" s="1"/>
  <c r="P255" i="1" s="1"/>
  <c r="P258" i="1" s="1"/>
  <c r="S258" i="1" s="1"/>
  <c r="O296" i="12"/>
  <c r="O301" i="12" s="1"/>
  <c r="O303" i="12" s="1"/>
  <c r="O293" i="12" s="1"/>
  <c r="O282" i="12" s="1"/>
  <c r="J73" i="5"/>
  <c r="X233" i="1"/>
  <c r="K46" i="5"/>
  <c r="E262" i="1"/>
  <c r="K63" i="5"/>
  <c r="K71" i="5" s="1"/>
  <c r="K64" i="5"/>
  <c r="K72" i="5" s="1"/>
  <c r="C231" i="1"/>
  <c r="AF198" i="1"/>
  <c r="I74" i="5"/>
  <c r="AE198" i="1"/>
  <c r="J47" i="5"/>
  <c r="S233" i="1"/>
  <c r="E37" i="4" l="1"/>
  <c r="E38" i="4"/>
  <c r="H118" i="12"/>
  <c r="G127" i="1"/>
  <c r="H38" i="4"/>
  <c r="H37" i="4"/>
  <c r="G38" i="4"/>
  <c r="G191" i="1"/>
  <c r="H200" i="12"/>
  <c r="H241" i="12"/>
  <c r="F37" i="4"/>
  <c r="F38" i="4"/>
  <c r="H159" i="12"/>
  <c r="G159" i="1"/>
  <c r="E282" i="12"/>
  <c r="C282" i="12"/>
  <c r="N282" i="12"/>
  <c r="N293" i="12" s="1"/>
  <c r="N279" i="12" s="1"/>
  <c r="N273" i="12" s="1"/>
  <c r="J282" i="12"/>
  <c r="I29" i="4"/>
  <c r="G37" i="4"/>
  <c r="L200" i="12"/>
  <c r="G226" i="1"/>
  <c r="G231" i="1" s="1"/>
  <c r="Y301" i="12"/>
  <c r="Y303" i="12" s="1"/>
  <c r="AL295" i="12"/>
  <c r="AL160" i="12"/>
  <c r="AE261" i="1"/>
  <c r="AJ252" i="12"/>
  <c r="AJ242" i="12" s="1"/>
  <c r="AJ260" i="12"/>
  <c r="AJ262" i="12" s="1"/>
  <c r="AA268" i="1"/>
  <c r="AA239" i="1"/>
  <c r="AJ301" i="12"/>
  <c r="AJ303" i="12" s="1"/>
  <c r="AJ293" i="12"/>
  <c r="AJ283" i="12" s="1"/>
  <c r="AL254" i="12"/>
  <c r="AE232" i="1"/>
  <c r="AJ210" i="12"/>
  <c r="AF201" i="12"/>
  <c r="AG201" i="12"/>
  <c r="AG211" i="12" s="1"/>
  <c r="AE201" i="12"/>
  <c r="AH201" i="12"/>
  <c r="AC201" i="12"/>
  <c r="AD201" i="12"/>
  <c r="AL78" i="12"/>
  <c r="C255" i="1"/>
  <c r="C260" i="1" s="1"/>
  <c r="P259" i="1"/>
  <c r="S259" i="1" s="1"/>
  <c r="E255" i="1"/>
  <c r="E260" i="1" s="1"/>
  <c r="AB262" i="1"/>
  <c r="AB266" i="1" s="1"/>
  <c r="AB268" i="1" s="1"/>
  <c r="AB260" i="1" s="1"/>
  <c r="AB255" i="1" s="1"/>
  <c r="AB258" i="1" s="1"/>
  <c r="AE258" i="1" s="1"/>
  <c r="AI296" i="12"/>
  <c r="O291" i="12"/>
  <c r="R291" i="12" s="1"/>
  <c r="O292" i="12"/>
  <c r="R292" i="12" s="1"/>
  <c r="AL255" i="12"/>
  <c r="R242" i="12"/>
  <c r="K73" i="5"/>
  <c r="X262" i="1"/>
  <c r="X266" i="1" s="1"/>
  <c r="X268" i="1" s="1"/>
  <c r="K47" i="5"/>
  <c r="S262" i="1"/>
  <c r="J74" i="5"/>
  <c r="AE233" i="1"/>
  <c r="F42" i="4" l="1"/>
  <c r="F43" i="4"/>
  <c r="K159" i="12"/>
  <c r="I159" i="12"/>
  <c r="H312" i="12" s="1"/>
  <c r="O159" i="1"/>
  <c r="O164" i="1" s="1"/>
  <c r="G196" i="1"/>
  <c r="G42" i="4"/>
  <c r="O191" i="1"/>
  <c r="O196" i="1" s="1"/>
  <c r="I200" i="12"/>
  <c r="I312" i="12" s="1"/>
  <c r="H42" i="4"/>
  <c r="H43" i="4"/>
  <c r="K241" i="12"/>
  <c r="I241" i="12"/>
  <c r="J312" i="12" s="1"/>
  <c r="O226" i="1"/>
  <c r="O231" i="1" s="1"/>
  <c r="S231" i="1" s="1"/>
  <c r="G132" i="1"/>
  <c r="S132" i="1" s="1"/>
  <c r="S127" i="1"/>
  <c r="G43" i="4"/>
  <c r="K200" i="12"/>
  <c r="G164" i="1"/>
  <c r="S164" i="1" s="1"/>
  <c r="S159" i="1"/>
  <c r="O127" i="1"/>
  <c r="O132" i="1" s="1"/>
  <c r="I118" i="12"/>
  <c r="I41" i="4"/>
  <c r="L282" i="12" s="1"/>
  <c r="I40" i="4"/>
  <c r="E42" i="4"/>
  <c r="E43" i="4"/>
  <c r="K118" i="12"/>
  <c r="G312" i="12" s="1"/>
  <c r="AH242" i="12"/>
  <c r="AC242" i="12"/>
  <c r="AD242" i="12"/>
  <c r="AE242" i="12"/>
  <c r="AJ251" i="12"/>
  <c r="AF242" i="12"/>
  <c r="AG242" i="12"/>
  <c r="AG252" i="12" s="1"/>
  <c r="AL201" i="12"/>
  <c r="AJ292" i="12"/>
  <c r="AF283" i="12"/>
  <c r="AG283" i="12"/>
  <c r="AG293" i="12" s="1"/>
  <c r="AH283" i="12"/>
  <c r="AH293" i="12" s="1"/>
  <c r="AH279" i="12" s="1"/>
  <c r="AH273" i="12" s="1"/>
  <c r="AC283" i="12"/>
  <c r="AD283" i="12"/>
  <c r="AE283" i="12"/>
  <c r="AB259" i="1"/>
  <c r="AE259" i="1" s="1"/>
  <c r="Z255" i="1"/>
  <c r="Z260" i="1" s="1"/>
  <c r="V255" i="1"/>
  <c r="X255" i="1"/>
  <c r="X260" i="1" s="1"/>
  <c r="AA255" i="1"/>
  <c r="AA260" i="1" s="1"/>
  <c r="AF268" i="1"/>
  <c r="AL296" i="12"/>
  <c r="AI301" i="12"/>
  <c r="R283" i="12"/>
  <c r="K74" i="5"/>
  <c r="AE262" i="1"/>
  <c r="AE266" i="1" s="1"/>
  <c r="AE268" i="1" s="1"/>
  <c r="S191" i="1" l="1"/>
  <c r="S196" i="1"/>
  <c r="I37" i="4"/>
  <c r="I38" i="4"/>
  <c r="G255" i="1"/>
  <c r="H282" i="12"/>
  <c r="S226" i="1"/>
  <c r="AL242" i="12"/>
  <c r="AE255" i="1"/>
  <c r="V260" i="1"/>
  <c r="AE260" i="1" s="1"/>
  <c r="AI303" i="12"/>
  <c r="AL301" i="12"/>
  <c r="O255" i="1" l="1"/>
  <c r="O260" i="1" s="1"/>
  <c r="I282" i="12"/>
  <c r="K312" i="12" s="1"/>
  <c r="G260" i="1"/>
  <c r="S260" i="1" s="1"/>
  <c r="S255" i="1"/>
  <c r="I42" i="4"/>
  <c r="I43" i="4"/>
  <c r="K282" i="12"/>
  <c r="AI293" i="12"/>
  <c r="AI282" i="12" s="1"/>
  <c r="AL303" i="12"/>
  <c r="AI292" i="12" l="1"/>
  <c r="AL292" i="12" s="1"/>
  <c r="AI291" i="12"/>
  <c r="AL291" i="12" s="1"/>
  <c r="R78" i="12" l="1"/>
  <c r="AL283" i="12" l="1"/>
  <c r="T108" i="1" l="1"/>
  <c r="G31" i="9"/>
  <c r="G30" i="9"/>
  <c r="G32" i="9" l="1"/>
  <c r="I13" i="9" s="1"/>
  <c r="I15" i="9" l="1"/>
  <c r="J10" i="12" s="1"/>
  <c r="J10" i="1"/>
  <c r="C13" i="9"/>
  <c r="D13" i="9"/>
  <c r="H13" i="9"/>
  <c r="G13" i="9"/>
  <c r="E13" i="9"/>
  <c r="F13" i="9"/>
  <c r="E15" i="9" l="1"/>
  <c r="F10" i="12" s="1"/>
  <c r="F10" i="1"/>
  <c r="I10" i="1"/>
  <c r="H15" i="9"/>
  <c r="I10" i="12" s="1"/>
  <c r="F15" i="9"/>
  <c r="G10" i="12" s="1"/>
  <c r="G10" i="1"/>
  <c r="H10" i="1"/>
  <c r="G15" i="9"/>
  <c r="H10" i="12" s="1"/>
  <c r="D15" i="9"/>
  <c r="E10" i="12" s="1"/>
  <c r="E10" i="1"/>
  <c r="C15" i="9"/>
  <c r="D10" i="12" s="1"/>
  <c r="C21" i="9"/>
  <c r="D10" i="1"/>
  <c r="X10" i="1" l="1"/>
  <c r="C23" i="9"/>
  <c r="X10" i="12" s="1"/>
  <c r="O32" i="9"/>
  <c r="I21" i="9" s="1"/>
  <c r="AD10" i="1" l="1"/>
  <c r="F21" i="9"/>
  <c r="I23" i="9"/>
  <c r="AD10" i="12" s="1"/>
  <c r="G21" i="9"/>
  <c r="D21" i="9"/>
  <c r="H21" i="9"/>
  <c r="E21" i="9"/>
  <c r="Y10" i="1" l="1"/>
  <c r="D23" i="9"/>
  <c r="Y10" i="12" s="1"/>
  <c r="G23" i="9"/>
  <c r="AB10" i="12" s="1"/>
  <c r="AB10" i="1"/>
  <c r="Z10" i="1"/>
  <c r="E23" i="9"/>
  <c r="Z10" i="12" s="1"/>
  <c r="AC10" i="1"/>
  <c r="H23" i="9"/>
  <c r="AC10" i="12" s="1"/>
  <c r="F23" i="9"/>
  <c r="AA10" i="12" s="1"/>
  <c r="AA10" i="1"/>
  <c r="E257" i="12" l="1"/>
  <c r="E260" i="12" s="1"/>
  <c r="G168" i="7"/>
  <c r="E216" i="12" s="1"/>
  <c r="I168" i="7"/>
  <c r="E298" i="12" s="1"/>
  <c r="E301" i="12" s="1"/>
  <c r="D168" i="7"/>
  <c r="E104" i="1" s="1"/>
  <c r="H168" i="7"/>
  <c r="E235" i="1" s="1"/>
  <c r="F168" i="7"/>
  <c r="E168" i="1" s="1"/>
  <c r="E168" i="7"/>
  <c r="E134" i="12" s="1"/>
  <c r="E136" i="1"/>
  <c r="E138" i="1" s="1"/>
  <c r="E140" i="1" s="1"/>
  <c r="T140" i="1" s="1"/>
  <c r="C182" i="7"/>
  <c r="D182" i="7" s="1"/>
  <c r="S235" i="1" l="1"/>
  <c r="S237" i="1" s="1"/>
  <c r="S239" i="1" s="1"/>
  <c r="E237" i="1"/>
  <c r="E239" i="1" s="1"/>
  <c r="T239" i="1" s="1"/>
  <c r="R301" i="12"/>
  <c r="E303" i="12"/>
  <c r="S168" i="1"/>
  <c r="S170" i="1" s="1"/>
  <c r="S172" i="1" s="1"/>
  <c r="E170" i="1"/>
  <c r="E172" i="1" s="1"/>
  <c r="T172" i="1" s="1"/>
  <c r="E219" i="12"/>
  <c r="R216" i="12"/>
  <c r="E182" i="7"/>
  <c r="D184" i="7"/>
  <c r="Y93" i="12"/>
  <c r="X104" i="1"/>
  <c r="R134" i="12"/>
  <c r="E137" i="12"/>
  <c r="S104" i="1"/>
  <c r="S106" i="1" s="1"/>
  <c r="S108" i="1" s="1"/>
  <c r="E106" i="1"/>
  <c r="E108" i="1" s="1"/>
  <c r="E262" i="12"/>
  <c r="R260" i="12"/>
  <c r="E93" i="12"/>
  <c r="E264" i="1"/>
  <c r="E175" i="12"/>
  <c r="R257" i="12"/>
  <c r="S136" i="1"/>
  <c r="S138" i="1" s="1"/>
  <c r="S140" i="1" s="1"/>
  <c r="E200" i="1"/>
  <c r="R175" i="12" l="1"/>
  <c r="E178" i="12"/>
  <c r="E221" i="12"/>
  <c r="R219" i="12"/>
  <c r="E139" i="12"/>
  <c r="R137" i="12"/>
  <c r="X106" i="1"/>
  <c r="X108" i="1" s="1"/>
  <c r="AB104" i="1"/>
  <c r="AB106" i="1" s="1"/>
  <c r="AB108" i="1" s="1"/>
  <c r="AB100" i="1" s="1"/>
  <c r="AB95" i="1" s="1"/>
  <c r="AI93" i="12"/>
  <c r="AI96" i="12" s="1"/>
  <c r="AI98" i="12" s="1"/>
  <c r="AI88" i="12" s="1"/>
  <c r="AI77" i="12" s="1"/>
  <c r="E266" i="1"/>
  <c r="E268" i="1" s="1"/>
  <c r="T268" i="1" s="1"/>
  <c r="S264" i="1"/>
  <c r="S266" i="1" s="1"/>
  <c r="S268" i="1" s="1"/>
  <c r="E202" i="1"/>
  <c r="E204" i="1" s="1"/>
  <c r="T204" i="1" s="1"/>
  <c r="S200" i="1"/>
  <c r="S202" i="1" s="1"/>
  <c r="S204" i="1" s="1"/>
  <c r="Y96" i="12"/>
  <c r="R303" i="12"/>
  <c r="Y134" i="12"/>
  <c r="E184" i="7"/>
  <c r="F182" i="7"/>
  <c r="X136" i="1"/>
  <c r="E96" i="12"/>
  <c r="R93" i="12"/>
  <c r="R262" i="12"/>
  <c r="AB136" i="1" l="1"/>
  <c r="AB138" i="1" s="1"/>
  <c r="AB140" i="1" s="1"/>
  <c r="AB132" i="1" s="1"/>
  <c r="AB127" i="1" s="1"/>
  <c r="AI134" i="12"/>
  <c r="AI137" i="12" s="1"/>
  <c r="AI139" i="12" s="1"/>
  <c r="AI129" i="12" s="1"/>
  <c r="AI118" i="12" s="1"/>
  <c r="R96" i="12"/>
  <c r="E98" i="12"/>
  <c r="AE136" i="1"/>
  <c r="AE138" i="1" s="1"/>
  <c r="AE140" i="1" s="1"/>
  <c r="X138" i="1"/>
  <c r="X140" i="1" s="1"/>
  <c r="AF140" i="1" s="1"/>
  <c r="AE104" i="1"/>
  <c r="AE106" i="1" s="1"/>
  <c r="AE108" i="1" s="1"/>
  <c r="R139" i="12"/>
  <c r="X95" i="1"/>
  <c r="X100" i="1" s="1"/>
  <c r="AB98" i="1"/>
  <c r="AE98" i="1" s="1"/>
  <c r="AA111" i="1"/>
  <c r="AB99" i="1"/>
  <c r="AE99" i="1" s="1"/>
  <c r="V95" i="1"/>
  <c r="Z95" i="1"/>
  <c r="Z100" i="1" s="1"/>
  <c r="AA95" i="1"/>
  <c r="AA100" i="1" s="1"/>
  <c r="R221" i="12"/>
  <c r="F184" i="7"/>
  <c r="X168" i="1"/>
  <c r="G182" i="7"/>
  <c r="Y175" i="12"/>
  <c r="Y137" i="12"/>
  <c r="AL134" i="12"/>
  <c r="R178" i="12"/>
  <c r="E180" i="12"/>
  <c r="AI86" i="12"/>
  <c r="AL86" i="12" s="1"/>
  <c r="AI87" i="12"/>
  <c r="AL87" i="12" s="1"/>
  <c r="AL96" i="12"/>
  <c r="Y98" i="12"/>
  <c r="AL98" i="12" s="1"/>
  <c r="AL93" i="12"/>
  <c r="AL137" i="12" l="1"/>
  <c r="Y139" i="12"/>
  <c r="AL139" i="12" s="1"/>
  <c r="AB168" i="1"/>
  <c r="AB170" i="1" s="1"/>
  <c r="AB172" i="1" s="1"/>
  <c r="AB164" i="1" s="1"/>
  <c r="AB159" i="1" s="1"/>
  <c r="AI175" i="12"/>
  <c r="AI178" i="12" s="1"/>
  <c r="AI180" i="12" s="1"/>
  <c r="AI170" i="12" s="1"/>
  <c r="AI159" i="12" s="1"/>
  <c r="AE168" i="1"/>
  <c r="AE170" i="1" s="1"/>
  <c r="AE172" i="1" s="1"/>
  <c r="X170" i="1"/>
  <c r="X172" i="1" s="1"/>
  <c r="AF172" i="1" s="1"/>
  <c r="X200" i="1"/>
  <c r="G184" i="7"/>
  <c r="H182" i="7"/>
  <c r="Y216" i="12"/>
  <c r="R180" i="12"/>
  <c r="R98" i="12"/>
  <c r="AL175" i="12"/>
  <c r="Y178" i="12"/>
  <c r="AE95" i="1"/>
  <c r="V100" i="1"/>
  <c r="AE100" i="1" s="1"/>
  <c r="AI128" i="12"/>
  <c r="AL128" i="12" s="1"/>
  <c r="AI127" i="12"/>
  <c r="AL127" i="12" s="1"/>
  <c r="X127" i="1"/>
  <c r="X132" i="1" s="1"/>
  <c r="AA127" i="1"/>
  <c r="AA132" i="1" s="1"/>
  <c r="V127" i="1"/>
  <c r="AB130" i="1"/>
  <c r="AE130" i="1" s="1"/>
  <c r="AB131" i="1"/>
  <c r="AE131" i="1" s="1"/>
  <c r="Z127" i="1"/>
  <c r="Z132" i="1" s="1"/>
  <c r="AI216" i="12" l="1"/>
  <c r="AI219" i="12" s="1"/>
  <c r="AI221" i="12" s="1"/>
  <c r="AI211" i="12" s="1"/>
  <c r="AI200" i="12" s="1"/>
  <c r="AB200" i="1"/>
  <c r="AB202" i="1" s="1"/>
  <c r="AB204" i="1" s="1"/>
  <c r="AB196" i="1" s="1"/>
  <c r="AB191" i="1" s="1"/>
  <c r="Y180" i="12"/>
  <c r="AL180" i="12" s="1"/>
  <c r="AL178" i="12"/>
  <c r="X202" i="1"/>
  <c r="AE200" i="1"/>
  <c r="AE202" i="1" s="1"/>
  <c r="AE204" i="1" s="1"/>
  <c r="AF200" i="1"/>
  <c r="AF203" i="1" s="1"/>
  <c r="AI169" i="12"/>
  <c r="AL169" i="12" s="1"/>
  <c r="AI168" i="12"/>
  <c r="AL168" i="12" s="1"/>
  <c r="X159" i="1"/>
  <c r="X164" i="1" s="1"/>
  <c r="AA159" i="1"/>
  <c r="AA164" i="1" s="1"/>
  <c r="V159" i="1"/>
  <c r="Z159" i="1"/>
  <c r="Z164" i="1" s="1"/>
  <c r="AB162" i="1"/>
  <c r="AE162" i="1" s="1"/>
  <c r="AB163" i="1"/>
  <c r="AE163" i="1" s="1"/>
  <c r="AL216" i="12"/>
  <c r="Y219" i="12"/>
  <c r="V132" i="1"/>
  <c r="AE132" i="1" s="1"/>
  <c r="AE127" i="1"/>
  <c r="Y257" i="12"/>
  <c r="X235" i="1"/>
  <c r="X204" i="1" l="1"/>
  <c r="AF204" i="1" s="1"/>
  <c r="AF202" i="1"/>
  <c r="AE159" i="1"/>
  <c r="V164" i="1"/>
  <c r="AE164" i="1" s="1"/>
  <c r="Y260" i="12"/>
  <c r="AL257" i="12"/>
  <c r="Z191" i="1"/>
  <c r="Z196" i="1" s="1"/>
  <c r="AB194" i="1"/>
  <c r="AE194" i="1" s="1"/>
  <c r="X191" i="1"/>
  <c r="X196" i="1" s="1"/>
  <c r="AB195" i="1"/>
  <c r="AE195" i="1" s="1"/>
  <c r="AA191" i="1"/>
  <c r="AA196" i="1" s="1"/>
  <c r="V191" i="1"/>
  <c r="AI257" i="12"/>
  <c r="AI260" i="12" s="1"/>
  <c r="AI262" i="12" s="1"/>
  <c r="AI252" i="12" s="1"/>
  <c r="AI241" i="12" s="1"/>
  <c r="AB235" i="1"/>
  <c r="AB237" i="1" s="1"/>
  <c r="AB239" i="1" s="1"/>
  <c r="AB231" i="1" s="1"/>
  <c r="AB226" i="1" s="1"/>
  <c r="Y221" i="12"/>
  <c r="AL221" i="12" s="1"/>
  <c r="AE235" i="1"/>
  <c r="AE237" i="1" s="1"/>
  <c r="AE239" i="1" s="1"/>
  <c r="X237" i="1"/>
  <c r="X239" i="1" s="1"/>
  <c r="AF239" i="1" s="1"/>
  <c r="AI210" i="12"/>
  <c r="AL210" i="12" s="1"/>
  <c r="AI209" i="12"/>
  <c r="AL209" i="12" s="1"/>
  <c r="Y262" i="12" l="1"/>
  <c r="AL262" i="12" s="1"/>
  <c r="AL260" i="12"/>
  <c r="V196" i="1"/>
  <c r="AE196" i="1" s="1"/>
  <c r="AE191" i="1"/>
  <c r="AA226" i="1"/>
  <c r="AA231" i="1" s="1"/>
  <c r="Z226" i="1"/>
  <c r="Z231" i="1" s="1"/>
  <c r="V226" i="1"/>
  <c r="AB229" i="1"/>
  <c r="AE229" i="1" s="1"/>
  <c r="X226" i="1"/>
  <c r="X231" i="1" s="1"/>
  <c r="AB230" i="1"/>
  <c r="AE230" i="1" s="1"/>
  <c r="AI251" i="12"/>
  <c r="AL251" i="12" s="1"/>
  <c r="AI250" i="12"/>
  <c r="AE226" i="1" l="1"/>
  <c r="V231" i="1"/>
  <c r="AE231" i="1" s="1"/>
  <c r="I30" i="10" l="1"/>
  <c r="I31" i="10" s="1"/>
  <c r="I32" i="10" s="1"/>
  <c r="AD9" i="1" l="1"/>
  <c r="AD9" i="12"/>
  <c r="C31" i="10"/>
  <c r="C32" i="10" s="1"/>
  <c r="D31" i="10"/>
  <c r="D32" i="10" s="1"/>
  <c r="E31" i="10"/>
  <c r="E32" i="10" s="1"/>
  <c r="F31" i="10"/>
  <c r="F32" i="10" s="1"/>
  <c r="G31" i="10"/>
  <c r="G32" i="10" s="1"/>
  <c r="H31" i="10"/>
  <c r="H32" i="10" s="1"/>
  <c r="AC9" i="12" l="1"/>
  <c r="AC9" i="1"/>
  <c r="AA9" i="12"/>
  <c r="AA9" i="1"/>
  <c r="AB9" i="12"/>
  <c r="AB9" i="1"/>
  <c r="Y9" i="12"/>
  <c r="Y9" i="1"/>
  <c r="Z9" i="12"/>
  <c r="Z9" i="1"/>
  <c r="X9" i="12"/>
  <c r="X9" i="1"/>
  <c r="J19" i="12" l="1"/>
  <c r="L19" i="12" s="1"/>
  <c r="J17" i="12"/>
  <c r="L17" i="12" s="1"/>
  <c r="AF293" i="12" l="1"/>
  <c r="AF279" i="12" s="1"/>
  <c r="AF273" i="12" s="1"/>
  <c r="Y211" i="12"/>
  <c r="Y197" i="12" s="1"/>
  <c r="AD252" i="12"/>
  <c r="AC252" i="12"/>
  <c r="AC238" i="12" s="1"/>
  <c r="AB211" i="12"/>
  <c r="AB197" i="12" s="1"/>
  <c r="AB191" i="12" s="1"/>
  <c r="AD293" i="12"/>
  <c r="I129" i="12"/>
  <c r="I115" i="12" s="1"/>
  <c r="E88" i="12"/>
  <c r="E74" i="12" s="1"/>
  <c r="AB129" i="12"/>
  <c r="AB115" i="12" s="1"/>
  <c r="AB109" i="12" s="1"/>
  <c r="AC211" i="12"/>
  <c r="AC197" i="12" s="1"/>
  <c r="Y170" i="12"/>
  <c r="Y156" i="12" s="1"/>
  <c r="H129" i="12"/>
  <c r="H115" i="12" s="1"/>
  <c r="H109" i="12" s="1"/>
  <c r="AF129" i="12"/>
  <c r="AF115" i="12" s="1"/>
  <c r="AF109" i="12" s="1"/>
  <c r="K88" i="12"/>
  <c r="K74" i="12" s="1"/>
  <c r="AC293" i="12"/>
  <c r="AC279" i="12" s="1"/>
  <c r="AC170" i="12"/>
  <c r="AC156" i="12" s="1"/>
  <c r="I88" i="12"/>
  <c r="I74" i="12" s="1"/>
  <c r="L88" i="12"/>
  <c r="L74" i="12" s="1"/>
  <c r="L68" i="12" s="1"/>
  <c r="H211" i="12"/>
  <c r="H197" i="12" s="1"/>
  <c r="H191" i="12" s="1"/>
  <c r="AB293" i="12"/>
  <c r="AB279" i="12" s="1"/>
  <c r="AB273" i="12" s="1"/>
  <c r="AH211" i="12"/>
  <c r="AH197" i="12" s="1"/>
  <c r="AH191" i="12" s="1"/>
  <c r="AF88" i="12"/>
  <c r="AF74" i="12" s="1"/>
  <c r="AF68" i="12" s="1"/>
  <c r="I170" i="12"/>
  <c r="I156" i="12" s="1"/>
  <c r="AE211" i="12"/>
  <c r="AE197" i="12" s="1"/>
  <c r="L252" i="12"/>
  <c r="L238" i="12" s="1"/>
  <c r="L232" i="12" s="1"/>
  <c r="K170" i="12"/>
  <c r="K156" i="12" s="1"/>
  <c r="AF170" i="12"/>
  <c r="AF156" i="12" s="1"/>
  <c r="AF150" i="12" s="1"/>
  <c r="Y129" i="12"/>
  <c r="Y115" i="12" s="1"/>
  <c r="K129" i="12"/>
  <c r="K115" i="12" s="1"/>
  <c r="Y252" i="12"/>
  <c r="Y238" i="12" s="1"/>
  <c r="J252" i="12"/>
  <c r="Y88" i="12"/>
  <c r="Y74" i="12" s="1"/>
  <c r="I293" i="12"/>
  <c r="I279" i="12" s="1"/>
  <c r="AE129" i="12"/>
  <c r="AE115" i="12" s="1"/>
  <c r="H88" i="12"/>
  <c r="H74" i="12" s="1"/>
  <c r="H68" i="12" s="1"/>
  <c r="I252" i="12"/>
  <c r="I238" i="12" s="1"/>
  <c r="AD211" i="12"/>
  <c r="AB88" i="12"/>
  <c r="AB74" i="12" s="1"/>
  <c r="AB68" i="12" s="1"/>
  <c r="J129" i="12"/>
  <c r="E293" i="12"/>
  <c r="E279" i="12" s="1"/>
  <c r="AD170" i="12"/>
  <c r="AE293" i="12"/>
  <c r="AE279" i="12" s="1"/>
  <c r="J211" i="12"/>
  <c r="AE252" i="12"/>
  <c r="AE238" i="12" s="1"/>
  <c r="H293" i="12"/>
  <c r="H279" i="12" s="1"/>
  <c r="H273" i="12" s="1"/>
  <c r="L293" i="12"/>
  <c r="L279" i="12" s="1"/>
  <c r="L273" i="12" s="1"/>
  <c r="L129" i="12"/>
  <c r="L115" i="12" s="1"/>
  <c r="L109" i="12" s="1"/>
  <c r="K211" i="12"/>
  <c r="K197" i="12" s="1"/>
  <c r="I211" i="12"/>
  <c r="I197" i="12" s="1"/>
  <c r="H170" i="12"/>
  <c r="H156" i="12" s="1"/>
  <c r="H150" i="12" s="1"/>
  <c r="L211" i="12"/>
  <c r="L197" i="12" s="1"/>
  <c r="L191" i="12" s="1"/>
  <c r="AF252" i="12"/>
  <c r="AF238" i="12" s="1"/>
  <c r="AF232" i="12" s="1"/>
  <c r="K252" i="12"/>
  <c r="K238" i="12" s="1"/>
  <c r="AF211" i="12"/>
  <c r="AF197" i="12" s="1"/>
  <c r="AF191" i="12" s="1"/>
  <c r="AD129" i="12"/>
  <c r="AC129" i="12"/>
  <c r="AC115" i="12" s="1"/>
  <c r="E170" i="12"/>
  <c r="E156" i="12" s="1"/>
  <c r="K293" i="12"/>
  <c r="K279" i="12" s="1"/>
  <c r="L170" i="12"/>
  <c r="L156" i="12" s="1"/>
  <c r="L150" i="12" s="1"/>
  <c r="AH88" i="12"/>
  <c r="AH74" i="12" s="1"/>
  <c r="AH68" i="12" s="1"/>
  <c r="AE88" i="12"/>
  <c r="AE74" i="12" s="1"/>
  <c r="E252" i="12"/>
  <c r="E238" i="12" s="1"/>
  <c r="AB252" i="12"/>
  <c r="AB238" i="12" s="1"/>
  <c r="AB232" i="12" s="1"/>
  <c r="AE170" i="12"/>
  <c r="AE156" i="12" s="1"/>
  <c r="Y293" i="12"/>
  <c r="Y279" i="12" s="1"/>
  <c r="J170" i="12"/>
  <c r="H252" i="12"/>
  <c r="H238" i="12" s="1"/>
  <c r="H232" i="12" s="1"/>
  <c r="AB170" i="12"/>
  <c r="AB156" i="12" s="1"/>
  <c r="AB150" i="12" s="1"/>
  <c r="E129" i="12"/>
  <c r="E115" i="12" s="1"/>
  <c r="AD88" i="12"/>
  <c r="J293" i="12"/>
  <c r="AH252" i="12"/>
  <c r="AH238" i="12" s="1"/>
  <c r="AH232" i="12" s="1"/>
  <c r="AH129" i="12"/>
  <c r="AH115" i="12" s="1"/>
  <c r="AH109" i="12" s="1"/>
  <c r="J88" i="12"/>
  <c r="E211" i="12"/>
  <c r="E197" i="12" s="1"/>
  <c r="AC88" i="12"/>
  <c r="AC74" i="12" s="1"/>
  <c r="AH170" i="12"/>
  <c r="AH156" i="12" s="1"/>
  <c r="AH150" i="12" s="1"/>
  <c r="K233" i="12" l="1"/>
  <c r="K232" i="12"/>
  <c r="AC192" i="12"/>
  <c r="AC191" i="12"/>
  <c r="E233" i="12"/>
  <c r="R238" i="12"/>
  <c r="Y233" i="12"/>
  <c r="AL238" i="12"/>
  <c r="Y69" i="12"/>
  <c r="AL74" i="12"/>
  <c r="Y110" i="12"/>
  <c r="AL115" i="12"/>
  <c r="I110" i="12"/>
  <c r="I109" i="12"/>
  <c r="AE68" i="12"/>
  <c r="AE69" i="12"/>
  <c r="I192" i="12"/>
  <c r="I191" i="12"/>
  <c r="AL77" i="12"/>
  <c r="W88" i="12"/>
  <c r="AL88" i="12" s="1"/>
  <c r="K191" i="12"/>
  <c r="K192" i="12"/>
  <c r="R159" i="12"/>
  <c r="C170" i="12"/>
  <c r="R170" i="12" s="1"/>
  <c r="I69" i="12"/>
  <c r="I68" i="12"/>
  <c r="C293" i="12"/>
  <c r="R293" i="12" s="1"/>
  <c r="R282" i="12"/>
  <c r="AL156" i="12"/>
  <c r="Y151" i="12"/>
  <c r="R279" i="12"/>
  <c r="E274" i="12"/>
  <c r="AL68" i="12"/>
  <c r="K150" i="12"/>
  <c r="K151" i="12"/>
  <c r="AC151" i="12"/>
  <c r="AC150" i="12"/>
  <c r="AL150" i="12" s="1"/>
  <c r="AE150" i="12"/>
  <c r="AE151" i="12"/>
  <c r="K109" i="12"/>
  <c r="R109" i="12" s="1"/>
  <c r="K110" i="12"/>
  <c r="K273" i="12"/>
  <c r="K274" i="12"/>
  <c r="W170" i="12"/>
  <c r="AL170" i="12" s="1"/>
  <c r="AL159" i="12"/>
  <c r="R115" i="12"/>
  <c r="E110" i="12"/>
  <c r="R156" i="12"/>
  <c r="E151" i="12"/>
  <c r="C211" i="12"/>
  <c r="R211" i="12" s="1"/>
  <c r="R200" i="12"/>
  <c r="AL282" i="12"/>
  <c r="W293" i="12"/>
  <c r="AL293" i="12" s="1"/>
  <c r="R118" i="12"/>
  <c r="C129" i="12"/>
  <c r="R129" i="12" s="1"/>
  <c r="W129" i="12"/>
  <c r="AL129" i="12" s="1"/>
  <c r="AL118" i="12"/>
  <c r="AC109" i="12"/>
  <c r="AL109" i="12" s="1"/>
  <c r="AC110" i="12"/>
  <c r="I233" i="12"/>
  <c r="I232" i="12"/>
  <c r="R232" i="12" s="1"/>
  <c r="AE192" i="12"/>
  <c r="AE191" i="12"/>
  <c r="AL191" i="12" s="1"/>
  <c r="AC274" i="12"/>
  <c r="AC273" i="12"/>
  <c r="AC232" i="12"/>
  <c r="AC233" i="12"/>
  <c r="AC68" i="12"/>
  <c r="AC69" i="12"/>
  <c r="AE233" i="12"/>
  <c r="AE232" i="12"/>
  <c r="AL200" i="12"/>
  <c r="W211" i="12"/>
  <c r="AL211" i="12" s="1"/>
  <c r="K69" i="12"/>
  <c r="K68" i="12"/>
  <c r="R241" i="12"/>
  <c r="C252" i="12"/>
  <c r="R252" i="12" s="1"/>
  <c r="AE109" i="12"/>
  <c r="AE110" i="12"/>
  <c r="I151" i="12"/>
  <c r="I150" i="12"/>
  <c r="AL197" i="12"/>
  <c r="Y192" i="12"/>
  <c r="AL192" i="12" s="1"/>
  <c r="AE273" i="12"/>
  <c r="AE274" i="12"/>
  <c r="R74" i="12"/>
  <c r="E69" i="12"/>
  <c r="R197" i="12"/>
  <c r="E192" i="12"/>
  <c r="Y274" i="12"/>
  <c r="AL279" i="12"/>
  <c r="AL241" i="12"/>
  <c r="W252" i="12"/>
  <c r="AL252" i="12" s="1"/>
  <c r="C88" i="12"/>
  <c r="R88" i="12" s="1"/>
  <c r="R77" i="12"/>
  <c r="I274" i="12"/>
  <c r="I273" i="12"/>
  <c r="AL273" i="12" l="1"/>
  <c r="AL232" i="12"/>
  <c r="AL151" i="12"/>
  <c r="AL69" i="12"/>
  <c r="R273" i="12"/>
  <c r="R191" i="12"/>
  <c r="R150" i="12"/>
  <c r="R68" i="12"/>
  <c r="AL233" i="12"/>
  <c r="R233" i="12"/>
  <c r="R274" i="12"/>
  <c r="R151" i="12"/>
  <c r="AL274" i="12"/>
  <c r="R192" i="12"/>
  <c r="R69" i="12"/>
  <c r="R110" i="12"/>
  <c r="AL110" i="12"/>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D39" authorId="0" shapeId="0">
      <text>
        <r>
          <rPr>
            <b/>
            <sz val="9"/>
            <color indexed="81"/>
            <rFont val="Tahoma"/>
            <family val="2"/>
          </rPr>
          <t>CHAIGNEAU Yanis:</t>
        </r>
        <r>
          <rPr>
            <sz val="9"/>
            <color indexed="81"/>
            <rFont val="Tahoma"/>
            <family val="2"/>
          </rPr>
          <t xml:space="preserve">
Pas d'éolien car pas de porteurs de projets</t>
        </r>
      </text>
    </comment>
    <comment ref="S39" authorId="0" shapeId="0">
      <text>
        <r>
          <rPr>
            <b/>
            <sz val="9"/>
            <color indexed="81"/>
            <rFont val="Tahoma"/>
            <family val="2"/>
          </rPr>
          <t>CHAIGNEAU Yanis:</t>
        </r>
        <r>
          <rPr>
            <sz val="9"/>
            <color indexed="81"/>
            <rFont val="Tahoma"/>
            <family val="2"/>
          </rPr>
          <t xml:space="preserve">
Pas d'éolien car pas de porteurs de projets</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comments4.xml><?xml version="1.0" encoding="utf-8"?>
<comments xmlns="http://schemas.openxmlformats.org/spreadsheetml/2006/main">
  <authors>
    <author>CHAIGNEAU Yanis</author>
  </authors>
  <commentList>
    <comment ref="I14" authorId="0" shapeId="0">
      <text>
        <r>
          <rPr>
            <b/>
            <sz val="9"/>
            <color indexed="81"/>
            <rFont val="Tahoma"/>
            <family val="2"/>
          </rPr>
          <t>CHAIGNEAU Yanis:</t>
        </r>
        <r>
          <rPr>
            <sz val="9"/>
            <color indexed="81"/>
            <rFont val="Tahoma"/>
            <family val="2"/>
          </rPr>
          <t xml:space="preserve">
Avec méthode SDES on arrive à 113 en 2050
</t>
        </r>
      </text>
    </comment>
  </commentList>
</comments>
</file>

<file path=xl/sharedStrings.xml><?xml version="1.0" encoding="utf-8"?>
<sst xmlns="http://schemas.openxmlformats.org/spreadsheetml/2006/main" count="2760" uniqueCount="510">
  <si>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</si>
  <si>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</si>
  <si>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</si>
  <si>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</si>
  <si>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</si>
  <si>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</si>
  <si>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</si>
  <si>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</si>
  <si>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</si>
  <si>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</si>
  <si>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</si>
  <si>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</si>
  <si>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</si>
  <si>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</si>
  <si>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</si>
  <si>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</si>
  <si>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</si>
  <si>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</si>
  <si>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</si>
  <si>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</si>
  <si>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</si>
  <si>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</si>
  <si>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</si>
  <si>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</si>
  <si>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</si>
  <si>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</si>
  <si>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</si>
  <si>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</si>
  <si>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</si>
  <si>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</si>
  <si>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</si>
  <si>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</si>
  <si>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</si>
  <si>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</si>
  <si>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</si>
  <si>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</si>
  <si>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</si>
  <si>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</si>
  <si>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</si>
  <si>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</si>
  <si>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</si>
  <si>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</si>
  <si>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</si>
  <si>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</si>
  <si>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</si>
  <si>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</si>
  <si>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</si>
  <si>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</si>
  <si>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</si>
  <si>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</si>
  <si>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</si>
  <si>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</si>
  <si>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</si>
  <si>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</si>
  <si>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</si>
  <si>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</si>
  <si>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</si>
  <si>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</si>
  <si>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</si>
  <si>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</si>
  <si>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</si>
  <si>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</si>
  <si>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</si>
  <si>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DOM</t>
  </si>
  <si>
    <t>Population (en millions)</t>
  </si>
  <si>
    <t>PIB ( en millions d’euros 2014)</t>
  </si>
  <si>
    <t>PIB/habitant  (€/hab.)</t>
  </si>
  <si>
    <t xml:space="preserve">3. AME 2021 </t>
  </si>
  <si>
    <t>France</t>
  </si>
  <si>
    <t>Population (2014)</t>
  </si>
  <si>
    <t>2 104 556</t>
  </si>
  <si>
    <t>66 290 596</t>
  </si>
  <si>
    <t>PIB (2014, en millions d’euros 2010)</t>
  </si>
  <si>
    <t>39 198</t>
  </si>
  <si>
    <t>2 068 624</t>
  </si>
  <si>
    <t>PIB/habitant (2014, €/hab.)</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</si>
  <si>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</si>
  <si>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</si>
  <si>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</si>
  <si>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</si>
  <si>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</si>
  <si>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</si>
  <si>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</si>
  <si>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</si>
  <si>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</si>
  <si>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</si>
  <si>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</si>
  <si>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</si>
  <si>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</si>
  <si>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</si>
  <si>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</si>
  <si>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</si>
  <si>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</si>
  <si>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</si>
  <si>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</si>
  <si>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</si>
  <si>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</si>
  <si>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</si>
  <si>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</si>
  <si>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</si>
  <si>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</si>
  <si>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</si>
  <si>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</si>
  <si>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</si>
  <si>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</si>
  <si>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</si>
  <si>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</si>
  <si>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</si>
  <si>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</si>
  <si>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</si>
  <si>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</si>
  <si>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</si>
  <si>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</si>
  <si>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</si>
  <si>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</si>
  <si>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</si>
  <si>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</si>
  <si>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</si>
  <si>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</si>
  <si>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</si>
  <si>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</si>
  <si>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</si>
  <si>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</si>
  <si>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</si>
  <si>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</si>
  <si>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</si>
  <si>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</si>
  <si>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</si>
  <si>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</si>
  <si>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</si>
  <si>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</si>
  <si>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</si>
  <si>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</si>
  <si>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</si>
  <si>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</si>
  <si>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</si>
  <si>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</si>
  <si>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</si>
  <si>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</si>
  <si>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</si>
  <si>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</si>
  <si>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</si>
  <si>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</si>
  <si>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</si>
  <si>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</si>
  <si>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</si>
  <si>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</si>
  <si>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</si>
  <si>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</si>
  <si>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</si>
  <si>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3. AMS 2023</t>
  </si>
  <si>
    <t>5. AMS 2018</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</si>
  <si>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</si>
  <si>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</si>
  <si>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</si>
  <si>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</si>
  <si>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</si>
  <si>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</si>
  <si>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</si>
  <si>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</si>
  <si>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</si>
  <si>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</si>
  <si>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</si>
  <si>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</si>
  <si>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</si>
  <si>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</si>
  <si>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</si>
  <si>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</si>
  <si>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</si>
  <si>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</si>
  <si>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</si>
  <si>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</si>
  <si>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</si>
  <si>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</si>
  <si>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</si>
  <si>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</si>
  <si>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</si>
  <si>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</si>
  <si>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</si>
  <si>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</si>
  <si>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</si>
  <si>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</si>
  <si>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</si>
  <si>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</si>
  <si>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</si>
  <si>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</si>
  <si>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</si>
  <si>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</si>
  <si>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</si>
  <si>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</si>
  <si>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</si>
  <si>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</si>
  <si>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</si>
  <si>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</si>
  <si>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</si>
  <si>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</si>
  <si>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</si>
  <si>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</si>
  <si>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</si>
  <si>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</si>
  <si>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</si>
  <si>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</si>
  <si>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</si>
  <si>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</si>
  <si>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</si>
  <si>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</si>
  <si>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</si>
  <si>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</si>
  <si>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</si>
  <si>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</si>
  <si>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</si>
  <si>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</si>
  <si>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</si>
  <si>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</si>
  <si>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</si>
  <si>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</si>
  <si>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</si>
  <si>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</si>
  <si>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</si>
  <si>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</si>
  <si>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</si>
  <si>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</si>
  <si>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</si>
  <si>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</si>
  <si>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VA Indus</t>
  </si>
  <si>
    <t>VA BTP</t>
  </si>
  <si>
    <t>Demande fossile éner industrie (ktep)</t>
  </si>
  <si>
    <t xml:space="preserve">Calcul AME 21 </t>
  </si>
  <si>
    <t>Calcul AME 22</t>
  </si>
  <si>
    <t>Conso PPR non énergétique</t>
  </si>
  <si>
    <t>Conso EnRt</t>
  </si>
  <si>
    <t>Conso chaleur vendue</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</si>
  <si>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</si>
  <si>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</si>
  <si>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</si>
  <si>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</si>
  <si>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</si>
  <si>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</si>
  <si>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</si>
  <si>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</si>
  <si>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</si>
  <si>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</si>
  <si>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</si>
  <si>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</si>
  <si>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</si>
  <si>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</si>
  <si>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</si>
  <si>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</si>
  <si>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</si>
  <si>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</si>
  <si>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</si>
  <si>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</si>
  <si>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</si>
  <si>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</si>
  <si>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</si>
  <si>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</si>
  <si>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AME2020</t>
  </si>
  <si>
    <t>AME2021</t>
  </si>
  <si>
    <t>Calcul AME 2021</t>
  </si>
  <si>
    <t>Émissions CO2</t>
  </si>
  <si>
    <t>PIB</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</si>
  <si>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</si>
  <si>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</si>
  <si>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</si>
  <si>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</si>
  <si>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</si>
  <si>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</si>
  <si>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</si>
  <si>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</si>
  <si>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</si>
  <si>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</si>
  <si>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</si>
  <si>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</si>
  <si>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</si>
  <si>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</si>
  <si>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III. Tertiaire (Hors climatisation)</t>
  </si>
  <si>
    <t>(OREC) 2018</t>
  </si>
  <si>
    <t>Avec clim</t>
  </si>
  <si>
    <t>Froid</t>
  </si>
  <si>
    <t>Équipements divers</t>
  </si>
  <si>
    <t>TOTAL</t>
  </si>
  <si>
    <t>Ajusté hausse climatisation</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</si>
  <si>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</si>
  <si>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</si>
  <si>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</si>
  <si>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</si>
  <si>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</si>
  <si>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</si>
  <si>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</si>
  <si>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</si>
  <si>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</si>
  <si>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</si>
  <si>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</si>
  <si>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</si>
  <si>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</si>
  <si>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</si>
  <si>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</si>
  <si>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</si>
  <si>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</si>
  <si>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</si>
  <si>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</si>
  <si>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</si>
  <si>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</si>
  <si>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</si>
  <si>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</si>
  <si>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</si>
  <si>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</si>
  <si>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</si>
  <si>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</si>
  <si>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</si>
  <si>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</si>
  <si>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</si>
  <si>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</si>
  <si>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</si>
  <si>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</si>
  <si>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</si>
  <si>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</si>
  <si>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</si>
  <si>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</si>
  <si>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</si>
  <si>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</si>
  <si>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</si>
  <si>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</si>
  <si>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</si>
  <si>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</si>
  <si>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</si>
  <si>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</si>
  <si>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</si>
  <si>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</si>
  <si>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Citepa</t>
  </si>
  <si>
    <t>Intensité émissions (indice 2015)</t>
  </si>
  <si>
    <t>Population (indice 2015)</t>
  </si>
  <si>
    <t>Quantité de déchets (kt)</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</si>
  <si>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</si>
  <si>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</si>
  <si>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</si>
  <si>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</si>
  <si>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</si>
  <si>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</si>
  <si>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</si>
  <si>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</si>
  <si>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</si>
  <si>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</si>
  <si>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</si>
  <si>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</si>
  <si>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</si>
  <si>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</si>
  <si>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</si>
  <si>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</si>
  <si>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</si>
  <si>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</si>
  <si>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</si>
  <si>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</si>
  <si>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</si>
  <si>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</si>
  <si>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</si>
  <si>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</si>
  <si>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</si>
  <si>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</si>
  <si>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</si>
  <si>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</si>
  <si>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</si>
  <si>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</si>
  <si>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</si>
  <si>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</si>
  <si>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</si>
  <si>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</si>
  <si>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</si>
  <si>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</si>
  <si>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</si>
  <si>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</si>
  <si>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</si>
  <si>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</si>
  <si>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</si>
  <si>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</si>
  <si>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</si>
  <si>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</si>
  <si>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</si>
  <si>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</si>
  <si>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</si>
  <si>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</si>
  <si>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</si>
  <si>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Biomasse</t>
  </si>
  <si>
    <t>iocarburants</t>
  </si>
  <si>
    <t>Mix/chaleur</t>
  </si>
  <si>
    <t>Hypothèse: taux d'équipement constant au niveau de 2019</t>
  </si>
  <si>
    <t>Hypothèses: évolution du kilométrage moyen par voiture de +10% (hypothèse métropole. Trajectoires de déploiement flotte électrique basée sur la métropole, pareil pour l'efficacité</t>
  </si>
  <si>
    <t>Hypothèses: Contrairement à l'AME, stabilité de l'évolution du kilomètrage moyen en AMS. Le % de poids lourds électriques passe à 57% en 2050.100% de véhicules électriques en 2050.</t>
  </si>
  <si>
    <t>1. Historique</t>
  </si>
  <si>
    <t>Comparaison conso carburants vs bilans SDES</t>
  </si>
  <si>
    <t>Sources</t>
  </si>
  <si>
    <t>Cadrage macroéconomique</t>
  </si>
  <si>
    <t>IEDOM 2020 + regression linéaire</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</si>
  <si>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</si>
  <si>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</si>
  <si>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</si>
  <si>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</si>
  <si>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</si>
  <si>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</si>
  <si>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</si>
  <si>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</si>
  <si>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</si>
  <si>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</si>
  <si>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</si>
  <si>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</si>
  <si>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</si>
  <si>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</si>
  <si>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</si>
  <si>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</si>
  <si>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</si>
  <si>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 xml:space="preserve">  </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</si>
  <si>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</si>
  <si>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</si>
  <si>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</si>
  <si>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</si>
  <si>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</si>
  <si>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</si>
  <si>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</si>
  <si>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</si>
  <si>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</si>
  <si>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</si>
  <si>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</si>
  <si>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</si>
  <si>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Stabilité de la part VA Indus + BTP dans le PIB.90% d'EE indus en 2050.</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</si>
  <si>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</si>
  <si>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</si>
  <si>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</si>
  <si>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PIB (millions d'euros base 2014)</t>
  </si>
  <si>
    <t>Données historiques</t>
  </si>
  <si>
    <t>2. AME 2023 run 2</t>
  </si>
  <si>
    <t>3. AMS 2023 run 2</t>
  </si>
  <si>
    <t>2. AME 2023 run 1</t>
  </si>
  <si>
    <t>3. AMS 2023 run 1</t>
  </si>
  <si>
    <t xml:space="preserve">I. Mix électrique </t>
  </si>
  <si>
    <t>I. Modélisations passées</t>
  </si>
  <si>
    <t>Guyane</t>
  </si>
  <si>
    <t>254 843</t>
  </si>
  <si>
    <t>3 940</t>
  </si>
  <si>
    <t>15 462</t>
  </si>
  <si>
    <t xml:space="preserve">Guyane </t>
  </si>
  <si>
    <t>Hypothèses: Le mix en 2025 suit le mix prévu par la PPE en 2023 avec les mêmes hypothèses qu'en AME, puis le PV se déploie pour se substituer à la biomasse. Le fioul léger intérieur est complétement remplacé en 2035. La répartition entre biomasse solide et liquide est calculée à partir des hypothèses Emeraude du BP EDF 2022.</t>
  </si>
  <si>
    <t>Agrégation Indus + BTP, INSEE / IEDOM</t>
  </si>
  <si>
    <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Guyane</t>
    </r>
  </si>
  <si>
    <t>4 184</t>
  </si>
  <si>
    <t>2 976</t>
  </si>
  <si>
    <t>5,721 (2018)</t>
  </si>
  <si>
    <t>Source : IEDOM – Rapport Guyane 2016</t>
  </si>
  <si>
    <t>16 175</t>
  </si>
  <si>
    <t>Hypothèses: Taux d'équipement en clim 75% en 2050 avec amélioration COP</t>
  </si>
  <si>
    <t>PPE Martinique</t>
  </si>
  <si>
    <t>PPE Guadeloupe</t>
  </si>
  <si>
    <t>Hypothèses: 5% de gains énergétiques par rapport à 2019 en 2050</t>
  </si>
  <si>
    <t>Dont Petit Saut</t>
  </si>
  <si>
    <t>Sources: CITEPA pour les émissions, Observatoire Guyanais du Carbone pour petit saut https://guyane.ademe.fr/sites/default/files/note-emission-ges-barrage-petit-saut.pdf</t>
  </si>
  <si>
    <t>Petit Saut</t>
  </si>
  <si>
    <t>Hypothèse: Décroissance linéaire des émissions de Petit Saut (fité sur les données historiques exponentiellement pour inférer en 2050, 50ktCO2). Croissance linéaire des émissions hors petit saut basée sur les hypothèses sectorielles (II)</t>
  </si>
  <si>
    <t>Hypothèse: Décroissance linéaire des émissions Petit Saut, avec l'hypothèse de la mise en place du projet triton (exploitation du bois enfoui dans le barrage) dès 2025.</t>
  </si>
  <si>
    <t xml:space="preserve">II. Secteurs </t>
  </si>
  <si>
    <t>AME 23</t>
  </si>
  <si>
    <t>Part surfaces 2015</t>
  </si>
  <si>
    <t>Intensité des émissions</t>
  </si>
  <si>
    <t>Coeff émissions</t>
  </si>
  <si>
    <t>Part émissions</t>
  </si>
  <si>
    <t>Émissions 2015</t>
  </si>
  <si>
    <t>Émissions 2050</t>
  </si>
  <si>
    <t>AMS 23</t>
  </si>
  <si>
    <t>Infrastructures</t>
  </si>
  <si>
    <t>Orpaillage illégal</t>
  </si>
  <si>
    <t>Source AME 2021</t>
  </si>
  <si>
    <t>Source AMS 2018</t>
  </si>
  <si>
    <t>Hypothèse: 45kh de surfaces agricoles en 2050 (SAR), infrastructures constantes et orpaillage illégal constant</t>
  </si>
  <si>
    <t>Hypothèse de baisse d'intensité des émissions grâce à l'agroforesterie, -30% d'infrastructures, -90% d'orpaillage illégal par rapport à 2015</t>
  </si>
  <si>
    <t>3 691</t>
  </si>
  <si>
    <t>3 561</t>
  </si>
  <si>
    <t>3 464</t>
  </si>
  <si>
    <t>3 727</t>
  </si>
  <si>
    <t>2 617</t>
  </si>
  <si>
    <t>Hypothèses MDE</t>
  </si>
  <si>
    <t>% économie d'énergie</t>
  </si>
  <si>
    <t>% économie</t>
  </si>
  <si>
    <t>Isolation</t>
  </si>
  <si>
    <t>Climatisation</t>
  </si>
  <si>
    <t>Eclairage public</t>
  </si>
  <si>
    <t>Eclairage performant</t>
  </si>
  <si>
    <t>Autres</t>
  </si>
  <si>
    <t>Méthode MDE</t>
  </si>
  <si>
    <t>Economie d'energie / 2019 (GWh)</t>
  </si>
  <si>
    <t>Total (GWh)</t>
  </si>
  <si>
    <t>Le résultat de la modélisation est sous la forme d'un bilan d'énergie tous les 5 ans à horizon 2050.</t>
  </si>
  <si>
    <t>Codes couleurs</t>
  </si>
  <si>
    <t>Résumé des hypothèses prises (à faire)</t>
  </si>
  <si>
    <t>Modélisation statique sectorielle de la Guyane AME / AMS</t>
  </si>
  <si>
    <t>Demande électrique (GWh)</t>
  </si>
  <si>
    <t>Hypothèses: Le mix en 2025 suit le mix prévu par la PPE en 2023, en augmentant la part de PV prévue, en gardant du fioul léger intérieur. Puis il reste constant., en substituant simplement 2% de biomasse par de l'éolien et du gaz en 2035. La répartition entre biomasse solide et liquide est calculée à partir des hypothèses Azur du BP EDF 2022. On suppose la capacité de production hydraulique de 2025 constante.</t>
  </si>
  <si>
    <t>Les hypothèses se situent dans les feuilles de modélisations sectorielles, et sont résumées dans la feuille hypothèse.</t>
  </si>
  <si>
    <t>Résultats de modélisation sectorielles</t>
  </si>
  <si>
    <t>Modélisations sectorielles</t>
  </si>
  <si>
    <t>Sources: Projections régionales de population 2018-2070 (https://www.insee.fr/fr/statistiques/6652134?sommaire=6652140&amp;q=projection+population). Croissance du PIB de 0,7%/an (EDF)</t>
  </si>
  <si>
    <t>Dans le run 2, on se base sur les hypothèses des comités MDE. Hypothèses: Scénario Azur BP EDF 2022, décalé de 2 ans puis projeté sur 2045 - 2050. Les économies d'énergie sont projetées par rapport à 2019. On multiplie par le besoin d'énergie simplement modélisé par le rapport des ménages entre l'année n et 2019</t>
  </si>
  <si>
    <t>Dans le run 2, on se base sur les hypothèses des comités MDE. Hypothèses: Scénario Azur BP EDF 2022, décalé de 2 ans puis projeté sur 2045 - 2050. Les économies d'énergie sont projetées par rapport à 2019</t>
  </si>
  <si>
    <t>Intensité émissions (indice 2019)</t>
  </si>
  <si>
    <t>Population (indice 2019)</t>
  </si>
  <si>
    <t>Intensité émissions / 2019</t>
  </si>
  <si>
    <t>NB: pour la biomasse solide et liquide, on considère que la consommation supplémentaire par rapport à 2019 est à 50% importée et à 50% produite localement</t>
  </si>
  <si>
    <t>EnR élec</t>
  </si>
  <si>
    <t>Biocard</t>
  </si>
  <si>
    <t>Gaz r</t>
  </si>
  <si>
    <t>Rendements métropolitains</t>
  </si>
  <si>
    <t>Rendements</t>
  </si>
  <si>
    <t>Hypothèses: émissions dépendante du niveau de production et de l'intensité d'émission. 95% d'intensité par rapport à 2019, 1,15 fois plus de production en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</si>
</sst>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 numFmtId="178" formatCode="0.00000000000"/>
  </numFmts>
  <fonts count="75">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sz val="10"/>
      <name val="Calibri"/>
      <family val="2"/>
      <scheme val="minor"/>
    </font>
    <font>
      <b/>
      <sz val="14"/>
      <color rgb="FF000000"/>
      <name val="Calibri"/>
      <family val="2"/>
    </font>
  </fonts>
  <fills count="85">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9D9DB"/>
        <bgColor rgb="FFD8D7D7"/>
      </patternFill>
    </fill>
    <fill>
      <patternFill patternType="solid">
        <fgColor rgb="FFF2F2F2"/>
        <bgColor rgb="FFE7E6E6"/>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rgb="FFFFFFFF"/>
        <bgColor rgb="FFFFFFCC"/>
      </patternFill>
    </fill>
    <fill>
      <patternFill patternType="solid">
        <fgColor rgb="FF7ADDF6"/>
        <bgColor rgb="FFC0C0C0"/>
      </patternFill>
    </fill>
    <fill>
      <patternFill patternType="solid">
        <fgColor theme="0"/>
        <bgColor rgb="FFFFCC99"/>
      </patternFill>
    </fill>
    <fill>
      <patternFill patternType="solid">
        <fgColor theme="0"/>
        <bgColor rgb="FFCCCCFF"/>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D9D9D9"/>
        <bgColor rgb="FFD0CECE"/>
      </patternFill>
    </fill>
    <fill>
      <patternFill patternType="solid">
        <fgColor theme="0" tint="-0.14999847407452621"/>
        <bgColor rgb="FFCCCCFF"/>
      </patternFill>
    </fill>
    <fill>
      <patternFill patternType="solid">
        <fgColor theme="2" tint="-9.9978637043366805E-2"/>
        <bgColor rgb="FFFFCC99"/>
      </patternFill>
    </fill>
    <fill>
      <patternFill patternType="solid">
        <fgColor rgb="FFFFC000"/>
        <bgColor rgb="FFFF9900"/>
      </patternFill>
    </fill>
    <fill>
      <patternFill patternType="solid">
        <fgColor rgb="FFED7D31"/>
        <bgColor rgb="FFFF8080"/>
      </patternFill>
    </fill>
    <fill>
      <patternFill patternType="solid">
        <fgColor rgb="FFDDEBF7"/>
        <bgColor rgb="FFF2F2F2"/>
      </patternFill>
    </fill>
    <fill>
      <patternFill patternType="solid">
        <fgColor rgb="FF0070C0"/>
        <bgColor rgb="FF008080"/>
      </patternFill>
    </fill>
    <fill>
      <patternFill patternType="solid">
        <fgColor rgb="FFB3A2C7"/>
        <bgColor rgb="FFA6A6A6"/>
      </patternFill>
    </fill>
    <fill>
      <patternFill patternType="solid">
        <fgColor rgb="FFE0E5B3"/>
        <bgColor rgb="FFD9D9D9"/>
      </patternFill>
    </fill>
    <fill>
      <patternFill patternType="solid">
        <fgColor rgb="FF92D050"/>
        <bgColor rgb="FFB3B3B3"/>
      </patternFill>
    </fill>
    <fill>
      <patternFill patternType="solid">
        <fgColor rgb="FF7030A0"/>
        <bgColor rgb="FF993366"/>
      </patternFill>
    </fill>
    <fill>
      <patternFill patternType="solid">
        <fgColor rgb="FFF2F2F2"/>
        <bgColor rgb="FFDDEBF7"/>
      </patternFill>
    </fill>
    <fill>
      <patternFill patternType="solid">
        <fgColor rgb="FF000000"/>
        <bgColor rgb="FF003300"/>
      </patternFill>
    </fill>
    <fill>
      <patternFill patternType="solid">
        <fgColor rgb="FF00B050"/>
        <bgColor rgb="FF008080"/>
      </patternFill>
    </fill>
    <fill>
      <patternFill patternType="solid">
        <fgColor rgb="FFD0CECE"/>
        <bgColor rgb="FFD9D9D9"/>
      </patternFill>
    </fill>
    <fill>
      <patternFill patternType="solid">
        <fgColor rgb="FFA6A6A6"/>
        <bgColor rgb="FFA5A5A5"/>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s>
  <cellStyleXfs count="7784">
    <xf numFmtId="0" fontId="0" fillId="0" borderId="0"/>
    <xf numFmtId="167" fontId="48" fillId="0" borderId="0" applyBorder="0" applyProtection="0"/>
    <xf numFmtId="168" fontId="48" fillId="0" borderId="0" applyBorder="0" applyProtection="0"/>
    <xf numFmtId="0" fontId="7" fillId="0" borderId="0" applyBorder="0" applyProtection="0"/>
    <xf numFmtId="164" fontId="48" fillId="0" borderId="0" applyBorder="0" applyProtection="0"/>
    <xf numFmtId="164" fontId="48" fillId="0" borderId="0" applyBorder="0" applyProtection="0"/>
    <xf numFmtId="0" fontId="48" fillId="2" borderId="0" applyBorder="0" applyProtection="0"/>
    <xf numFmtId="0" fontId="1" fillId="3" borderId="0" applyBorder="0" applyProtection="0"/>
    <xf numFmtId="0" fontId="48" fillId="4" borderId="0" applyBorder="0" applyProtection="0"/>
    <xf numFmtId="0" fontId="48" fillId="4" borderId="0" applyBorder="0" applyProtection="0"/>
    <xf numFmtId="0" fontId="1" fillId="3" borderId="0" applyBorder="0" applyProtection="0"/>
    <xf numFmtId="0" fontId="48" fillId="4"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4" borderId="0" applyBorder="0" applyProtection="0"/>
    <xf numFmtId="0" fontId="48" fillId="4"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3" borderId="0" applyBorder="0" applyProtection="0"/>
    <xf numFmtId="0" fontId="48"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1" fillId="3" borderId="0" applyBorder="0" applyProtection="0"/>
    <xf numFmtId="0" fontId="48" fillId="4" borderId="0" applyBorder="0" applyProtection="0"/>
    <xf numFmtId="0" fontId="48" fillId="2" borderId="0" applyBorder="0" applyProtection="0"/>
    <xf numFmtId="0" fontId="1" fillId="3"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5"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3" borderId="0" applyBorder="0" applyProtection="0"/>
    <xf numFmtId="0" fontId="48"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1" fillId="3" borderId="0" applyBorder="0" applyProtection="0"/>
    <xf numFmtId="0" fontId="48" fillId="6"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7" borderId="0" applyBorder="0" applyProtection="0"/>
    <xf numFmtId="0" fontId="1" fillId="3" borderId="0" applyBorder="0" applyProtection="0"/>
    <xf numFmtId="0" fontId="48" fillId="8" borderId="0" applyBorder="0" applyProtection="0"/>
    <xf numFmtId="0" fontId="48" fillId="8" borderId="0" applyBorder="0" applyProtection="0"/>
    <xf numFmtId="0" fontId="1" fillId="3" borderId="0" applyBorder="0" applyProtection="0"/>
    <xf numFmtId="0" fontId="48" fillId="8"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8" borderId="0" applyBorder="0" applyProtection="0"/>
    <xf numFmtId="0" fontId="48" fillId="8"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1" fillId="3" borderId="0" applyBorder="0" applyProtection="0"/>
    <xf numFmtId="0" fontId="48" fillId="8"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10"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11"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3" borderId="0" applyBorder="0" applyProtection="0"/>
    <xf numFmtId="0" fontId="48"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1" fillId="3" borderId="0" applyBorder="0" applyProtection="0"/>
    <xf numFmtId="0" fontId="48" fillId="11" borderId="0" applyBorder="0" applyProtection="0"/>
    <xf numFmtId="0" fontId="48" fillId="10" borderId="0" applyBorder="0" applyProtection="0"/>
    <xf numFmtId="0" fontId="1" fillId="3"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3" borderId="0" applyBorder="0" applyProtection="0"/>
    <xf numFmtId="0" fontId="48" fillId="14" borderId="0" applyBorder="0" applyProtection="0"/>
    <xf numFmtId="0" fontId="48" fillId="14"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7"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10"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10" borderId="0" applyBorder="0" applyProtection="0"/>
    <xf numFmtId="0" fontId="48" fillId="10"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3" borderId="0" applyBorder="0" applyProtection="0"/>
    <xf numFmtId="0" fontId="48"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48" fillId="7" borderId="0" applyBorder="0" applyProtection="0"/>
    <xf numFmtId="0" fontId="1" fillId="3" borderId="0" applyBorder="0" applyProtection="0"/>
    <xf numFmtId="0" fontId="1" fillId="3" borderId="0" applyBorder="0" applyProtection="0"/>
    <xf numFmtId="0" fontId="48" fillId="10" borderId="0" applyBorder="0" applyProtection="0"/>
    <xf numFmtId="0" fontId="48" fillId="7" borderId="0" applyBorder="0" applyProtection="0"/>
    <xf numFmtId="0" fontId="1" fillId="3"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7" borderId="0" applyBorder="0" applyProtection="0"/>
    <xf numFmtId="0" fontId="1" fillId="3" borderId="0" applyBorder="0" applyProtection="0"/>
    <xf numFmtId="0" fontId="48" fillId="0" borderId="0" applyBorder="0" applyProtection="0">
      <alignment horizontal="left" vertical="center" indent="4"/>
    </xf>
    <xf numFmtId="0" fontId="48" fillId="0" borderId="0" applyBorder="0" applyProtection="0">
      <alignment horizontal="left" vertical="center" indent="3"/>
    </xf>
    <xf numFmtId="0" fontId="48" fillId="12"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5"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1" fillId="3" borderId="0" applyBorder="0" applyProtection="0"/>
    <xf numFmtId="0" fontId="48" fillId="16" borderId="0" applyBorder="0" applyProtection="0"/>
    <xf numFmtId="0" fontId="48" fillId="16" borderId="0" applyBorder="0" applyProtection="0"/>
    <xf numFmtId="0" fontId="48" fillId="16"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48" fillId="5" borderId="0" applyBorder="0" applyProtection="0"/>
    <xf numFmtId="0" fontId="1" fillId="3"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5" borderId="0" applyBorder="0" applyProtection="0"/>
    <xf numFmtId="0" fontId="1" fillId="3" borderId="0" applyBorder="0" applyProtection="0"/>
    <xf numFmtId="0" fontId="48" fillId="9" borderId="0" applyBorder="0" applyProtection="0"/>
    <xf numFmtId="0" fontId="1" fillId="3" borderId="0" applyBorder="0" applyProtection="0"/>
    <xf numFmtId="0" fontId="48" fillId="17" borderId="0" applyBorder="0" applyProtection="0"/>
    <xf numFmtId="0" fontId="48" fillId="17" borderId="0" applyBorder="0" applyProtection="0"/>
    <xf numFmtId="0" fontId="1" fillId="3" borderId="0" applyBorder="0" applyProtection="0"/>
    <xf numFmtId="0" fontId="48" fillId="17"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17" borderId="0" applyBorder="0" applyProtection="0"/>
    <xf numFmtId="0" fontId="48" fillId="17"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48" fillId="7" borderId="0" applyBorder="0" applyProtection="0"/>
    <xf numFmtId="0" fontId="1" fillId="3"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6"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11"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11" borderId="0" applyBorder="0" applyProtection="0"/>
    <xf numFmtId="0" fontId="48" fillId="11"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3" borderId="0" applyBorder="0" applyProtection="0"/>
    <xf numFmtId="0" fontId="48"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48" fillId="6" borderId="0" applyBorder="0" applyProtection="0"/>
    <xf numFmtId="0" fontId="1" fillId="3" borderId="0" applyBorder="0" applyProtection="0"/>
    <xf numFmtId="0" fontId="1" fillId="3" borderId="0" applyBorder="0" applyProtection="0"/>
    <xf numFmtId="0" fontId="48" fillId="15" borderId="0" applyBorder="0" applyProtection="0"/>
    <xf numFmtId="0" fontId="48" fillId="6" borderId="0" applyBorder="0" applyProtection="0"/>
    <xf numFmtId="0" fontId="1" fillId="3"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6" borderId="0" applyBorder="0" applyProtection="0"/>
    <xf numFmtId="0" fontId="1" fillId="3" borderId="0" applyBorder="0" applyProtection="0"/>
    <xf numFmtId="0" fontId="48" fillId="12"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2" borderId="0" applyBorder="0" applyProtection="0"/>
    <xf numFmtId="0" fontId="48" fillId="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3" borderId="0" applyBorder="0" applyProtection="0"/>
    <xf numFmtId="0" fontId="48"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48" fillId="12" borderId="0" applyBorder="0" applyProtection="0"/>
    <xf numFmtId="0" fontId="1" fillId="3" borderId="0" applyBorder="0" applyProtection="0"/>
    <xf numFmtId="0" fontId="1" fillId="3" borderId="0" applyBorder="0" applyProtection="0"/>
    <xf numFmtId="0" fontId="48" fillId="2" borderId="0" applyBorder="0" applyProtection="0"/>
    <xf numFmtId="0" fontId="48" fillId="12" borderId="0" applyBorder="0" applyProtection="0"/>
    <xf numFmtId="0" fontId="1" fillId="3"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12" borderId="0" applyBorder="0" applyProtection="0"/>
    <xf numFmtId="0" fontId="1" fillId="3" borderId="0" applyBorder="0" applyProtection="0"/>
    <xf numFmtId="0" fontId="48" fillId="9" borderId="0" applyBorder="0" applyProtection="0"/>
    <xf numFmtId="0" fontId="1" fillId="3" borderId="0" applyBorder="0" applyProtection="0"/>
    <xf numFmtId="0" fontId="48" fillId="18" borderId="0" applyBorder="0" applyProtection="0"/>
    <xf numFmtId="0" fontId="48" fillId="18" borderId="0" applyBorder="0" applyProtection="0"/>
    <xf numFmtId="0" fontId="1" fillId="3" borderId="0" applyBorder="0" applyProtection="0"/>
    <xf numFmtId="0" fontId="48" fillId="18"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18" borderId="0" applyBorder="0" applyProtection="0"/>
    <xf numFmtId="0" fontId="48" fillId="18"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3" borderId="0" applyBorder="0" applyProtection="0"/>
    <xf numFmtId="0" fontId="48"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48" fillId="9" borderId="0" applyBorder="0" applyProtection="0"/>
    <xf numFmtId="0" fontId="1" fillId="3" borderId="0" applyBorder="0" applyProtection="0"/>
    <xf numFmtId="0" fontId="1" fillId="3" borderId="0" applyBorder="0" applyProtection="0"/>
    <xf numFmtId="0" fontId="48" fillId="7" borderId="0" applyBorder="0" applyProtection="0"/>
    <xf numFmtId="0" fontId="48" fillId="9" borderId="0" applyBorder="0" applyProtection="0"/>
    <xf numFmtId="0" fontId="1" fillId="3"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9" borderId="0" applyBorder="0" applyProtection="0"/>
    <xf numFmtId="0" fontId="1" fillId="3" borderId="0" applyBorder="0" applyProtection="0"/>
    <xf numFmtId="0" fontId="48" fillId="0" borderId="0" applyBorder="0" applyProtection="0">
      <alignment horizontal="left" vertical="center" indent="9"/>
    </xf>
    <xf numFmtId="0" fontId="48"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8" fillId="4" borderId="0" applyBorder="0" applyProtection="0"/>
    <xf numFmtId="0" fontId="1" fillId="3" borderId="0" applyBorder="0" applyProtection="0"/>
    <xf numFmtId="0" fontId="48"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8" fillId="9" borderId="0" applyBorder="0" applyProtection="0"/>
    <xf numFmtId="0" fontId="1" fillId="3" borderId="0" applyBorder="0" applyProtection="0"/>
    <xf numFmtId="0" fontId="48"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8" fillId="9" borderId="0" applyBorder="0" applyProtection="0"/>
    <xf numFmtId="0" fontId="1" fillId="3" borderId="0" applyBorder="0" applyProtection="0"/>
    <xf numFmtId="0" fontId="48"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8" fillId="4" borderId="0" applyBorder="0" applyProtection="0"/>
    <xf numFmtId="0" fontId="1" fillId="3" borderId="0" applyBorder="0" applyProtection="0"/>
    <xf numFmtId="0" fontId="48"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8" fillId="12" borderId="0" applyBorder="0" applyProtection="0"/>
    <xf numFmtId="0" fontId="1" fillId="3" borderId="0" applyBorder="0" applyProtection="0"/>
    <xf numFmtId="0" fontId="48"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8" fillId="9" borderId="0" applyBorder="0" applyProtection="0"/>
    <xf numFmtId="0" fontId="1" fillId="3" borderId="0" applyBorder="0" applyProtection="0"/>
    <xf numFmtId="0" fontId="48"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cellStyleXfs>
  <cellXfs count="494">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8" fillId="34" borderId="0" xfId="1540" applyFont="1" applyFill="1" applyAlignment="1">
      <alignment horizontal="left" vertical="top"/>
    </xf>
    <xf numFmtId="0" fontId="8"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11"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169" fontId="0" fillId="0" borderId="6" xfId="1540" applyNumberFormat="1" applyFont="1" applyBorder="1"/>
    <xf numFmtId="0" fontId="12" fillId="41" borderId="0" xfId="1540" applyFont="1" applyFill="1"/>
    <xf numFmtId="0" fontId="13" fillId="41" borderId="0" xfId="1540" applyFont="1" applyFill="1"/>
    <xf numFmtId="0" fontId="14" fillId="0" borderId="0" xfId="1540" applyFont="1" applyAlignment="1">
      <alignment horizontal="center" vertical="center" wrapText="1"/>
    </xf>
    <xf numFmtId="0" fontId="16" fillId="0" borderId="1" xfId="1540" applyFont="1" applyBorder="1" applyAlignment="1">
      <alignment horizontal="center"/>
    </xf>
    <xf numFmtId="0" fontId="17" fillId="3" borderId="0" xfId="1540" applyFont="1" applyFill="1"/>
    <xf numFmtId="0" fontId="18" fillId="3" borderId="0" xfId="1540" applyFont="1" applyFill="1" applyAlignment="1">
      <alignment horizontal="center" vertical="center"/>
    </xf>
    <xf numFmtId="0" fontId="20" fillId="3" borderId="1" xfId="1540" applyFont="1" applyFill="1" applyBorder="1" applyAlignment="1">
      <alignment horizontal="center" vertical="center" wrapText="1"/>
    </xf>
    <xf numFmtId="0" fontId="21" fillId="0" borderId="1" xfId="1540" applyFont="1" applyBorder="1"/>
    <xf numFmtId="168" fontId="18" fillId="3" borderId="1" xfId="2" applyFont="1" applyFill="1" applyBorder="1" applyAlignment="1" applyProtection="1">
      <alignment horizontal="center"/>
    </xf>
    <xf numFmtId="0" fontId="25" fillId="0" borderId="1" xfId="1540" applyFont="1" applyBorder="1"/>
    <xf numFmtId="168" fontId="28" fillId="3" borderId="1" xfId="2" applyFont="1" applyFill="1" applyBorder="1" applyAlignment="1" applyProtection="1">
      <alignment horizontal="center"/>
    </xf>
    <xf numFmtId="0" fontId="21" fillId="43" borderId="1" xfId="1540" applyFont="1" applyFill="1" applyBorder="1"/>
    <xf numFmtId="0" fontId="30" fillId="0" borderId="0" xfId="1540" applyFont="1"/>
    <xf numFmtId="0" fontId="32" fillId="3" borderId="0" xfId="1540" applyFont="1" applyFill="1"/>
    <xf numFmtId="0" fontId="33" fillId="3" borderId="0" xfId="1540" applyFont="1" applyFill="1"/>
    <xf numFmtId="0" fontId="18" fillId="3" borderId="7" xfId="1540" applyFont="1" applyFill="1" applyBorder="1" applyAlignment="1">
      <alignment horizontal="justify" vertical="center" wrapText="1"/>
    </xf>
    <xf numFmtId="0" fontId="18" fillId="0" borderId="7" xfId="1540" applyFont="1" applyBorder="1" applyAlignment="1">
      <alignment horizontal="justify" vertical="center" wrapText="1"/>
    </xf>
    <xf numFmtId="0" fontId="34" fillId="3" borderId="8" xfId="1540" applyFont="1" applyFill="1" applyBorder="1" applyAlignment="1">
      <alignment horizontal="center" vertical="center" wrapText="1"/>
    </xf>
    <xf numFmtId="0" fontId="18" fillId="3" borderId="8" xfId="1540" applyFont="1" applyFill="1" applyBorder="1" applyAlignment="1">
      <alignment horizontal="center" vertical="center" wrapText="1"/>
    </xf>
    <xf numFmtId="0" fontId="34" fillId="3" borderId="5" xfId="1540" applyFont="1" applyFill="1" applyBorder="1" applyAlignment="1">
      <alignment horizontal="center" vertical="center" wrapText="1"/>
    </xf>
    <xf numFmtId="0" fontId="18" fillId="3" borderId="5" xfId="1540" applyFont="1" applyFill="1" applyBorder="1" applyAlignment="1">
      <alignment horizontal="center" vertical="center" wrapText="1"/>
    </xf>
    <xf numFmtId="0" fontId="23" fillId="0" borderId="1" xfId="1540" applyFont="1" applyBorder="1" applyAlignment="1">
      <alignment horizontal="center" vertical="center" wrapText="1"/>
    </xf>
    <xf numFmtId="0" fontId="38" fillId="3" borderId="1" xfId="1540" applyFont="1" applyFill="1" applyBorder="1" applyAlignment="1">
      <alignment horizontal="center" vertical="center" wrapText="1"/>
    </xf>
    <xf numFmtId="0" fontId="38" fillId="0" borderId="1" xfId="1540" applyFont="1" applyBorder="1" applyAlignment="1">
      <alignment horizontal="center" vertical="center" wrapText="1"/>
    </xf>
    <xf numFmtId="0" fontId="20" fillId="0" borderId="1" xfId="1540" applyFont="1" applyBorder="1" applyAlignment="1">
      <alignment horizontal="center" vertical="center" wrapText="1"/>
    </xf>
    <xf numFmtId="0" fontId="38" fillId="0" borderId="1" xfId="1540" applyFont="1" applyBorder="1" applyAlignment="1">
      <alignment vertical="center" wrapText="1"/>
    </xf>
    <xf numFmtId="3" fontId="38" fillId="0" borderId="1" xfId="1540" applyNumberFormat="1" applyFont="1" applyBorder="1" applyAlignment="1">
      <alignment horizontal="center" vertical="center" wrapText="1"/>
    </xf>
    <xf numFmtId="3" fontId="20" fillId="0" borderId="1" xfId="1540" applyNumberFormat="1" applyFont="1" applyBorder="1" applyAlignment="1">
      <alignment horizontal="center" vertical="center" wrapText="1"/>
    </xf>
    <xf numFmtId="0" fontId="0" fillId="42" borderId="1" xfId="1540" applyFont="1" applyFill="1" applyBorder="1"/>
    <xf numFmtId="0" fontId="0" fillId="45" borderId="1" xfId="1540" applyFont="1" applyFill="1" applyBorder="1"/>
    <xf numFmtId="0" fontId="0" fillId="0" borderId="0" xfId="1540" applyFont="1" applyBorder="1" applyAlignment="1"/>
    <xf numFmtId="169" fontId="0" fillId="0" borderId="1" xfId="1540" applyNumberFormat="1" applyFont="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8" fontId="0" fillId="42" borderId="1" xfId="1540" applyNumberFormat="1" applyFont="1" applyFill="1" applyBorder="1"/>
    <xf numFmtId="168" fontId="48" fillId="0" borderId="1" xfId="2" applyBorder="1" applyProtection="1"/>
    <xf numFmtId="168" fontId="0" fillId="0" borderId="0" xfId="1540" applyNumberFormat="1" applyFont="1"/>
    <xf numFmtId="169" fontId="0" fillId="42" borderId="1" xfId="1540" applyNumberFormat="1" applyFont="1" applyFill="1" applyBorder="1"/>
    <xf numFmtId="0" fontId="0" fillId="40" borderId="1" xfId="1540" applyFont="1" applyFill="1" applyBorder="1"/>
    <xf numFmtId="0" fontId="40" fillId="0" borderId="0" xfId="1540" applyFont="1"/>
    <xf numFmtId="0" fontId="40" fillId="0" borderId="0" xfId="1540" applyFont="1" applyAlignment="1">
      <alignment wrapText="1"/>
    </xf>
    <xf numFmtId="0" fontId="2" fillId="47" borderId="1" xfId="1540" applyFont="1" applyFill="1" applyBorder="1" applyAlignment="1">
      <alignment horizontal="center"/>
    </xf>
    <xf numFmtId="0" fontId="2" fillId="47" borderId="1" xfId="1540" applyFont="1" applyFill="1" applyBorder="1" applyAlignment="1">
      <alignment horizontal="center"/>
    </xf>
    <xf numFmtId="0" fontId="2" fillId="47"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41"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40" fillId="0" borderId="1" xfId="1540" applyFont="1" applyBorder="1" applyAlignment="1">
      <alignment horizontal="center"/>
    </xf>
    <xf numFmtId="0" fontId="40" fillId="0" borderId="1" xfId="1540" applyFont="1" applyBorder="1"/>
    <xf numFmtId="0" fontId="42" fillId="47" borderId="1" xfId="1540" applyFont="1" applyFill="1" applyBorder="1" applyAlignment="1">
      <alignment horizontal="center"/>
    </xf>
    <xf numFmtId="0" fontId="43" fillId="47" borderId="1" xfId="1540" applyFont="1" applyFill="1" applyBorder="1" applyAlignment="1">
      <alignment horizontal="center"/>
    </xf>
    <xf numFmtId="0" fontId="40" fillId="0" borderId="0" xfId="1540" applyFont="1" applyAlignment="1">
      <alignment wrapText="1"/>
    </xf>
    <xf numFmtId="0" fontId="2" fillId="47" borderId="1" xfId="1540" applyFont="1" applyFill="1" applyBorder="1" applyAlignment="1">
      <alignment horizontal="left"/>
    </xf>
    <xf numFmtId="0" fontId="44" fillId="0" borderId="1" xfId="1540" applyFont="1" applyBorder="1" applyAlignment="1">
      <alignment horizontal="center"/>
    </xf>
    <xf numFmtId="3" fontId="40" fillId="0" borderId="1" xfId="1540" applyNumberFormat="1" applyFont="1" applyBorder="1" applyAlignment="1">
      <alignment horizontal="center"/>
    </xf>
    <xf numFmtId="3" fontId="40" fillId="45" borderId="1" xfId="1540" applyNumberFormat="1" applyFont="1" applyFill="1" applyBorder="1" applyAlignment="1">
      <alignment horizontal="center"/>
    </xf>
    <xf numFmtId="4" fontId="40" fillId="0" borderId="1" xfId="1540" applyNumberFormat="1" applyFont="1" applyBorder="1" applyAlignment="1">
      <alignment horizontal="center"/>
    </xf>
    <xf numFmtId="172" fontId="40" fillId="45" borderId="1" xfId="1540" applyNumberFormat="1" applyFont="1" applyFill="1" applyBorder="1" applyAlignment="1">
      <alignment horizontal="center"/>
    </xf>
    <xf numFmtId="168" fontId="40" fillId="0" borderId="0" xfId="2" applyFont="1" applyBorder="1" applyProtection="1"/>
    <xf numFmtId="4" fontId="40" fillId="45" borderId="1" xfId="1540" applyNumberFormat="1" applyFont="1" applyFill="1" applyBorder="1" applyAlignment="1">
      <alignment horizontal="center"/>
    </xf>
    <xf numFmtId="0" fontId="40" fillId="0" borderId="1" xfId="1540" applyFont="1" applyBorder="1" applyAlignment="1">
      <alignment horizontal="center"/>
    </xf>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0" fillId="0" borderId="1" xfId="1540" applyFont="1" applyBorder="1" applyAlignment="1">
      <alignment wrapText="1"/>
    </xf>
    <xf numFmtId="171" fontId="30" fillId="0" borderId="1" xfId="1" applyNumberFormat="1" applyFont="1" applyBorder="1" applyAlignment="1" applyProtection="1">
      <alignment horizontal="right"/>
    </xf>
    <xf numFmtId="0" fontId="45" fillId="0" borderId="0" xfId="1540" applyFont="1"/>
    <xf numFmtId="168" fontId="0" fillId="0" borderId="1" xfId="1540" applyNumberFormat="1" applyFont="1" applyBorder="1" applyAlignment="1">
      <alignment horizontal="right"/>
    </xf>
    <xf numFmtId="0" fontId="0" fillId="48" borderId="1" xfId="1540" applyFont="1" applyFill="1" applyBorder="1" applyAlignment="1">
      <alignment wrapText="1"/>
    </xf>
    <xf numFmtId="171" fontId="0" fillId="48"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8" fillId="0" borderId="1" xfId="2" applyNumberFormat="1" applyBorder="1" applyProtection="1"/>
    <xf numFmtId="169" fontId="30" fillId="0" borderId="1" xfId="2" applyNumberFormat="1" applyFont="1" applyBorder="1" applyProtection="1"/>
    <xf numFmtId="2" fontId="30" fillId="0" borderId="1" xfId="1540" applyNumberFormat="1" applyFont="1" applyBorder="1"/>
    <xf numFmtId="0" fontId="10" fillId="0" borderId="0" xfId="1540" applyFont="1"/>
    <xf numFmtId="1" fontId="0" fillId="0" borderId="1" xfId="1540" applyNumberFormat="1" applyFont="1" applyBorder="1"/>
    <xf numFmtId="168" fontId="0" fillId="0" borderId="1" xfId="1540" applyNumberFormat="1" applyFont="1" applyBorder="1"/>
    <xf numFmtId="2" fontId="30" fillId="0" borderId="1" xfId="1540" applyNumberFormat="1" applyFont="1" applyBorder="1"/>
    <xf numFmtId="2" fontId="0" fillId="0" borderId="1" xfId="1540" applyNumberFormat="1" applyFont="1" applyBorder="1"/>
    <xf numFmtId="166" fontId="0" fillId="0" borderId="1" xfId="1540" applyNumberFormat="1" applyFont="1" applyBorder="1"/>
    <xf numFmtId="0" fontId="4" fillId="0" borderId="0" xfId="1540" applyFont="1"/>
    <xf numFmtId="166" fontId="0" fillId="0" borderId="1" xfId="1540" applyNumberFormat="1" applyFont="1" applyBorder="1"/>
    <xf numFmtId="0" fontId="0" fillId="49" borderId="1" xfId="1540" applyFont="1" applyFill="1" applyBorder="1"/>
    <xf numFmtId="169" fontId="0" fillId="0" borderId="1" xfId="1540" applyNumberFormat="1" applyFont="1" applyBorder="1"/>
    <xf numFmtId="0" fontId="0" fillId="50" borderId="1" xfId="1540" applyFont="1" applyFill="1" applyBorder="1"/>
    <xf numFmtId="169" fontId="0" fillId="50"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2" borderId="1" xfId="1540" applyNumberFormat="1" applyFont="1" applyFill="1" applyBorder="1" applyAlignment="1">
      <alignment horizontal="right"/>
    </xf>
    <xf numFmtId="166" fontId="0" fillId="50" borderId="1" xfId="1540" applyNumberFormat="1" applyFont="1" applyFill="1" applyBorder="1"/>
    <xf numFmtId="169" fontId="0" fillId="0" borderId="1" xfId="1540" applyNumberFormat="1" applyFont="1" applyBorder="1" applyAlignment="1">
      <alignment vertical="center"/>
    </xf>
    <xf numFmtId="2" fontId="0" fillId="50" borderId="1" xfId="1540" applyNumberFormat="1" applyFont="1" applyFill="1" applyBorder="1"/>
    <xf numFmtId="1" fontId="0" fillId="42"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2" fontId="46" fillId="0" borderId="0" xfId="1540" applyNumberFormat="1" applyFont="1"/>
    <xf numFmtId="4" fontId="0" fillId="0" borderId="1" xfId="1540" applyNumberFormat="1" applyFont="1" applyBorder="1"/>
    <xf numFmtId="0" fontId="0" fillId="0" borderId="0" xfId="1540" applyFont="1" applyBorder="1"/>
    <xf numFmtId="0" fontId="30" fillId="0" borderId="0" xfId="1540" applyFont="1" applyBorder="1"/>
    <xf numFmtId="0" fontId="30"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0"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0" fillId="0" borderId="22" xfId="1540" applyFont="1" applyBorder="1"/>
    <xf numFmtId="0" fontId="47"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0" borderId="6" xfId="1540" applyFont="1" applyBorder="1" applyAlignment="1">
      <alignment horizontal="right"/>
    </xf>
    <xf numFmtId="0" fontId="0" fillId="51" borderId="0" xfId="0" applyFont="1" applyFill="1" applyBorder="1" applyAlignment="1">
      <alignment horizontal="center" vertical="top" wrapText="1"/>
    </xf>
    <xf numFmtId="1" fontId="51" fillId="0" borderId="0" xfId="0" applyNumberFormat="1" applyFont="1"/>
    <xf numFmtId="1" fontId="51" fillId="52" borderId="0" xfId="0" applyNumberFormat="1" applyFont="1" applyFill="1"/>
    <xf numFmtId="0" fontId="52" fillId="34" borderId="0" xfId="1540" applyFont="1" applyFill="1" applyAlignment="1">
      <alignment horizontal="center" vertical="top" wrapText="1"/>
    </xf>
    <xf numFmtId="1" fontId="53" fillId="0" borderId="0" xfId="1540" applyNumberFormat="1" applyFont="1"/>
    <xf numFmtId="1" fontId="53" fillId="34" borderId="0" xfId="1540" applyNumberFormat="1" applyFont="1" applyFill="1"/>
    <xf numFmtId="1" fontId="53" fillId="36" borderId="0" xfId="1540" applyNumberFormat="1" applyFont="1" applyFill="1"/>
    <xf numFmtId="1" fontId="0" fillId="0" borderId="0" xfId="0" applyNumberFormat="1"/>
    <xf numFmtId="10" fontId="0" fillId="0" borderId="1" xfId="1540" applyNumberFormat="1" applyFont="1" applyBorder="1"/>
    <xf numFmtId="9" fontId="0" fillId="42" borderId="1" xfId="1540" applyNumberFormat="1" applyFont="1" applyFill="1" applyBorder="1"/>
    <xf numFmtId="0" fontId="0" fillId="0" borderId="1" xfId="0" applyFont="1" applyBorder="1"/>
    <xf numFmtId="0" fontId="4" fillId="0" borderId="0" xfId="0" applyFont="1"/>
    <xf numFmtId="0" fontId="0" fillId="0" borderId="0" xfId="0" applyBorder="1"/>
    <xf numFmtId="0" fontId="54" fillId="0" borderId="1" xfId="0" applyFont="1" applyBorder="1" applyAlignment="1">
      <alignment horizontal="center" vertical="center"/>
    </xf>
    <xf numFmtId="0" fontId="54" fillId="0" borderId="1" xfId="0" applyFont="1" applyBorder="1" applyAlignment="1">
      <alignment horizontal="center" vertical="center" wrapText="1"/>
    </xf>
    <xf numFmtId="0" fontId="0" fillId="0" borderId="0" xfId="0" applyBorder="1" applyAlignment="1"/>
    <xf numFmtId="0" fontId="54" fillId="0" borderId="1" xfId="0" applyFont="1" applyBorder="1" applyAlignment="1"/>
    <xf numFmtId="175" fontId="0" fillId="0" borderId="1" xfId="0" applyNumberFormat="1" applyBorder="1"/>
    <xf numFmtId="0" fontId="54" fillId="0" borderId="1" xfId="0" applyFont="1" applyBorder="1"/>
    <xf numFmtId="0" fontId="0" fillId="0" borderId="1" xfId="0" applyBorder="1"/>
    <xf numFmtId="0" fontId="54" fillId="0" borderId="0" xfId="0" applyFont="1" applyBorder="1" applyAlignment="1"/>
    <xf numFmtId="175" fontId="0" fillId="0" borderId="0" xfId="0" applyNumberFormat="1" applyBorder="1"/>
    <xf numFmtId="4" fontId="58" fillId="0" borderId="1" xfId="0" applyNumberFormat="1" applyFont="1" applyBorder="1" applyAlignment="1">
      <alignment horizontal="center" vertical="center" wrapText="1"/>
    </xf>
    <xf numFmtId="0" fontId="58" fillId="0" borderId="1" xfId="0" applyFont="1" applyBorder="1" applyAlignment="1">
      <alignment horizontal="center" vertical="center" wrapText="1"/>
    </xf>
    <xf numFmtId="0" fontId="59" fillId="0" borderId="1" xfId="0" applyFont="1" applyBorder="1" applyAlignment="1">
      <alignment horizontal="left" vertical="center"/>
    </xf>
    <xf numFmtId="166" fontId="60" fillId="0" borderId="1" xfId="0" applyNumberFormat="1" applyFont="1" applyBorder="1" applyAlignment="1">
      <alignment horizontal="right"/>
    </xf>
    <xf numFmtId="166" fontId="59" fillId="53" borderId="1" xfId="0" applyNumberFormat="1" applyFont="1" applyFill="1" applyBorder="1" applyAlignment="1">
      <alignment horizontal="right"/>
    </xf>
    <xf numFmtId="175" fontId="59" fillId="53" borderId="1" xfId="0" applyNumberFormat="1" applyFont="1" applyFill="1" applyBorder="1" applyAlignment="1">
      <alignment horizontal="right"/>
    </xf>
    <xf numFmtId="166" fontId="57" fillId="53" borderId="1" xfId="0" applyNumberFormat="1" applyFont="1" applyFill="1" applyBorder="1" applyAlignment="1">
      <alignment horizontal="right"/>
    </xf>
    <xf numFmtId="0" fontId="57" fillId="54" borderId="1" xfId="0" applyFont="1" applyFill="1" applyBorder="1" applyAlignment="1">
      <alignment horizontal="left" vertical="center"/>
    </xf>
    <xf numFmtId="166" fontId="57" fillId="54" borderId="1" xfId="0" applyNumberFormat="1" applyFont="1" applyFill="1" applyBorder="1" applyAlignment="1">
      <alignment horizontal="right"/>
    </xf>
    <xf numFmtId="0" fontId="57" fillId="0" borderId="12" xfId="0" applyFont="1" applyBorder="1" applyAlignment="1">
      <alignment horizontal="left" vertical="center"/>
    </xf>
    <xf numFmtId="166" fontId="57" fillId="0" borderId="12" xfId="0" applyNumberFormat="1" applyFont="1" applyBorder="1" applyAlignment="1">
      <alignment horizontal="right"/>
    </xf>
    <xf numFmtId="1" fontId="51" fillId="0" borderId="0" xfId="0" applyNumberFormat="1" applyFont="1" applyFill="1"/>
    <xf numFmtId="0" fontId="60" fillId="0" borderId="1" xfId="0" applyFont="1" applyBorder="1" applyAlignment="1">
      <alignment horizontal="left" vertical="center"/>
    </xf>
    <xf numFmtId="1" fontId="60" fillId="0" borderId="1" xfId="0" applyNumberFormat="1" applyFont="1" applyBorder="1" applyAlignment="1">
      <alignment horizontal="right"/>
    </xf>
    <xf numFmtId="166" fontId="56" fillId="0" borderId="1" xfId="0" applyNumberFormat="1" applyFont="1" applyBorder="1" applyAlignment="1">
      <alignment horizontal="right"/>
    </xf>
    <xf numFmtId="166" fontId="60" fillId="0" borderId="1" xfId="0" quotePrefix="1" applyNumberFormat="1" applyFont="1" applyBorder="1" applyAlignment="1">
      <alignment horizontal="right"/>
    </xf>
    <xf numFmtId="176" fontId="60" fillId="0" borderId="1" xfId="0" applyNumberFormat="1" applyFont="1" applyBorder="1" applyAlignment="1">
      <alignment horizontal="right"/>
    </xf>
    <xf numFmtId="176" fontId="57" fillId="0" borderId="12" xfId="0" applyNumberFormat="1" applyFont="1" applyBorder="1" applyAlignment="1">
      <alignment horizontal="right"/>
    </xf>
    <xf numFmtId="175" fontId="57" fillId="0" borderId="12" xfId="0" applyNumberFormat="1" applyFont="1" applyBorder="1" applyAlignment="1">
      <alignment horizontal="right"/>
    </xf>
    <xf numFmtId="166" fontId="0" fillId="0" borderId="0" xfId="0" applyNumberFormat="1"/>
    <xf numFmtId="0" fontId="9" fillId="33" borderId="0" xfId="0" applyFont="1" applyFill="1" applyAlignment="1">
      <alignment horizontal="center" vertical="center"/>
    </xf>
    <xf numFmtId="10" fontId="0" fillId="42" borderId="1" xfId="1540" applyNumberFormat="1" applyFont="1" applyFill="1" applyBorder="1"/>
    <xf numFmtId="0" fontId="0" fillId="38" borderId="0" xfId="1540" applyFont="1" applyFill="1" applyBorder="1" applyAlignment="1">
      <alignment horizontal="center"/>
    </xf>
    <xf numFmtId="0" fontId="61"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3" fillId="0" borderId="12" xfId="1540" applyFont="1" applyBorder="1" applyAlignment="1">
      <alignment horizontal="center"/>
    </xf>
    <xf numFmtId="171" fontId="40" fillId="0" borderId="1" xfId="1" applyNumberFormat="1" applyFont="1" applyBorder="1" applyAlignment="1" applyProtection="1"/>
    <xf numFmtId="168" fontId="40" fillId="0" borderId="1" xfId="2" applyFont="1" applyBorder="1" applyProtection="1"/>
    <xf numFmtId="171" fontId="40" fillId="0" borderId="1" xfId="1540" applyNumberFormat="1" applyFont="1" applyBorder="1"/>
    <xf numFmtId="0" fontId="40" fillId="57" borderId="1" xfId="1540" applyFont="1" applyFill="1" applyBorder="1" applyAlignment="1">
      <alignment horizontal="center"/>
    </xf>
    <xf numFmtId="0" fontId="40" fillId="58" borderId="1" xfId="1540" applyFont="1" applyFill="1" applyBorder="1" applyAlignment="1">
      <alignment horizontal="center"/>
    </xf>
    <xf numFmtId="169" fontId="30" fillId="0" borderId="11" xfId="2" applyNumberFormat="1" applyFont="1" applyBorder="1" applyProtection="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4" fillId="57" borderId="1" xfId="1540" applyFont="1" applyFill="1" applyBorder="1" applyAlignment="1">
      <alignment wrapText="1"/>
    </xf>
    <xf numFmtId="0" fontId="64" fillId="0" borderId="1" xfId="0" applyFont="1" applyBorder="1" applyAlignment="1">
      <alignment wrapText="1"/>
    </xf>
    <xf numFmtId="0" fontId="62" fillId="0" borderId="1" xfId="1540" applyFont="1" applyBorder="1"/>
    <xf numFmtId="0" fontId="64"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8" fillId="0" borderId="11" xfId="2" applyBorder="1" applyProtection="1"/>
    <xf numFmtId="0" fontId="65" fillId="0" borderId="1" xfId="0" applyFont="1" applyBorder="1"/>
    <xf numFmtId="0" fontId="65" fillId="0" borderId="0" xfId="0" applyFont="1" applyBorder="1"/>
    <xf numFmtId="0" fontId="0" fillId="57" borderId="1" xfId="1540" applyFont="1" applyFill="1" applyBorder="1" applyAlignment="1">
      <alignment wrapText="1"/>
    </xf>
    <xf numFmtId="166" fontId="0" fillId="0" borderId="11" xfId="1540" applyNumberFormat="1" applyFont="1" applyBorder="1"/>
    <xf numFmtId="0" fontId="66" fillId="0" borderId="1" xfId="0" applyFont="1" applyBorder="1"/>
    <xf numFmtId="0" fontId="66" fillId="0" borderId="0" xfId="0" applyFont="1" applyBorder="1"/>
    <xf numFmtId="0" fontId="0" fillId="58" borderId="1" xfId="1540" applyFont="1" applyFill="1" applyBorder="1"/>
    <xf numFmtId="0" fontId="0" fillId="58" borderId="0" xfId="0" applyFill="1"/>
    <xf numFmtId="0" fontId="66" fillId="58" borderId="1" xfId="0" applyFont="1" applyFill="1" applyBorder="1"/>
    <xf numFmtId="0" fontId="68" fillId="0" borderId="1" xfId="0" applyFont="1" applyBorder="1" applyAlignment="1">
      <alignment horizontal="right"/>
    </xf>
    <xf numFmtId="2" fontId="0" fillId="58" borderId="1" xfId="1540" applyNumberFormat="1" applyFont="1" applyFill="1" applyBorder="1"/>
    <xf numFmtId="0" fontId="66" fillId="0" borderId="1" xfId="1540" applyFont="1" applyBorder="1"/>
    <xf numFmtId="0" fontId="66" fillId="57" borderId="1" xfId="1540" applyFont="1" applyFill="1" applyBorder="1"/>
    <xf numFmtId="0" fontId="61" fillId="0" borderId="0" xfId="1540" applyFont="1" applyBorder="1" applyAlignment="1">
      <alignment horizontal="center"/>
    </xf>
    <xf numFmtId="0" fontId="0" fillId="0" borderId="1" xfId="1540" applyFont="1" applyFill="1" applyBorder="1"/>
    <xf numFmtId="0" fontId="0" fillId="0" borderId="12" xfId="0" applyBorder="1"/>
    <xf numFmtId="2" fontId="0" fillId="0" borderId="1" xfId="0" applyNumberFormat="1" applyBorder="1"/>
    <xf numFmtId="2" fontId="62" fillId="0" borderId="1" xfId="1540" applyNumberFormat="1" applyFont="1" applyBorder="1"/>
    <xf numFmtId="1" fontId="62" fillId="0" borderId="1" xfId="1540" applyNumberFormat="1" applyFont="1" applyBorder="1"/>
    <xf numFmtId="0" fontId="0" fillId="0" borderId="0" xfId="0" applyBorder="1" applyAlignment="1">
      <alignment horizontal="center"/>
    </xf>
    <xf numFmtId="0" fontId="69" fillId="0" borderId="1" xfId="1540" applyFont="1" applyBorder="1"/>
    <xf numFmtId="168" fontId="62" fillId="0" borderId="1" xfId="2" applyFont="1" applyBorder="1" applyProtection="1"/>
    <xf numFmtId="168" fontId="62" fillId="0" borderId="11" xfId="2" applyFont="1" applyBorder="1" applyProtection="1"/>
    <xf numFmtId="0" fontId="62" fillId="0" borderId="11" xfId="1540" applyFont="1" applyBorder="1"/>
    <xf numFmtId="169" fontId="62" fillId="0" borderId="1" xfId="1540" applyNumberFormat="1" applyFont="1" applyBorder="1"/>
    <xf numFmtId="169" fontId="62" fillId="0" borderId="11" xfId="1540" applyNumberFormat="1" applyFont="1" applyBorder="1"/>
    <xf numFmtId="171" fontId="30" fillId="57" borderId="1" xfId="1" applyNumberFormat="1" applyFont="1" applyFill="1" applyBorder="1" applyAlignment="1" applyProtection="1">
      <alignment horizontal="right"/>
    </xf>
    <xf numFmtId="171" fontId="0" fillId="57" borderId="1" xfId="1" applyNumberFormat="1" applyFont="1" applyFill="1" applyBorder="1" applyAlignment="1" applyProtection="1">
      <alignment horizontal="right"/>
    </xf>
    <xf numFmtId="0" fontId="7" fillId="0" borderId="0" xfId="3"/>
    <xf numFmtId="0" fontId="62" fillId="3" borderId="1" xfId="1540" applyFont="1" applyFill="1" applyBorder="1"/>
    <xf numFmtId="0" fontId="71" fillId="3" borderId="1" xfId="3" applyFont="1" applyFill="1" applyBorder="1" applyAlignment="1" applyProtection="1"/>
    <xf numFmtId="0" fontId="0" fillId="60"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2" fillId="0" borderId="1" xfId="1540" applyNumberFormat="1" applyFont="1" applyBorder="1"/>
    <xf numFmtId="0" fontId="0" fillId="61" borderId="0" xfId="0" applyFill="1"/>
    <xf numFmtId="0" fontId="0" fillId="62" borderId="0" xfId="0" applyFill="1"/>
    <xf numFmtId="0" fontId="0" fillId="63" borderId="0" xfId="0" applyFill="1"/>
    <xf numFmtId="0" fontId="0" fillId="0" borderId="0" xfId="1540" applyFont="1" applyFill="1" applyBorder="1" applyAlignment="1">
      <alignment horizontal="center"/>
    </xf>
    <xf numFmtId="0" fontId="0" fillId="0" borderId="0" xfId="1540" applyFont="1" applyFill="1" applyBorder="1"/>
    <xf numFmtId="10" fontId="0" fillId="0" borderId="0" xfId="1540" applyNumberFormat="1" applyFont="1" applyFill="1" applyBorder="1"/>
    <xf numFmtId="9" fontId="0" fillId="0" borderId="0" xfId="1540" applyNumberFormat="1" applyFont="1" applyFill="1" applyBorder="1"/>
    <xf numFmtId="0" fontId="61" fillId="0" borderId="0" xfId="0" applyFont="1" applyFill="1" applyBorder="1" applyAlignment="1">
      <alignment horizontal="center"/>
    </xf>
    <xf numFmtId="0" fontId="0" fillId="0" borderId="0" xfId="0" applyFill="1"/>
    <xf numFmtId="0" fontId="0" fillId="0" borderId="0" xfId="1540" applyFont="1" applyFill="1"/>
    <xf numFmtId="0" fontId="0" fillId="59" borderId="0" xfId="0" applyFill="1"/>
    <xf numFmtId="0" fontId="61" fillId="59" borderId="0" xfId="0" applyFont="1" applyFill="1" applyAlignment="1">
      <alignment horizontal="center"/>
    </xf>
    <xf numFmtId="0" fontId="0" fillId="59" borderId="0" xfId="1540" applyFont="1" applyFill="1" applyBorder="1"/>
    <xf numFmtId="0" fontId="0" fillId="59" borderId="0" xfId="1540" applyFont="1" applyFill="1" applyBorder="1" applyAlignment="1">
      <alignment horizontal="center"/>
    </xf>
    <xf numFmtId="10" fontId="0" fillId="59" borderId="0" xfId="1540" applyNumberFormat="1" applyFont="1" applyFill="1" applyBorder="1"/>
    <xf numFmtId="9" fontId="0" fillId="59" borderId="0" xfId="1540" applyNumberFormat="1" applyFont="1" applyFill="1" applyBorder="1"/>
    <xf numFmtId="0" fontId="61" fillId="59" borderId="0" xfId="0" applyFont="1" applyFill="1" applyBorder="1" applyAlignment="1">
      <alignment horizontal="center"/>
    </xf>
    <xf numFmtId="0" fontId="0" fillId="59" borderId="0" xfId="1540" applyFont="1" applyFill="1" applyBorder="1" applyAlignment="1"/>
    <xf numFmtId="0" fontId="0" fillId="59" borderId="0" xfId="1540" applyFont="1" applyFill="1"/>
    <xf numFmtId="168" fontId="0" fillId="59" borderId="0" xfId="1540" applyNumberFormat="1" applyFont="1" applyFill="1"/>
    <xf numFmtId="0" fontId="0" fillId="0" borderId="3" xfId="0" applyBorder="1"/>
    <xf numFmtId="169" fontId="0" fillId="0" borderId="1" xfId="0" applyNumberFormat="1" applyBorder="1" applyAlignment="1">
      <alignment horizontal="right"/>
    </xf>
    <xf numFmtId="9" fontId="0" fillId="0" borderId="1" xfId="0" applyNumberFormat="1" applyFont="1" applyBorder="1"/>
    <xf numFmtId="169" fontId="0" fillId="0" borderId="1" xfId="0" applyNumberFormat="1" applyBorder="1"/>
    <xf numFmtId="174" fontId="0" fillId="0" borderId="1" xfId="0" applyNumberFormat="1" applyFont="1" applyBorder="1"/>
    <xf numFmtId="9" fontId="0" fillId="58" borderId="1" xfId="0" applyNumberFormat="1" applyFont="1" applyFill="1" applyBorder="1"/>
    <xf numFmtId="168" fontId="48" fillId="0" borderId="1" xfId="2" applyBorder="1"/>
    <xf numFmtId="10" fontId="0" fillId="0" borderId="1" xfId="0" applyNumberFormat="1" applyFont="1" applyBorder="1"/>
    <xf numFmtId="168" fontId="0" fillId="65" borderId="1" xfId="1540" applyNumberFormat="1" applyFont="1" applyFill="1" applyBorder="1"/>
    <xf numFmtId="168" fontId="0" fillId="56" borderId="1" xfId="1540" applyNumberFormat="1" applyFont="1" applyFill="1" applyBorder="1"/>
    <xf numFmtId="169" fontId="0" fillId="55" borderId="1" xfId="1540" applyNumberFormat="1" applyFont="1" applyFill="1" applyBorder="1"/>
    <xf numFmtId="169" fontId="0" fillId="66" borderId="1" xfId="1540" applyNumberFormat="1" applyFont="1" applyFill="1" applyBorder="1"/>
    <xf numFmtId="0" fontId="0" fillId="58" borderId="1" xfId="0" applyFont="1" applyFill="1" applyBorder="1"/>
    <xf numFmtId="0" fontId="0" fillId="64" borderId="1" xfId="0" applyFont="1" applyFill="1" applyBorder="1"/>
    <xf numFmtId="168" fontId="48" fillId="59" borderId="1" xfId="2" applyFill="1" applyBorder="1"/>
    <xf numFmtId="0" fontId="0" fillId="0" borderId="0" xfId="0" applyFont="1"/>
    <xf numFmtId="169" fontId="0" fillId="64" borderId="1" xfId="0" applyNumberFormat="1" applyFill="1" applyBorder="1"/>
    <xf numFmtId="2" fontId="0" fillId="0" borderId="1" xfId="0" applyNumberFormat="1" applyFont="1" applyBorder="1"/>
    <xf numFmtId="1" fontId="51" fillId="0" borderId="0" xfId="4603" applyNumberFormat="1" applyFont="1" applyFill="1"/>
    <xf numFmtId="1" fontId="51" fillId="51" borderId="0" xfId="4603" applyNumberFormat="1" applyFont="1" applyFill="1"/>
    <xf numFmtId="1" fontId="51" fillId="0" borderId="0" xfId="4603" applyNumberFormat="1" applyFont="1"/>
    <xf numFmtId="1" fontId="51" fillId="52" borderId="0" xfId="4603" applyNumberFormat="1" applyFont="1" applyFill="1"/>
    <xf numFmtId="0" fontId="51" fillId="51" borderId="0" xfId="4603" applyFont="1" applyFill="1"/>
    <xf numFmtId="0" fontId="51" fillId="51" borderId="0" xfId="4603" applyFont="1" applyFill="1" applyAlignment="1">
      <alignment horizontal="center" vertical="top" wrapText="1"/>
    </xf>
    <xf numFmtId="0" fontId="51" fillId="0" borderId="0" xfId="4603" applyFont="1"/>
    <xf numFmtId="0" fontId="51" fillId="52" borderId="0" xfId="4603" applyFont="1" applyFill="1"/>
    <xf numFmtId="166" fontId="22" fillId="0" borderId="1" xfId="0" applyNumberFormat="1" applyFont="1" applyBorder="1"/>
    <xf numFmtId="0" fontId="23" fillId="3" borderId="0" xfId="0" applyFont="1" applyFill="1"/>
    <xf numFmtId="0" fontId="23" fillId="69" borderId="1" xfId="0" applyFont="1" applyFill="1" applyBorder="1"/>
    <xf numFmtId="0" fontId="24" fillId="70" borderId="1" xfId="0" applyFont="1" applyFill="1" applyBorder="1"/>
    <xf numFmtId="0" fontId="23" fillId="71" borderId="1" xfId="0" applyFont="1" applyFill="1" applyBorder="1"/>
    <xf numFmtId="0" fontId="23" fillId="72" borderId="1" xfId="0" applyFont="1" applyFill="1" applyBorder="1"/>
    <xf numFmtId="0" fontId="23" fillId="73" borderId="1" xfId="0" applyFont="1" applyFill="1" applyBorder="1"/>
    <xf numFmtId="0" fontId="24" fillId="74" borderId="1" xfId="0" applyFont="1" applyFill="1" applyBorder="1"/>
    <xf numFmtId="166" fontId="26" fillId="0" borderId="1" xfId="0" applyNumberFormat="1" applyFont="1" applyBorder="1"/>
    <xf numFmtId="0" fontId="27" fillId="3" borderId="0" xfId="0" applyFont="1" applyFill="1"/>
    <xf numFmtId="0" fontId="27" fillId="64" borderId="1" xfId="0" applyFont="1" applyFill="1" applyBorder="1"/>
    <xf numFmtId="3" fontId="21" fillId="75" borderId="1" xfId="0" applyNumberFormat="1" applyFont="1" applyFill="1" applyBorder="1"/>
    <xf numFmtId="0" fontId="24" fillId="76" borderId="1" xfId="0" applyFont="1" applyFill="1" applyBorder="1"/>
    <xf numFmtId="168" fontId="17" fillId="64" borderId="1" xfId="2" applyFont="1" applyFill="1" applyBorder="1" applyAlignment="1" applyProtection="1">
      <alignment horizontal="center"/>
    </xf>
    <xf numFmtId="0" fontId="23" fillId="77" borderId="1" xfId="0" applyFont="1" applyFill="1" applyBorder="1"/>
    <xf numFmtId="0" fontId="20" fillId="3" borderId="0" xfId="0" applyFont="1" applyFill="1"/>
    <xf numFmtId="0" fontId="29" fillId="76" borderId="1" xfId="0" applyFont="1" applyFill="1" applyBorder="1"/>
    <xf numFmtId="168" fontId="0" fillId="0" borderId="1" xfId="0" applyNumberFormat="1" applyBorder="1"/>
    <xf numFmtId="0" fontId="0" fillId="0" borderId="1" xfId="0" applyFont="1" applyBorder="1" applyAlignment="1">
      <alignment wrapText="1"/>
    </xf>
    <xf numFmtId="2" fontId="61" fillId="0" borderId="1" xfId="0" applyNumberFormat="1" applyFont="1" applyBorder="1"/>
    <xf numFmtId="175" fontId="0" fillId="0" borderId="1" xfId="0" applyNumberFormat="1" applyFont="1" applyBorder="1"/>
    <xf numFmtId="3" fontId="0" fillId="0" borderId="1" xfId="0" applyNumberFormat="1" applyFont="1" applyBorder="1"/>
    <xf numFmtId="10" fontId="61" fillId="0" borderId="1" xfId="0" applyNumberFormat="1" applyFont="1" applyBorder="1"/>
    <xf numFmtId="166" fontId="73" fillId="0" borderId="1" xfId="4545" applyNumberFormat="1" applyFont="1" applyBorder="1"/>
    <xf numFmtId="168" fontId="0" fillId="0" borderId="1" xfId="0" applyNumberFormat="1" applyFont="1" applyBorder="1"/>
    <xf numFmtId="168" fontId="0" fillId="0" borderId="0" xfId="0" applyNumberFormat="1"/>
    <xf numFmtId="1" fontId="0" fillId="0" borderId="1" xfId="0" applyNumberFormat="1" applyFont="1" applyBorder="1"/>
    <xf numFmtId="1" fontId="61" fillId="0" borderId="1" xfId="0" applyNumberFormat="1" applyFont="1" applyBorder="1"/>
    <xf numFmtId="4" fontId="0" fillId="0" borderId="1" xfId="0" applyNumberFormat="1" applyFont="1" applyBorder="1"/>
    <xf numFmtId="2" fontId="0" fillId="0" borderId="13" xfId="1540" applyNumberFormat="1" applyFont="1" applyBorder="1"/>
    <xf numFmtId="0" fontId="0" fillId="0" borderId="24" xfId="1540" applyFont="1" applyBorder="1"/>
    <xf numFmtId="0" fontId="0" fillId="0" borderId="11" xfId="0" applyBorder="1" applyAlignment="1">
      <alignment wrapText="1"/>
    </xf>
    <xf numFmtId="0" fontId="0" fillId="0" borderId="6" xfId="0" applyBorder="1" applyAlignment="1">
      <alignment wrapText="1"/>
    </xf>
    <xf numFmtId="0" fontId="0" fillId="0" borderId="10" xfId="0" applyBorder="1"/>
    <xf numFmtId="0" fontId="0" fillId="0" borderId="6" xfId="0" applyFont="1" applyBorder="1"/>
    <xf numFmtId="0" fontId="0" fillId="0" borderId="16" xfId="0" applyBorder="1"/>
    <xf numFmtId="0" fontId="0" fillId="0" borderId="7" xfId="0" applyBorder="1"/>
    <xf numFmtId="0" fontId="0" fillId="0" borderId="15" xfId="0" applyBorder="1"/>
    <xf numFmtId="2" fontId="0" fillId="0" borderId="0" xfId="1540" applyNumberFormat="1" applyFont="1" applyBorder="1"/>
    <xf numFmtId="0" fontId="0" fillId="0" borderId="8" xfId="0" applyBorder="1"/>
    <xf numFmtId="0" fontId="0" fillId="78" borderId="1" xfId="0" applyFont="1" applyFill="1" applyBorder="1"/>
    <xf numFmtId="166" fontId="0" fillId="0" borderId="1" xfId="0" applyNumberFormat="1" applyBorder="1"/>
    <xf numFmtId="0" fontId="61" fillId="0" borderId="1" xfId="0" applyFont="1" applyBorder="1" applyAlignment="1">
      <alignment wrapText="1"/>
    </xf>
    <xf numFmtId="1" fontId="0" fillId="78" borderId="1" xfId="0" applyNumberFormat="1" applyFont="1" applyFill="1" applyBorder="1"/>
    <xf numFmtId="0" fontId="0" fillId="78" borderId="1" xfId="0" applyFont="1" applyFill="1" applyBorder="1" applyAlignment="1">
      <alignment horizontal="right"/>
    </xf>
    <xf numFmtId="178" fontId="0" fillId="0" borderId="0" xfId="0" applyNumberFormat="1"/>
    <xf numFmtId="2" fontId="60" fillId="0" borderId="1" xfId="0" applyNumberFormat="1" applyFont="1" applyBorder="1" applyAlignment="1">
      <alignment horizontal="right"/>
    </xf>
    <xf numFmtId="9" fontId="0" fillId="0" borderId="1" xfId="0" applyNumberFormat="1" applyBorder="1"/>
    <xf numFmtId="0" fontId="0" fillId="80" borderId="1" xfId="0" applyFill="1" applyBorder="1"/>
    <xf numFmtId="1" fontId="0" fillId="80" borderId="1" xfId="0" applyNumberFormat="1" applyFill="1" applyBorder="1"/>
    <xf numFmtId="0" fontId="0" fillId="0" borderId="0" xfId="0"/>
    <xf numFmtId="0" fontId="0" fillId="81" borderId="0" xfId="0" applyFill="1"/>
    <xf numFmtId="0" fontId="0" fillId="0" borderId="11" xfId="0" applyFont="1" applyBorder="1"/>
    <xf numFmtId="0" fontId="0" fillId="0" borderId="12" xfId="0" applyFont="1" applyBorder="1"/>
    <xf numFmtId="0" fontId="0" fillId="0" borderId="3" xfId="0" applyFont="1" applyBorder="1"/>
    <xf numFmtId="0" fontId="0" fillId="82" borderId="1" xfId="1540" applyFont="1" applyFill="1" applyBorder="1"/>
    <xf numFmtId="0" fontId="0" fillId="83" borderId="1" xfId="1540" applyFont="1" applyFill="1" applyBorder="1"/>
    <xf numFmtId="166" fontId="0" fillId="83" borderId="1" xfId="1540" applyNumberFormat="1" applyFont="1" applyFill="1" applyBorder="1"/>
    <xf numFmtId="2" fontId="0" fillId="83" borderId="1" xfId="1540" applyNumberFormat="1" applyFont="1" applyFill="1" applyBorder="1"/>
    <xf numFmtId="0" fontId="0" fillId="84" borderId="1" xfId="1540" applyFont="1" applyFill="1" applyBorder="1"/>
    <xf numFmtId="1" fontId="0" fillId="84" borderId="1" xfId="1540" applyNumberFormat="1" applyFont="1" applyFill="1" applyBorder="1" applyAlignment="1">
      <alignment horizontal="right"/>
    </xf>
    <xf numFmtId="166" fontId="0" fillId="84" borderId="1" xfId="1540" applyNumberFormat="1" applyFont="1" applyFill="1" applyBorder="1"/>
    <xf numFmtId="2" fontId="0" fillId="84" borderId="1" xfId="1540" applyNumberFormat="1" applyFont="1" applyFill="1" applyBorder="1"/>
    <xf numFmtId="0" fontId="0" fillId="0" borderId="0" xfId="0"/>
    <xf numFmtId="0" fontId="9" fillId="33" borderId="0" xfId="1540" applyFont="1" applyFill="1" applyBorder="1" applyAlignment="1">
      <alignment horizontal="center" vertical="center"/>
    </xf>
    <xf numFmtId="0" fontId="0" fillId="0" borderId="0" xfId="0"/>
    <xf numFmtId="0" fontId="74" fillId="0" borderId="0" xfId="0" applyFont="1"/>
    <xf numFmtId="0" fontId="57" fillId="0" borderId="8" xfId="0" applyFont="1" applyBorder="1" applyAlignment="1">
      <alignment horizontal="center" vertical="center" wrapText="1"/>
    </xf>
    <xf numFmtId="0" fontId="57" fillId="0" borderId="5" xfId="0" applyFont="1" applyBorder="1" applyAlignment="1">
      <alignment horizontal="center" vertical="center" wrapText="1"/>
    </xf>
    <xf numFmtId="0" fontId="57" fillId="0" borderId="11" xfId="0" applyFont="1" applyBorder="1" applyAlignment="1">
      <alignment horizontal="center" vertical="center" wrapText="1"/>
    </xf>
    <xf numFmtId="0" fontId="57" fillId="0" borderId="12" xfId="0" applyFont="1" applyBorder="1" applyAlignment="1">
      <alignment horizontal="center" vertical="center" wrapText="1"/>
    </xf>
    <xf numFmtId="0" fontId="57" fillId="0" borderId="3" xfId="0" applyFont="1" applyBorder="1" applyAlignment="1">
      <alignment horizontal="center" vertical="center" wrapText="1"/>
    </xf>
    <xf numFmtId="0" fontId="55" fillId="0" borderId="0" xfId="0" applyFont="1" applyAlignment="1">
      <alignment horizontal="center" vertical="center"/>
    </xf>
    <xf numFmtId="0" fontId="56" fillId="0" borderId="8" xfId="0" applyFont="1" applyBorder="1" applyAlignment="1">
      <alignment horizontal="center" vertical="center" wrapText="1"/>
    </xf>
    <xf numFmtId="0" fontId="56" fillId="0" borderId="5" xfId="0" applyFont="1" applyBorder="1" applyAlignment="1">
      <alignment horizontal="center" vertical="center" wrapText="1"/>
    </xf>
    <xf numFmtId="0" fontId="57"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9" fillId="33" borderId="0" xfId="0" applyFont="1" applyFill="1" applyAlignment="1">
      <alignment horizontal="center" vertical="center"/>
    </xf>
    <xf numFmtId="0" fontId="47" fillId="33" borderId="0" xfId="0" applyFont="1" applyFill="1" applyAlignment="1">
      <alignment horizontal="center"/>
    </xf>
    <xf numFmtId="0" fontId="0" fillId="0" borderId="0" xfId="0" applyAlignment="1">
      <alignment horizont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1" fillId="0" borderId="11" xfId="1540" applyFont="1" applyBorder="1" applyAlignment="1">
      <alignment horizontal="center"/>
    </xf>
    <xf numFmtId="0" fontId="61" fillId="0" borderId="12" xfId="1540" applyFont="1" applyBorder="1" applyAlignment="1">
      <alignment horizontal="center"/>
    </xf>
    <xf numFmtId="0" fontId="61" fillId="0" borderId="3" xfId="1540" applyFont="1" applyBorder="1" applyAlignment="1">
      <alignment horizontal="center"/>
    </xf>
    <xf numFmtId="0" fontId="0" fillId="39" borderId="1" xfId="1540" applyFont="1" applyFill="1" applyBorder="1" applyAlignment="1">
      <alignment horizontal="center"/>
    </xf>
    <xf numFmtId="0" fontId="61" fillId="0" borderId="0" xfId="0" applyFont="1" applyAlignment="1">
      <alignment horizontal="center"/>
    </xf>
    <xf numFmtId="0" fontId="61" fillId="0" borderId="23" xfId="0" applyFont="1" applyBorder="1" applyAlignment="1">
      <alignment horizontal="center"/>
    </xf>
    <xf numFmtId="0" fontId="72" fillId="40" borderId="0" xfId="1540" applyFont="1" applyFill="1" applyBorder="1" applyAlignment="1">
      <alignment horizontal="center"/>
    </xf>
    <xf numFmtId="0" fontId="61" fillId="0" borderId="23" xfId="0" applyFont="1" applyBorder="1" applyAlignment="1">
      <alignment horizontal="center" wrapText="1"/>
    </xf>
    <xf numFmtId="0" fontId="61" fillId="58" borderId="1" xfId="0" applyFont="1" applyFill="1" applyBorder="1" applyAlignment="1">
      <alignment horizontal="center" wrapText="1"/>
    </xf>
    <xf numFmtId="0" fontId="0" fillId="67" borderId="11" xfId="0" applyFont="1" applyFill="1" applyBorder="1" applyAlignment="1">
      <alignment horizontal="center"/>
    </xf>
    <xf numFmtId="0" fontId="0" fillId="67" borderId="12" xfId="0" applyFont="1" applyFill="1" applyBorder="1" applyAlignment="1">
      <alignment horizontal="center"/>
    </xf>
    <xf numFmtId="0" fontId="0" fillId="67" borderId="3" xfId="0" applyFont="1" applyFill="1" applyBorder="1" applyAlignment="1">
      <alignment horizontal="center"/>
    </xf>
    <xf numFmtId="0" fontId="0" fillId="67" borderId="1" xfId="0" applyFont="1" applyFill="1" applyBorder="1" applyAlignment="1">
      <alignment horizontal="center"/>
    </xf>
    <xf numFmtId="0" fontId="0" fillId="68" borderId="0" xfId="0" applyFont="1" applyFill="1" applyBorder="1" applyAlignment="1">
      <alignment horizontal="center"/>
    </xf>
    <xf numFmtId="0" fontId="61" fillId="0" borderId="1" xfId="0" applyFont="1" applyFill="1" applyBorder="1" applyAlignment="1">
      <alignment horizontal="center" wrapText="1"/>
    </xf>
    <xf numFmtId="0" fontId="0" fillId="40" borderId="1" xfId="1540" applyFont="1" applyFill="1" applyBorder="1" applyAlignment="1">
      <alignment horizontal="center"/>
    </xf>
    <xf numFmtId="0" fontId="63" fillId="0" borderId="1" xfId="1540" applyFont="1" applyBorder="1" applyAlignment="1">
      <alignment horizontal="center"/>
    </xf>
    <xf numFmtId="0" fontId="0" fillId="38" borderId="0" xfId="1540" applyFont="1" applyFill="1" applyAlignment="1">
      <alignment horizontal="center" vertical="top"/>
    </xf>
    <xf numFmtId="0" fontId="63" fillId="0" borderId="23" xfId="1540" applyFont="1" applyBorder="1" applyAlignment="1">
      <alignment horizontal="center"/>
    </xf>
    <xf numFmtId="0" fontId="0" fillId="38" borderId="12" xfId="1540" applyFont="1" applyFill="1" applyBorder="1" applyAlignment="1">
      <alignment horizontal="center" vertical="top"/>
    </xf>
    <xf numFmtId="0" fontId="61" fillId="0" borderId="1" xfId="0" applyFont="1" applyBorder="1" applyAlignment="1">
      <alignment horizontal="center"/>
    </xf>
    <xf numFmtId="0" fontId="67" fillId="0" borderId="0" xfId="0" applyFont="1" applyAlignment="1">
      <alignment horizontal="center" vertical="center"/>
    </xf>
    <xf numFmtId="0" fontId="0" fillId="40" borderId="0" xfId="1540" applyFont="1" applyFill="1" applyBorder="1" applyAlignment="1">
      <alignment horizontal="center"/>
    </xf>
    <xf numFmtId="0" fontId="61" fillId="83" borderId="1" xfId="0" applyFont="1" applyFill="1" applyBorder="1" applyAlignment="1">
      <alignment horizontal="center" wrapText="1"/>
    </xf>
    <xf numFmtId="0" fontId="0" fillId="49" borderId="0" xfId="1540" applyFont="1" applyFill="1" applyBorder="1" applyAlignment="1">
      <alignment horizontal="center"/>
    </xf>
    <xf numFmtId="0" fontId="61" fillId="0" borderId="1" xfId="0" applyFont="1" applyBorder="1" applyAlignment="1">
      <alignment horizontal="center" wrapText="1"/>
    </xf>
    <xf numFmtId="0" fontId="0" fillId="46" borderId="0" xfId="1540" applyFont="1" applyFill="1" applyBorder="1" applyAlignment="1">
      <alignment horizontal="center"/>
    </xf>
    <xf numFmtId="0" fontId="61" fillId="0" borderId="1" xfId="1540" applyFont="1" applyBorder="1" applyAlignment="1">
      <alignment horizontal="center"/>
    </xf>
    <xf numFmtId="0" fontId="0" fillId="0" borderId="4" xfId="1540" applyFont="1" applyBorder="1" applyAlignment="1">
      <alignment horizontal="center"/>
    </xf>
    <xf numFmtId="0" fontId="0" fillId="0" borderId="6" xfId="1540" applyFont="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45" borderId="4" xfId="1540" applyFont="1" applyFill="1" applyBorder="1" applyAlignment="1">
      <alignment horizontal="center"/>
    </xf>
    <xf numFmtId="0" fontId="0" fillId="40" borderId="21" xfId="1540" applyFont="1" applyFill="1" applyBorder="1" applyAlignment="1">
      <alignment horizontal="center"/>
    </xf>
    <xf numFmtId="0" fontId="54" fillId="79" borderId="0"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31" fillId="44" borderId="0" xfId="1540" applyFont="1" applyFill="1" applyBorder="1" applyAlignment="1">
      <alignment horizontal="center" vertical="center"/>
    </xf>
    <xf numFmtId="0" fontId="17" fillId="3" borderId="7" xfId="1540" applyFont="1" applyFill="1" applyBorder="1" applyAlignment="1">
      <alignment horizontal="center" vertical="center" wrapText="1"/>
    </xf>
    <xf numFmtId="0" fontId="18" fillId="0" borderId="1" xfId="1540" applyFont="1" applyBorder="1" applyAlignment="1">
      <alignment horizontal="center" vertical="center" wrapText="1"/>
    </xf>
    <xf numFmtId="0" fontId="39" fillId="0" borderId="1" xfId="1540" applyFont="1" applyBorder="1" applyAlignment="1">
      <alignment horizontal="center" vertical="center" wrapText="1"/>
    </xf>
  </cellXfs>
  <cellStyles count="7784">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597">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de la population dans les DOM entre 2010 et 2020 </a:t>
            </a:r>
          </a:p>
        </c:rich>
      </c:tx>
      <c:layout>
        <c:manualLayout>
          <c:xMode val="edge"/>
          <c:yMode val="edge"/>
          <c:x val="0.10142566361850171"/>
          <c:y val="2.7666574928854784E-2"/>
        </c:manualLayout>
      </c:layout>
      <c:overlay val="0"/>
      <c:spPr>
        <a:noFill/>
        <a:ln>
          <a:noFill/>
        </a:ln>
      </c:spPr>
    </c:title>
    <c:autoTitleDeleted val="0"/>
    <c:plotArea>
      <c:layout/>
      <c:lineChart>
        <c:grouping val="standard"/>
        <c:varyColors val="0"/>
        <c:ser>
          <c:idx val="0"/>
          <c:order val="0"/>
          <c:spPr>
            <a:ln w="2844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0-9B47-4FD9-BE5D-EBF53023AC71}"/>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1"/>
                <c:pt idx="0">
                  <c:v>403355</c:v>
                </c:pt>
                <c:pt idx="1">
                  <c:v>404635</c:v>
                </c:pt>
                <c:pt idx="2">
                  <c:v>403314</c:v>
                </c:pt>
                <c:pt idx="3">
                  <c:v>402119</c:v>
                </c:pt>
                <c:pt idx="4">
                  <c:v>400186</c:v>
                </c:pt>
                <c:pt idx="5">
                  <c:v>397990</c:v>
                </c:pt>
                <c:pt idx="6">
                  <c:v>394110</c:v>
                </c:pt>
                <c:pt idx="7">
                  <c:v>390253</c:v>
                </c:pt>
                <c:pt idx="8">
                  <c:v>387629</c:v>
                </c:pt>
                <c:pt idx="9">
                  <c:v>389757.87570755399</c:v>
                </c:pt>
                <c:pt idx="10">
                  <c:v>387655.63383402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1-9B47-4FD9-BE5D-EBF53023AC71}"/>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1"/>
                <c:pt idx="0">
                  <c:v>394173</c:v>
                </c:pt>
                <c:pt idx="1">
                  <c:v>392291</c:v>
                </c:pt>
                <c:pt idx="2">
                  <c:v>388364</c:v>
                </c:pt>
                <c:pt idx="3">
                  <c:v>385551</c:v>
                </c:pt>
                <c:pt idx="4">
                  <c:v>383911</c:v>
                </c:pt>
                <c:pt idx="5">
                  <c:v>380877</c:v>
                </c:pt>
                <c:pt idx="6">
                  <c:v>376480</c:v>
                </c:pt>
                <c:pt idx="7">
                  <c:v>372594</c:v>
                </c:pt>
                <c:pt idx="8">
                  <c:v>368783</c:v>
                </c:pt>
                <c:pt idx="9">
                  <c:v>366889.42891859001</c:v>
                </c:pt>
                <c:pt idx="10">
                  <c:v>363799.902521157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2-9B47-4FD9-BE5D-EBF53023AC71}"/>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1"/>
                <c:pt idx="0">
                  <c:v>229040</c:v>
                </c:pt>
                <c:pt idx="1">
                  <c:v>237549</c:v>
                </c:pt>
                <c:pt idx="2">
                  <c:v>239648</c:v>
                </c:pt>
                <c:pt idx="3">
                  <c:v>244118</c:v>
                </c:pt>
                <c:pt idx="4">
                  <c:v>252338</c:v>
                </c:pt>
                <c:pt idx="5">
                  <c:v>259865</c:v>
                </c:pt>
                <c:pt idx="6">
                  <c:v>269352</c:v>
                </c:pt>
                <c:pt idx="7">
                  <c:v>268700</c:v>
                </c:pt>
                <c:pt idx="8">
                  <c:v>276128</c:v>
                </c:pt>
                <c:pt idx="9">
                  <c:v>281678</c:v>
                </c:pt>
                <c:pt idx="10">
                  <c:v>286032</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3-9B47-4FD9-BE5D-EBF53023AC71}"/>
            </c:ext>
          </c:extLst>
        </c:ser>
        <c:ser>
          <c:idx val="4"/>
          <c:order val="4"/>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11"/>
                <c:pt idx="0">
                  <c:v>821136</c:v>
                </c:pt>
                <c:pt idx="1">
                  <c:v>828581</c:v>
                </c:pt>
                <c:pt idx="2">
                  <c:v>833944</c:v>
                </c:pt>
                <c:pt idx="3">
                  <c:v>835103</c:v>
                </c:pt>
                <c:pt idx="4">
                  <c:v>842767</c:v>
                </c:pt>
                <c:pt idx="5">
                  <c:v>850727</c:v>
                </c:pt>
                <c:pt idx="6">
                  <c:v>852924</c:v>
                </c:pt>
                <c:pt idx="7">
                  <c:v>853659</c:v>
                </c:pt>
                <c:pt idx="8">
                  <c:v>855961</c:v>
                </c:pt>
                <c:pt idx="9">
                  <c:v>861210</c:v>
                </c:pt>
                <c:pt idx="10">
                  <c:v>863197</c:v>
                </c:pt>
              </c:numCache>
            </c:numRef>
          </c:val>
          <c:smooth val="0"/>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11"/>
                      <c:pt idx="0">
                        <c:v>1</c:v>
                      </c:pt>
                      <c:pt idx="1">
                        <c:v>2</c:v>
                      </c:pt>
                      <c:pt idx="2">
                        <c:v>3</c:v>
                      </c:pt>
                      <c:pt idx="3">
                        <c:v>4</c:v>
                      </c:pt>
                      <c:pt idx="4">
                        <c:v>5</c:v>
                      </c:pt>
                      <c:pt idx="5">
                        <c:v>6</c:v>
                      </c:pt>
                      <c:pt idx="6">
                        <c:v>7</c:v>
                      </c:pt>
                      <c:pt idx="7">
                        <c:v>8</c:v>
                      </c:pt>
                      <c:pt idx="8">
                        <c:v>9</c:v>
                      </c:pt>
                      <c:pt idx="9">
                        <c:v>10</c:v>
                      </c:pt>
                      <c:pt idx="10">
                        <c:v>11</c:v>
                      </c:pt>
                    </c:strCache>
                  </c:strRef>
                </c15:cat>
              </c15:filteredCategoryTitle>
            </c:ext>
            <c:ext xmlns:c16="http://schemas.microsoft.com/office/drawing/2014/chart" uri="{C3380CC4-5D6E-409C-BE32-E72D297353CC}">
              <c16:uniqueId val="{00000004-9B47-4FD9-BE5D-EBF53023AC71}"/>
            </c:ext>
          </c:extLst>
        </c:ser>
        <c:dLbls>
          <c:showLegendKey val="0"/>
          <c:showVal val="0"/>
          <c:showCatName val="0"/>
          <c:showSerName val="0"/>
          <c:showPercent val="0"/>
          <c:showBubbleSize val="0"/>
        </c:dLbls>
        <c:hiLowLines>
          <c:spPr>
            <a:ln>
              <a:noFill/>
            </a:ln>
          </c:spPr>
        </c:hiLowLines>
        <c:marker val="1"/>
        <c:smooth val="0"/>
        <c:axId val="25014937"/>
        <c:axId val="79434246"/>
      </c:lineChart>
      <c:catAx>
        <c:axId val="250149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fr-FR"/>
          </a:p>
        </c:txPr>
        <c:crossAx val="79434246"/>
        <c:crosses val="autoZero"/>
        <c:auto val="1"/>
        <c:lblAlgn val="ctr"/>
        <c:lblOffset val="100"/>
        <c:noMultiLvlLbl val="1"/>
      </c:catAx>
      <c:valAx>
        <c:axId val="7943424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fr-FR"/>
          </a:p>
        </c:txPr>
        <c:crossAx val="25014937"/>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2161</xdr:colOff>
      <xdr:row>20</xdr:row>
      <xdr:rowOff>179281</xdr:rowOff>
    </xdr:from>
    <xdr:to>
      <xdr:col>6</xdr:col>
      <xdr:colOff>342459</xdr:colOff>
      <xdr:row>36</xdr:row>
      <xdr:rowOff>64801</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714120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10</xdr:col>
      <xdr:colOff>714120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Hypoth&#232;ses%20AME_AMS%202023%20Guyane%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Agriculture"/>
      <sheetName val="UTCATF"/>
      <sheetName val="Feuil2"/>
      <sheetName val="Déchets"/>
    </sheetNames>
    <sheetDataSet>
      <sheetData sheetId="0"/>
      <sheetData sheetId="1">
        <row r="6">
          <cell r="B6">
            <v>3512</v>
          </cell>
          <cell r="F6">
            <v>4037</v>
          </cell>
          <cell r="G6">
            <v>3993</v>
          </cell>
          <cell r="J6">
            <v>4164</v>
          </cell>
        </row>
      </sheetData>
      <sheetData sheetId="2">
        <row r="9">
          <cell r="V9">
            <v>132.32016763777199</v>
          </cell>
          <cell r="W9">
            <v>129.76082602416699</v>
          </cell>
          <cell r="X9">
            <v>124.377830354157</v>
          </cell>
          <cell r="Y9">
            <v>136.94615604663699</v>
          </cell>
          <cell r="Z9">
            <v>158.310913584557</v>
          </cell>
          <cell r="AA9">
            <v>154.19809844759101</v>
          </cell>
          <cell r="AB9">
            <v>148.880653882904</v>
          </cell>
          <cell r="AC9">
            <v>153.78860386370701</v>
          </cell>
          <cell r="AD9">
            <v>158.123065990306</v>
          </cell>
          <cell r="AE9">
            <v>158.90511891366901</v>
          </cell>
        </row>
        <row r="15">
          <cell r="V15">
            <v>3730.2394223347801</v>
          </cell>
          <cell r="W15">
            <v>3688.0848530057801</v>
          </cell>
          <cell r="X15">
            <v>3763.8016857914399</v>
          </cell>
          <cell r="Y15">
            <v>3490.5904058684</v>
          </cell>
          <cell r="Z15">
            <v>3637.09066089721</v>
          </cell>
          <cell r="AA15">
            <v>3605.6272298764002</v>
          </cell>
          <cell r="AB15">
            <v>3491.3874096725599</v>
          </cell>
          <cell r="AC15">
            <v>3362.5916336878199</v>
          </cell>
          <cell r="AD15">
            <v>3389.1166160386501</v>
          </cell>
          <cell r="AE15">
            <v>3335.8496502840899</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429" t="s">
        <v>0</v>
      </c>
      <c r="C2" s="429"/>
      <c r="D2" s="429"/>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79.131</v>
      </c>
      <c r="D6" s="2">
        <f t="shared" si="0"/>
        <v>79.442895218522381</v>
      </c>
      <c r="E6" s="2">
        <f t="shared" si="0"/>
        <v>80.99211496357961</v>
      </c>
      <c r="F6" s="2">
        <f t="shared" si="0"/>
        <v>82.524240796045788</v>
      </c>
      <c r="G6" s="2">
        <f t="shared" si="0"/>
        <v>84.039272715920902</v>
      </c>
      <c r="H6" s="2">
        <f>H7+H8</f>
        <v>85.537210723204993</v>
      </c>
      <c r="I6" s="2">
        <f>I7+I8</f>
        <v>87.018054817898019</v>
      </c>
      <c r="J6" s="2">
        <f>J7+J8</f>
        <v>88.481804999999994</v>
      </c>
      <c r="K6" s="2"/>
      <c r="L6" s="2"/>
      <c r="M6" s="2"/>
      <c r="N6" s="2"/>
      <c r="V6" s="2" t="s">
        <v>4</v>
      </c>
      <c r="W6" s="2">
        <f t="shared" ref="W6:AD6" si="1">W7+W8</f>
        <v>79.131</v>
      </c>
      <c r="X6" s="2">
        <f t="shared" si="1"/>
        <v>87.404133418314245</v>
      </c>
      <c r="Y6" s="2">
        <f t="shared" si="1"/>
        <v>126.75802563995836</v>
      </c>
      <c r="Z6" s="2">
        <f t="shared" si="1"/>
        <v>162.75895974505727</v>
      </c>
      <c r="AA6" s="2">
        <f t="shared" si="1"/>
        <v>195.40693573361082</v>
      </c>
      <c r="AB6" s="2">
        <f t="shared" si="1"/>
        <v>224.70195360561914</v>
      </c>
      <c r="AC6" s="2">
        <f t="shared" si="1"/>
        <v>250.64401336108222</v>
      </c>
      <c r="AD6" s="2">
        <f t="shared" si="1"/>
        <v>273.233115</v>
      </c>
    </row>
    <row r="7" spans="2:30">
      <c r="B7" s="2" t="s">
        <v>5</v>
      </c>
      <c r="C7" s="2">
        <f>Agriculture!D19</f>
        <v>43.805999999999997</v>
      </c>
      <c r="D7" s="2">
        <f>Agriculture!G19</f>
        <v>43.946967799167538</v>
      </c>
      <c r="E7" s="2">
        <f>Agriculture!J19</f>
        <v>44.641550447450577</v>
      </c>
      <c r="F7" s="2">
        <f>Agriculture!M19</f>
        <v>45.319039183142557</v>
      </c>
      <c r="G7" s="2">
        <f>Agriculture!P19</f>
        <v>45.979434006243487</v>
      </c>
      <c r="H7" s="2">
        <f>Agriculture!S19</f>
        <v>46.622734916753373</v>
      </c>
      <c r="I7" s="2">
        <f>Agriculture!V19</f>
        <v>47.248941914672208</v>
      </c>
      <c r="J7" s="2">
        <f>Agriculture!Y19</f>
        <v>47.858054999999993</v>
      </c>
      <c r="K7" s="2"/>
      <c r="L7" s="2"/>
      <c r="M7" s="2"/>
      <c r="N7" s="2"/>
      <c r="V7" s="2" t="s">
        <v>5</v>
      </c>
      <c r="W7" s="2">
        <f>Agriculture!D35</f>
        <v>43.805999999999997</v>
      </c>
      <c r="X7" s="2">
        <f>Agriculture!G35</f>
        <v>48.154235525494272</v>
      </c>
      <c r="Y7" s="2">
        <f>Agriculture!J35</f>
        <v>68.076620853277817</v>
      </c>
      <c r="Z7" s="2">
        <f>Agriculture!M35</f>
        <v>84.967685681581699</v>
      </c>
      <c r="AA7" s="2">
        <f>Agriculture!P35</f>
        <v>98.82743001040582</v>
      </c>
      <c r="AB7" s="2">
        <f>Agriculture!S35</f>
        <v>109.65585383975025</v>
      </c>
      <c r="AC7" s="2">
        <f>Agriculture!V35</f>
        <v>117.45295716961498</v>
      </c>
      <c r="AD7" s="2">
        <f>Agriculture!Y35</f>
        <v>122.21873999999998</v>
      </c>
    </row>
    <row r="8" spans="2:30">
      <c r="B8" s="2" t="s">
        <v>6</v>
      </c>
      <c r="C8" s="2">
        <f>Agriculture!D20</f>
        <v>35.325000000000003</v>
      </c>
      <c r="D8" s="2">
        <f>Agriculture!G20</f>
        <v>35.495927419354842</v>
      </c>
      <c r="E8" s="2">
        <f>Agriculture!J20</f>
        <v>36.350564516129033</v>
      </c>
      <c r="F8" s="2">
        <f>Agriculture!M20</f>
        <v>37.205201612903231</v>
      </c>
      <c r="G8" s="2">
        <f>Agriculture!P20</f>
        <v>38.059838709677422</v>
      </c>
      <c r="H8" s="2">
        <f>Agriculture!S20</f>
        <v>38.914475806451613</v>
      </c>
      <c r="I8" s="2">
        <f>Agriculture!V20</f>
        <v>39.76911290322581</v>
      </c>
      <c r="J8" s="2">
        <f>Agriculture!Y20</f>
        <v>40.623750000000001</v>
      </c>
      <c r="K8" s="2"/>
      <c r="L8" s="2"/>
      <c r="M8" s="2"/>
      <c r="N8" s="2"/>
      <c r="V8" s="2" t="s">
        <v>6</v>
      </c>
      <c r="W8" s="2">
        <f>Agriculture!D36</f>
        <v>35.325000000000003</v>
      </c>
      <c r="X8" s="2">
        <f>Agriculture!G36</f>
        <v>39.24989789281998</v>
      </c>
      <c r="Y8" s="2">
        <f>Agriculture!J36</f>
        <v>58.681404786680545</v>
      </c>
      <c r="Z8" s="2">
        <f>Agriculture!M36</f>
        <v>77.791274063475569</v>
      </c>
      <c r="AA8" s="2">
        <f>Agriculture!P36</f>
        <v>96.579505723205003</v>
      </c>
      <c r="AB8" s="2">
        <f>Agriculture!S36</f>
        <v>115.04609976586889</v>
      </c>
      <c r="AC8" s="2">
        <f>Agriculture!V36</f>
        <v>133.19105619146723</v>
      </c>
      <c r="AD8" s="2">
        <f>Agriculture!Y36</f>
        <v>151.014375</v>
      </c>
    </row>
    <row r="9" spans="2:30">
      <c r="B9" s="2" t="s">
        <v>7</v>
      </c>
      <c r="C9" s="2">
        <f>Déchets!B20</f>
        <v>158.90511891366901</v>
      </c>
      <c r="D9" s="2">
        <f>Déchets!C20</f>
        <v>160.13966544281482</v>
      </c>
      <c r="E9" s="2">
        <f>Déchets!D20</f>
        <v>167.06399302663743</v>
      </c>
      <c r="F9" s="2">
        <f>Déchets!E20</f>
        <v>173.98832061046005</v>
      </c>
      <c r="G9" s="2">
        <f>Déchets!F20</f>
        <v>180.91264819428261</v>
      </c>
      <c r="H9" s="2">
        <f>Déchets!G20</f>
        <v>187.83697577810523</v>
      </c>
      <c r="I9" s="2">
        <f>Déchets!H20</f>
        <v>194.76130336192782</v>
      </c>
      <c r="J9" s="2">
        <f>Déchets!I20</f>
        <v>201.68563094575043</v>
      </c>
      <c r="K9" s="2"/>
      <c r="L9" s="2"/>
      <c r="M9" s="2"/>
      <c r="N9" s="2"/>
      <c r="V9" s="2" t="s">
        <v>7</v>
      </c>
      <c r="W9" s="2">
        <f>Déchets!B32</f>
        <v>158.90511891366901</v>
      </c>
      <c r="X9" s="2">
        <f>Déchets!C32</f>
        <v>155.18653387152096</v>
      </c>
      <c r="Y9" s="2">
        <f>Déchets!D32</f>
        <v>152.67904623439435</v>
      </c>
      <c r="Z9" s="2">
        <f>Déchets!E32</f>
        <v>144.7179808396221</v>
      </c>
      <c r="AA9" s="2">
        <f>Déchets!F32</f>
        <v>134.99748621156391</v>
      </c>
      <c r="AB9" s="2">
        <f>Déchets!G32</f>
        <v>123.08427357770258</v>
      </c>
      <c r="AC9" s="2">
        <f>Déchets!H32</f>
        <v>109.76093706100363</v>
      </c>
      <c r="AD9" s="2">
        <f>Déchets!I32</f>
        <v>94.910885150941382</v>
      </c>
    </row>
    <row r="10" spans="2:30">
      <c r="B10" s="2" t="s">
        <v>8</v>
      </c>
      <c r="C10" s="2">
        <f>UTCATF!B13</f>
        <v>3071.8496502840899</v>
      </c>
      <c r="D10" s="2">
        <f>UTCATF!C13</f>
        <v>3092.7498984245849</v>
      </c>
      <c r="E10" s="2">
        <f>UTCATF!D13</f>
        <v>3197.25113912706</v>
      </c>
      <c r="F10" s="2">
        <f>UTCATF!E13</f>
        <v>3301.7523798295351</v>
      </c>
      <c r="G10" s="2">
        <f>UTCATF!F13</f>
        <v>3406.2536205320102</v>
      </c>
      <c r="H10" s="2">
        <f>UTCATF!G13</f>
        <v>3510.7548612344858</v>
      </c>
      <c r="I10" s="2">
        <f>UTCATF!H13</f>
        <v>3615.2561019369609</v>
      </c>
      <c r="J10" s="2">
        <f>UTCATF!I13</f>
        <v>3719.757342639436</v>
      </c>
      <c r="K10" s="2"/>
      <c r="L10" s="2"/>
      <c r="M10" s="2"/>
      <c r="N10" s="2"/>
      <c r="V10" s="2" t="s">
        <v>8</v>
      </c>
      <c r="W10" s="2">
        <f>UTCATF!B21</f>
        <v>3071.8496502840899</v>
      </c>
      <c r="X10" s="2">
        <f>UTCATF!C21</f>
        <v>3092.7498984245849</v>
      </c>
      <c r="Y10" s="2">
        <f>UTCATF!D21</f>
        <v>2884.5046257349545</v>
      </c>
      <c r="Z10" s="2">
        <f>UTCATF!E21</f>
        <v>2728.3837719440085</v>
      </c>
      <c r="AA10" s="2">
        <f>UTCATF!F21</f>
        <v>2572.2629181530624</v>
      </c>
      <c r="AB10" s="2">
        <f>UTCATF!G21</f>
        <v>2416.1420643621159</v>
      </c>
      <c r="AC10" s="2">
        <f>UTCATF!H21</f>
        <v>2260.0212105711698</v>
      </c>
      <c r="AD10" s="2">
        <f>UTCATF!I21</f>
        <v>2103.9003567802238</v>
      </c>
    </row>
    <row r="13" spans="2:30" ht="18">
      <c r="B13" s="429" t="s">
        <v>9</v>
      </c>
      <c r="C13" s="429"/>
      <c r="D13" s="429"/>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18" t="s">
        <v>354</v>
      </c>
      <c r="I19" s="218" t="s">
        <v>145</v>
      </c>
      <c r="J19" s="218" t="s">
        <v>355</v>
      </c>
      <c r="K19" s="218" t="s">
        <v>7</v>
      </c>
      <c r="L19" s="218" t="s">
        <v>356</v>
      </c>
      <c r="M19" s="218" t="s">
        <v>144</v>
      </c>
      <c r="N19" s="218" t="s">
        <v>357</v>
      </c>
      <c r="O19" s="221"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19">
        <v>873.30980373516763</v>
      </c>
      <c r="I20" s="219">
        <v>70.756794291068672</v>
      </c>
      <c r="J20" s="219">
        <v>0</v>
      </c>
      <c r="K20" s="219">
        <v>90.647752968071387</v>
      </c>
      <c r="L20" s="219">
        <v>379.83668363960567</v>
      </c>
      <c r="M20" s="219">
        <v>485.31857264308019</v>
      </c>
      <c r="N20" s="219">
        <v>0</v>
      </c>
      <c r="O20" s="222">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19">
        <v>0</v>
      </c>
      <c r="I21" s="219">
        <v>0</v>
      </c>
      <c r="J21" s="219">
        <v>0</v>
      </c>
      <c r="K21" s="219">
        <v>0</v>
      </c>
      <c r="L21" s="219">
        <v>0</v>
      </c>
      <c r="M21" s="219">
        <v>0</v>
      </c>
      <c r="N21" s="219">
        <v>0</v>
      </c>
      <c r="O21" s="222">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19">
        <v>0</v>
      </c>
      <c r="I22" s="219">
        <v>0</v>
      </c>
      <c r="J22" s="219">
        <v>0</v>
      </c>
      <c r="K22" s="219">
        <v>0</v>
      </c>
      <c r="L22" s="219">
        <v>0</v>
      </c>
      <c r="M22" s="219">
        <v>0</v>
      </c>
      <c r="N22" s="219">
        <v>0</v>
      </c>
      <c r="O22" s="222">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19">
        <v>0</v>
      </c>
      <c r="I23" s="219">
        <v>0</v>
      </c>
      <c r="J23" s="219">
        <v>0</v>
      </c>
      <c r="K23" s="219">
        <v>0</v>
      </c>
      <c r="L23" s="219">
        <v>0</v>
      </c>
      <c r="M23" s="219">
        <v>0</v>
      </c>
      <c r="N23" s="219">
        <v>0</v>
      </c>
      <c r="O23" s="222">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19">
        <v>0</v>
      </c>
      <c r="I24" s="219">
        <v>0</v>
      </c>
      <c r="J24" s="219">
        <v>0</v>
      </c>
      <c r="K24" s="219">
        <v>0</v>
      </c>
      <c r="L24" s="219">
        <v>0</v>
      </c>
      <c r="M24" s="219">
        <v>0</v>
      </c>
      <c r="N24" s="219">
        <v>0</v>
      </c>
      <c r="O24" s="222">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19">
        <v>0</v>
      </c>
      <c r="I25" s="219">
        <v>0</v>
      </c>
      <c r="J25" s="219">
        <v>0</v>
      </c>
      <c r="K25" s="219">
        <v>0</v>
      </c>
      <c r="L25" s="219">
        <v>0</v>
      </c>
      <c r="M25" s="219">
        <v>0</v>
      </c>
      <c r="N25" s="219">
        <v>0</v>
      </c>
      <c r="O25" s="222">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19">
        <v>0</v>
      </c>
      <c r="I26" s="219">
        <v>0</v>
      </c>
      <c r="J26" s="219">
        <v>0</v>
      </c>
      <c r="K26" s="219">
        <v>0</v>
      </c>
      <c r="L26" s="219">
        <v>0</v>
      </c>
      <c r="M26" s="219">
        <v>0</v>
      </c>
      <c r="N26" s="219">
        <v>0</v>
      </c>
      <c r="O26" s="222">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19">
        <v>0</v>
      </c>
      <c r="I27" s="219">
        <v>0</v>
      </c>
      <c r="J27" s="219">
        <v>0</v>
      </c>
      <c r="K27" s="219">
        <v>0</v>
      </c>
      <c r="L27" s="219">
        <v>0</v>
      </c>
      <c r="M27" s="219">
        <v>0</v>
      </c>
      <c r="N27" s="219">
        <v>0</v>
      </c>
      <c r="O27" s="222">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19">
        <v>0</v>
      </c>
      <c r="I28" s="219">
        <v>0</v>
      </c>
      <c r="J28" s="219">
        <v>0</v>
      </c>
      <c r="K28" s="219">
        <v>0</v>
      </c>
      <c r="L28" s="219">
        <v>0</v>
      </c>
      <c r="M28" s="219">
        <v>0</v>
      </c>
      <c r="N28" s="219">
        <v>0</v>
      </c>
      <c r="O28" s="222">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23">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19">
        <v>0</v>
      </c>
      <c r="I30" s="219">
        <v>0</v>
      </c>
      <c r="J30" s="219">
        <v>0</v>
      </c>
      <c r="K30" s="219">
        <v>0</v>
      </c>
      <c r="L30" s="219">
        <v>0</v>
      </c>
      <c r="M30" s="219">
        <v>0</v>
      </c>
      <c r="N30" s="219">
        <v>0</v>
      </c>
      <c r="O30" s="222">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19">
        <v>671.31942338672661</v>
      </c>
      <c r="I31" s="219">
        <v>52.63824397353865</v>
      </c>
      <c r="J31" s="219">
        <v>0</v>
      </c>
      <c r="K31" s="219">
        <v>65.650901767194625</v>
      </c>
      <c r="L31" s="219">
        <v>0</v>
      </c>
      <c r="M31" s="219">
        <v>404.99600473519394</v>
      </c>
      <c r="N31" s="219">
        <v>0</v>
      </c>
      <c r="O31" s="222">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19">
        <v>0</v>
      </c>
      <c r="I32" s="219">
        <v>0</v>
      </c>
      <c r="J32" s="219">
        <v>0</v>
      </c>
      <c r="K32" s="219">
        <v>0</v>
      </c>
      <c r="L32" s="219">
        <v>0</v>
      </c>
      <c r="M32" s="219">
        <v>0</v>
      </c>
      <c r="N32" s="219">
        <v>0</v>
      </c>
      <c r="O32" s="222">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19">
        <v>0</v>
      </c>
      <c r="I33" s="219">
        <v>0</v>
      </c>
      <c r="J33" s="219">
        <v>0</v>
      </c>
      <c r="K33" s="219">
        <v>0</v>
      </c>
      <c r="L33" s="219">
        <v>0</v>
      </c>
      <c r="M33" s="219">
        <v>0</v>
      </c>
      <c r="N33" s="219">
        <v>0</v>
      </c>
      <c r="O33" s="222">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19">
        <v>0</v>
      </c>
      <c r="I34" s="219">
        <v>0</v>
      </c>
      <c r="J34" s="219">
        <v>0</v>
      </c>
      <c r="K34" s="219">
        <v>0</v>
      </c>
      <c r="L34" s="219">
        <v>0</v>
      </c>
      <c r="M34" s="219">
        <v>0</v>
      </c>
      <c r="N34" s="219">
        <v>0</v>
      </c>
      <c r="O34" s="222">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19">
        <v>0</v>
      </c>
      <c r="I35" s="219">
        <v>0</v>
      </c>
      <c r="J35" s="219">
        <v>0</v>
      </c>
      <c r="K35" s="219">
        <v>0</v>
      </c>
      <c r="L35" s="219">
        <v>0</v>
      </c>
      <c r="M35" s="219">
        <v>0</v>
      </c>
      <c r="N35" s="219">
        <v>0</v>
      </c>
      <c r="O35" s="222">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23">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19">
        <v>23.767778734832124</v>
      </c>
      <c r="I37" s="219">
        <v>3.9638354669455418</v>
      </c>
      <c r="J37" s="219">
        <v>0</v>
      </c>
      <c r="K37" s="219">
        <v>0.2060607988509226</v>
      </c>
      <c r="L37" s="219">
        <v>8.0809279371498566E-2</v>
      </c>
      <c r="M37" s="219">
        <v>0</v>
      </c>
      <c r="N37" s="219">
        <v>0</v>
      </c>
      <c r="O37" s="222">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19">
        <v>0</v>
      </c>
      <c r="I38" s="219">
        <v>0</v>
      </c>
      <c r="J38" s="219">
        <v>0</v>
      </c>
      <c r="K38" s="219">
        <v>0</v>
      </c>
      <c r="L38" s="219">
        <v>0</v>
      </c>
      <c r="M38" s="219">
        <v>0</v>
      </c>
      <c r="N38" s="219">
        <v>0</v>
      </c>
      <c r="O38" s="222">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19">
        <v>0</v>
      </c>
      <c r="I39" s="219">
        <v>0</v>
      </c>
      <c r="J39" s="219">
        <v>0</v>
      </c>
      <c r="K39" s="219">
        <v>0</v>
      </c>
      <c r="L39" s="219">
        <v>633.16894990000003</v>
      </c>
      <c r="M39" s="219">
        <v>0</v>
      </c>
      <c r="N39" s="219">
        <v>0</v>
      </c>
      <c r="O39" s="222">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19">
        <v>0</v>
      </c>
      <c r="I40" s="219">
        <v>0</v>
      </c>
      <c r="J40" s="219">
        <v>0</v>
      </c>
      <c r="K40" s="219">
        <v>0.94548943890085779</v>
      </c>
      <c r="L40" s="219">
        <v>9.0697041099142284E-2</v>
      </c>
      <c r="M40" s="219">
        <v>0</v>
      </c>
      <c r="N40" s="219">
        <v>0</v>
      </c>
      <c r="O40" s="222">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19">
        <v>44.642446280000001</v>
      </c>
      <c r="I41" s="219">
        <v>0</v>
      </c>
      <c r="J41" s="219">
        <v>0</v>
      </c>
      <c r="K41" s="219">
        <v>0</v>
      </c>
      <c r="L41" s="219">
        <v>0</v>
      </c>
      <c r="M41" s="219">
        <v>0</v>
      </c>
      <c r="N41" s="219">
        <v>0</v>
      </c>
      <c r="O41" s="222">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20">
        <v>68.410225014832122</v>
      </c>
      <c r="I42" s="220">
        <v>3.9638354669455418</v>
      </c>
      <c r="J42" s="220">
        <v>0</v>
      </c>
      <c r="K42" s="220">
        <v>1.1515502377517803</v>
      </c>
      <c r="L42" s="220">
        <v>633.34045622047063</v>
      </c>
      <c r="M42" s="220">
        <v>0</v>
      </c>
      <c r="N42" s="220">
        <v>0</v>
      </c>
      <c r="O42" s="224">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20">
        <v>0</v>
      </c>
      <c r="I43" s="220">
        <v>0</v>
      </c>
      <c r="J43" s="220">
        <v>0</v>
      </c>
      <c r="K43" s="220">
        <v>0</v>
      </c>
      <c r="L43" s="220">
        <v>0</v>
      </c>
      <c r="M43" s="220">
        <v>0</v>
      </c>
      <c r="N43" s="220">
        <v>0</v>
      </c>
      <c r="O43" s="224">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23">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18" t="s">
        <v>354</v>
      </c>
      <c r="I51" s="218" t="s">
        <v>145</v>
      </c>
      <c r="J51" s="218" t="s">
        <v>355</v>
      </c>
      <c r="K51" s="218" t="s">
        <v>7</v>
      </c>
      <c r="L51" s="218" t="s">
        <v>356</v>
      </c>
      <c r="M51" s="218" t="s">
        <v>144</v>
      </c>
      <c r="N51" s="218" t="s">
        <v>357</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18" t="s">
        <v>354</v>
      </c>
      <c r="I83" s="218" t="s">
        <v>145</v>
      </c>
      <c r="J83" s="218" t="s">
        <v>355</v>
      </c>
      <c r="K83" s="218" t="s">
        <v>7</v>
      </c>
      <c r="L83" s="218" t="s">
        <v>356</v>
      </c>
      <c r="M83" s="218" t="s">
        <v>144</v>
      </c>
      <c r="N83" s="218" t="s">
        <v>357</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42.042142985112676</v>
      </c>
      <c r="F95" s="11">
        <v>0</v>
      </c>
      <c r="G95" s="11">
        <f>(P95-Q95)*$X$48*('Prod Energie'!D40+'Prod Energie'!D39+'Prod Energie'!D34)</f>
        <v>1408.4117900012748</v>
      </c>
      <c r="H95" s="11">
        <f>(P95-Q95)*$X$48*'Prod Energie'!D38</f>
        <v>182.22807056754425</v>
      </c>
      <c r="I95" s="11">
        <f>(P95-Q95)*$X$48*'Prod Energie'!D41</f>
        <v>0</v>
      </c>
      <c r="J95" s="11">
        <f>(P95-Q95)*$X$48*'Prod Energie'!D37</f>
        <v>469.42514570170226</v>
      </c>
      <c r="K95" s="11">
        <f>(P95-Q95)*$X$48*'Prod Energie'!D36</f>
        <v>0</v>
      </c>
      <c r="L95" s="11"/>
      <c r="M95" s="11">
        <f>(P95-Q95)*$X$48*'Prod Energie'!D35</f>
        <v>0</v>
      </c>
      <c r="N95" s="11"/>
      <c r="O95" s="11">
        <f>(P95-Q95)*$X$48*('Prod Energie'!D38+'Prod Energie'!D37+'Prod Energie'!D41+'Prod Energie'!D36+'Prod Energie'!D35)</f>
        <v>651.65321626924651</v>
      </c>
      <c r="P95" s="11">
        <f>P100/(1+$P$48+$Q$48)</f>
        <v>-903.70112478584508</v>
      </c>
      <c r="Q95" s="11">
        <f>Q100/(1+$D$48)</f>
        <v>0</v>
      </c>
      <c r="R95" s="11">
        <v>0</v>
      </c>
      <c r="S95" s="11">
        <f>SUM(C95:R95)-SUM(H95:N95)</f>
        <v>1198.4060244697889</v>
      </c>
      <c r="U95" s="22" t="s">
        <v>35</v>
      </c>
      <c r="V95" s="11">
        <f>(AB95-AC95)*$X$48*('Prod Energie'!D53)</f>
        <v>0</v>
      </c>
      <c r="W95" s="11">
        <v>0</v>
      </c>
      <c r="X95" s="11">
        <f>(AB95-AC95)*$X$48*('Prod Energie'!D54)</f>
        <v>38.856895921554063</v>
      </c>
      <c r="Y95" s="11">
        <v>0</v>
      </c>
      <c r="Z95" s="11">
        <f>(AB95-AC95)*$X$48*('Prod Energie'!D61+'Prod Energie'!D60)</f>
        <v>1068.5646378427368</v>
      </c>
      <c r="AA95" s="11">
        <f>(AB95-AC95)*$X$48*('Prod Energie'!D59)</f>
        <v>168.42188978178459</v>
      </c>
      <c r="AB95" s="11">
        <f>AB100/(1+$P$48+$Q$48)</f>
        <v>-835.23384054017697</v>
      </c>
      <c r="AC95" s="11">
        <f>AC100/(1+$D$48)</f>
        <v>0</v>
      </c>
      <c r="AD95" s="11">
        <v>0</v>
      </c>
      <c r="AE95" s="11">
        <f t="shared" si="6"/>
        <v>440.60958300589846</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10.791363050640133</v>
      </c>
      <c r="Q98" s="11">
        <v>0</v>
      </c>
      <c r="R98" s="11">
        <v>0</v>
      </c>
      <c r="S98" s="11">
        <f t="shared" si="7"/>
        <v>10.791363050640133</v>
      </c>
      <c r="U98" s="22" t="s">
        <v>38</v>
      </c>
      <c r="V98" s="11">
        <v>0</v>
      </c>
      <c r="W98" s="11">
        <v>0</v>
      </c>
      <c r="X98" s="11">
        <v>0</v>
      </c>
      <c r="Y98" s="11">
        <v>0</v>
      </c>
      <c r="Z98" s="11">
        <v>0</v>
      </c>
      <c r="AA98" s="11">
        <v>0</v>
      </c>
      <c r="AB98" s="11">
        <f>AB95*$P$48</f>
        <v>9.973774911019893</v>
      </c>
      <c r="AC98" s="11">
        <v>0</v>
      </c>
      <c r="AD98" s="11">
        <v>0</v>
      </c>
      <c r="AE98" s="11">
        <f t="shared" si="6"/>
        <v>9.973774911019893</v>
      </c>
    </row>
    <row r="99" spans="2:32">
      <c r="B99" s="22" t="s">
        <v>39</v>
      </c>
      <c r="C99" s="11">
        <v>0</v>
      </c>
      <c r="D99" s="11">
        <v>0</v>
      </c>
      <c r="E99" s="11">
        <v>0</v>
      </c>
      <c r="F99" s="11">
        <v>0</v>
      </c>
      <c r="G99" s="11">
        <v>0</v>
      </c>
      <c r="H99" s="11"/>
      <c r="I99" s="11"/>
      <c r="J99" s="11"/>
      <c r="K99" s="11"/>
      <c r="L99" s="11"/>
      <c r="M99" s="11"/>
      <c r="N99" s="11"/>
      <c r="O99" s="11">
        <v>0</v>
      </c>
      <c r="P99" s="11">
        <f>P95*$Q$48</f>
        <v>57.795024628573501</v>
      </c>
      <c r="Q99" s="11">
        <f>Q95*$D$48</f>
        <v>0</v>
      </c>
      <c r="R99" s="11">
        <v>0</v>
      </c>
      <c r="S99" s="11">
        <f t="shared" si="7"/>
        <v>57.795024628573501</v>
      </c>
      <c r="U99" s="22" t="s">
        <v>39</v>
      </c>
      <c r="V99" s="11">
        <v>0</v>
      </c>
      <c r="W99" s="11">
        <v>0</v>
      </c>
      <c r="X99" s="11">
        <v>0</v>
      </c>
      <c r="Y99" s="11">
        <v>0</v>
      </c>
      <c r="Z99" s="11">
        <v>0</v>
      </c>
      <c r="AA99" s="11">
        <v>0</v>
      </c>
      <c r="AB99" s="11">
        <f>AB95*$Q$48</f>
        <v>53.41628892636038</v>
      </c>
      <c r="AC99" s="11">
        <f>AC95*$D$48</f>
        <v>0</v>
      </c>
      <c r="AD99" s="11">
        <v>0</v>
      </c>
      <c r="AE99" s="11">
        <f t="shared" si="6"/>
        <v>53.41628892636038</v>
      </c>
    </row>
    <row r="100" spans="2:32">
      <c r="B100" s="24" t="s">
        <v>40</v>
      </c>
      <c r="C100" s="15">
        <f>SUM(C94:C99)</f>
        <v>0</v>
      </c>
      <c r="D100" s="15">
        <f>SUM(D94:D99)</f>
        <v>0</v>
      </c>
      <c r="E100" s="15">
        <f>SUM(E94:E99)</f>
        <v>42.042142985112676</v>
      </c>
      <c r="F100" s="15">
        <f>SUM(F94:F99)</f>
        <v>0</v>
      </c>
      <c r="G100" s="15">
        <f>SUM(G94:G99)</f>
        <v>1408.4117900012748</v>
      </c>
      <c r="H100" s="15"/>
      <c r="I100" s="15"/>
      <c r="J100" s="15"/>
      <c r="K100" s="15"/>
      <c r="L100" s="15"/>
      <c r="M100" s="15"/>
      <c r="N100" s="15"/>
      <c r="O100" s="15"/>
      <c r="P100" s="15">
        <f>-P108</f>
        <v>-835.11473710663142</v>
      </c>
      <c r="Q100" s="15">
        <f>-Q108</f>
        <v>0</v>
      </c>
      <c r="R100" s="15">
        <v>0</v>
      </c>
      <c r="S100" s="15">
        <f t="shared" si="7"/>
        <v>615.33919587975595</v>
      </c>
      <c r="U100" s="24" t="s">
        <v>40</v>
      </c>
      <c r="V100" s="15">
        <f t="shared" ref="V100:AA100" si="8">SUM(V94:V99)</f>
        <v>0</v>
      </c>
      <c r="W100" s="15">
        <f t="shared" si="8"/>
        <v>0</v>
      </c>
      <c r="X100" s="15">
        <f t="shared" si="8"/>
        <v>38.856895921554063</v>
      </c>
      <c r="Y100" s="15">
        <f t="shared" si="8"/>
        <v>0</v>
      </c>
      <c r="Z100" s="15">
        <f t="shared" si="8"/>
        <v>1068.5646378427368</v>
      </c>
      <c r="AA100" s="15">
        <f t="shared" si="8"/>
        <v>168.42188978178459</v>
      </c>
      <c r="AB100" s="15">
        <f>-AB108</f>
        <v>-771.84377670279673</v>
      </c>
      <c r="AC100" s="15">
        <f>-AC108</f>
        <v>0</v>
      </c>
      <c r="AD100" s="15">
        <v>0</v>
      </c>
      <c r="AE100" s="15">
        <f t="shared" si="6"/>
        <v>503.9996468432787</v>
      </c>
    </row>
    <row r="101" spans="2:32">
      <c r="B101" s="22" t="s">
        <v>41</v>
      </c>
      <c r="C101" s="11">
        <v>0</v>
      </c>
      <c r="D101" s="11">
        <v>0</v>
      </c>
      <c r="E101" s="11">
        <f>Industrie!D35</f>
        <v>13.576851906198302</v>
      </c>
      <c r="F101" s="11">
        <v>0</v>
      </c>
      <c r="G101" s="11">
        <v>0</v>
      </c>
      <c r="H101" s="11"/>
      <c r="I101" s="11"/>
      <c r="J101" s="11"/>
      <c r="K101" s="11"/>
      <c r="L101" s="11"/>
      <c r="M101" s="11"/>
      <c r="N101" s="11"/>
      <c r="O101" s="11">
        <f>Industrie!D38</f>
        <v>1.0772794144514546</v>
      </c>
      <c r="P101" s="11">
        <f>Industrie!D36</f>
        <v>34.611509537769045</v>
      </c>
      <c r="Q101" s="11">
        <f>Industrie!D39</f>
        <v>0</v>
      </c>
      <c r="R101" s="11">
        <v>0</v>
      </c>
      <c r="S101" s="11">
        <f t="shared" si="7"/>
        <v>49.265640858418806</v>
      </c>
      <c r="U101" s="22" t="s">
        <v>41</v>
      </c>
      <c r="V101" s="11">
        <v>0</v>
      </c>
      <c r="W101" s="11">
        <v>0</v>
      </c>
      <c r="X101" s="11">
        <f>Industrie!D56</f>
        <v>10.666357498836453</v>
      </c>
      <c r="Y101" s="11">
        <v>0</v>
      </c>
      <c r="Z101" s="11">
        <v>0</v>
      </c>
      <c r="AA101" s="11">
        <f>Industrie!D62</f>
        <v>2.2624302476555052</v>
      </c>
      <c r="AB101" s="11">
        <f>Industrie!D57</f>
        <v>34.846987220418981</v>
      </c>
      <c r="AC101" s="11">
        <f>Industrie!D63</f>
        <v>0</v>
      </c>
      <c r="AD101" s="11">
        <v>0</v>
      </c>
      <c r="AE101" s="11">
        <f t="shared" si="6"/>
        <v>47.775774966910937</v>
      </c>
    </row>
    <row r="102" spans="2:32">
      <c r="B102" s="22" t="s">
        <v>42</v>
      </c>
      <c r="C102" s="11">
        <v>0</v>
      </c>
      <c r="D102" s="11">
        <v>0</v>
      </c>
      <c r="E102" s="11">
        <f>Transports!F44</f>
        <v>1268.5294485716151</v>
      </c>
      <c r="F102" s="11">
        <v>0</v>
      </c>
      <c r="G102" s="11">
        <v>0</v>
      </c>
      <c r="H102" s="11"/>
      <c r="I102" s="11"/>
      <c r="J102" s="11"/>
      <c r="K102" s="11"/>
      <c r="L102" s="11"/>
      <c r="M102" s="11"/>
      <c r="N102" s="11"/>
      <c r="O102" s="11">
        <v>0</v>
      </c>
      <c r="P102" s="11">
        <f>Transports!F45</f>
        <v>12.512331492159692</v>
      </c>
      <c r="Q102" s="11">
        <v>0</v>
      </c>
      <c r="R102" s="11">
        <v>0</v>
      </c>
      <c r="S102" s="11">
        <f>Transports!F46</f>
        <v>1281.0417800637749</v>
      </c>
      <c r="U102" s="22" t="s">
        <v>42</v>
      </c>
      <c r="V102" s="11">
        <v>0</v>
      </c>
      <c r="W102" s="11">
        <v>0</v>
      </c>
      <c r="X102" s="11">
        <f>Transports!F71</f>
        <v>1247.6373146011506</v>
      </c>
      <c r="Y102" s="11">
        <v>0</v>
      </c>
      <c r="Z102" s="11">
        <v>0</v>
      </c>
      <c r="AA102" s="11">
        <v>0</v>
      </c>
      <c r="AB102" s="11">
        <f>Transports!F72</f>
        <v>16.481193071411948</v>
      </c>
      <c r="AC102" s="11">
        <v>0</v>
      </c>
      <c r="AD102" s="11">
        <v>0</v>
      </c>
      <c r="AE102" s="11">
        <f>Transports!F73</f>
        <v>1264.1185076725626</v>
      </c>
    </row>
    <row r="103" spans="2:32">
      <c r="B103" s="22" t="s">
        <v>43</v>
      </c>
      <c r="C103" s="11">
        <v>0</v>
      </c>
      <c r="D103" s="11">
        <v>0</v>
      </c>
      <c r="E103" s="11">
        <f>'Résidentiel-tertiaire'!D163</f>
        <v>51.780426669498389</v>
      </c>
      <c r="F103" s="11">
        <v>0</v>
      </c>
      <c r="G103" s="11">
        <v>0</v>
      </c>
      <c r="H103" s="11"/>
      <c r="I103" s="11"/>
      <c r="J103" s="11"/>
      <c r="K103" s="11"/>
      <c r="L103" s="11"/>
      <c r="M103" s="11"/>
      <c r="N103" s="11"/>
      <c r="O103" s="11">
        <f>'Résidentiel-tertiaire'!D164</f>
        <v>17.381049432414617</v>
      </c>
      <c r="P103" s="11">
        <f>'Résidentiel-tertiaire'!D165</f>
        <v>250.19931834945018</v>
      </c>
      <c r="Q103" s="11">
        <v>0</v>
      </c>
      <c r="R103" s="11">
        <v>0</v>
      </c>
      <c r="S103" s="11">
        <f>SUM(C103:R103)</f>
        <v>319.36079445136318</v>
      </c>
      <c r="T103" s="25">
        <f>'[1]Résidentiel-Tertiaire 2'!D152</f>
        <v>760.85335631030102</v>
      </c>
      <c r="U103" s="22" t="s">
        <v>43</v>
      </c>
      <c r="V103" s="11">
        <v>0</v>
      </c>
      <c r="W103" s="11">
        <v>0</v>
      </c>
      <c r="X103" s="11">
        <f>'Résidentiel-tertiaire'!D177</f>
        <v>55.327458333333333</v>
      </c>
      <c r="Y103" s="11">
        <v>0</v>
      </c>
      <c r="Z103" s="11">
        <v>0</v>
      </c>
      <c r="AA103" s="11">
        <f>'Résidentiel-tertiaire'!D178</f>
        <v>32.818067354707082</v>
      </c>
      <c r="AB103" s="11">
        <f>'Résidentiel-tertiaire'!D179</f>
        <v>214.58066742371938</v>
      </c>
      <c r="AC103" s="11">
        <v>0</v>
      </c>
      <c r="AD103" s="11">
        <v>0</v>
      </c>
      <c r="AE103" s="11">
        <f>SUM(V103:AD103)</f>
        <v>302.72619311175981</v>
      </c>
    </row>
    <row r="104" spans="2:32">
      <c r="B104" s="22" t="s">
        <v>44</v>
      </c>
      <c r="C104" s="11">
        <v>0</v>
      </c>
      <c r="D104" s="11">
        <v>0</v>
      </c>
      <c r="E104" s="11">
        <f>'Résidentiel-tertiaire'!D168</f>
        <v>0</v>
      </c>
      <c r="F104" s="11">
        <v>0</v>
      </c>
      <c r="G104" s="11">
        <v>0</v>
      </c>
      <c r="H104" s="11"/>
      <c r="I104" s="11"/>
      <c r="J104" s="11"/>
      <c r="K104" s="11"/>
      <c r="L104" s="11"/>
      <c r="M104" s="11"/>
      <c r="N104" s="11"/>
      <c r="O104" s="11">
        <f>'Résidentiel-tertiaire'!D169</f>
        <v>0.34407417821583636</v>
      </c>
      <c r="P104" s="11">
        <f>'Résidentiel-tertiaire'!D170</f>
        <v>537.22695235364881</v>
      </c>
      <c r="Q104" s="11">
        <v>0</v>
      </c>
      <c r="R104" s="11">
        <v>0</v>
      </c>
      <c r="S104" s="11">
        <f>SUM(C104:R104)</f>
        <v>537.57102653186462</v>
      </c>
      <c r="T104" s="25">
        <f>'[1]Résidentiel-Tertiaire 2'!D159</f>
        <v>673.34922536957004</v>
      </c>
      <c r="U104" s="22" t="s">
        <v>44</v>
      </c>
      <c r="V104" s="11">
        <v>0</v>
      </c>
      <c r="W104" s="11">
        <v>0</v>
      </c>
      <c r="X104" s="11">
        <f>'Résidentiel-tertiaire'!D182</f>
        <v>0</v>
      </c>
      <c r="Y104" s="11">
        <v>0</v>
      </c>
      <c r="Z104" s="11">
        <v>0</v>
      </c>
      <c r="AA104" s="11">
        <f>'Résidentiel-tertiaire'!D183</f>
        <v>0.32373950319714229</v>
      </c>
      <c r="AB104" s="11">
        <f>'Résidentiel-tertiaire'!D184</f>
        <v>505.47700952433803</v>
      </c>
      <c r="AC104" s="11">
        <v>0</v>
      </c>
      <c r="AD104" s="11">
        <v>0</v>
      </c>
      <c r="AE104" s="11">
        <f>SUM(V104:AD104)</f>
        <v>505.80074902753518</v>
      </c>
    </row>
    <row r="105" spans="2:32">
      <c r="B105" s="22" t="s">
        <v>4</v>
      </c>
      <c r="C105" s="11">
        <v>0</v>
      </c>
      <c r="D105" s="11">
        <v>0</v>
      </c>
      <c r="E105" s="11">
        <f>Agriculture!J27</f>
        <v>65.88686303503296</v>
      </c>
      <c r="F105" s="11">
        <v>0</v>
      </c>
      <c r="G105" s="11">
        <v>0</v>
      </c>
      <c r="H105" s="11"/>
      <c r="I105" s="11"/>
      <c r="J105" s="11"/>
      <c r="K105" s="11"/>
      <c r="L105" s="11"/>
      <c r="M105" s="11"/>
      <c r="N105" s="11"/>
      <c r="O105" s="11">
        <v>0</v>
      </c>
      <c r="P105" s="11">
        <f>Agriculture!J28</f>
        <v>0.56462537360373888</v>
      </c>
      <c r="Q105" s="11">
        <v>0</v>
      </c>
      <c r="R105" s="11">
        <v>0</v>
      </c>
      <c r="S105" s="11">
        <f>SUM(C105:R105)</f>
        <v>66.451488408636692</v>
      </c>
      <c r="T105" s="25">
        <f>[1]Agriculture!J29</f>
        <v>155.597883335208</v>
      </c>
      <c r="U105" s="22" t="s">
        <v>4</v>
      </c>
      <c r="V105" s="11">
        <v>0</v>
      </c>
      <c r="W105" s="11">
        <v>0</v>
      </c>
      <c r="X105" s="11">
        <f>Agriculture!M43</f>
        <v>52.140053763440861</v>
      </c>
      <c r="Y105" s="11">
        <v>0</v>
      </c>
      <c r="Z105" s="11">
        <v>0</v>
      </c>
      <c r="AA105" s="11">
        <f>Agriculture!M45</f>
        <v>11.656430419354837</v>
      </c>
      <c r="AB105" s="11">
        <f>Agriculture!M44</f>
        <v>0.45791946290846108</v>
      </c>
      <c r="AC105" s="11">
        <v>0</v>
      </c>
      <c r="AD105" s="11">
        <v>0</v>
      </c>
      <c r="AE105" s="11">
        <f>SUM(V105:AD105)</f>
        <v>64.254403645704159</v>
      </c>
    </row>
    <row r="106" spans="2:32">
      <c r="B106" s="26" t="s">
        <v>45</v>
      </c>
      <c r="C106" s="19" t="e">
        <f>#REF!</f>
        <v>#REF!</v>
      </c>
      <c r="D106" s="19" t="e">
        <f>#REF!</f>
        <v>#REF!</v>
      </c>
      <c r="E106" s="19">
        <f t="shared" ref="E106:S106" si="9">SUM(E101:E105)</f>
        <v>1399.7735901823448</v>
      </c>
      <c r="F106" s="19">
        <f t="shared" si="9"/>
        <v>0</v>
      </c>
      <c r="G106" s="19">
        <f t="shared" si="9"/>
        <v>0</v>
      </c>
      <c r="H106" s="19"/>
      <c r="I106" s="19"/>
      <c r="J106" s="19"/>
      <c r="K106" s="19"/>
      <c r="L106" s="19"/>
      <c r="M106" s="19"/>
      <c r="N106" s="19"/>
      <c r="O106" s="19">
        <f t="shared" si="9"/>
        <v>18.802403025081908</v>
      </c>
      <c r="P106" s="19">
        <f t="shared" si="9"/>
        <v>835.11473710663142</v>
      </c>
      <c r="Q106" s="19">
        <f t="shared" si="9"/>
        <v>0</v>
      </c>
      <c r="R106" s="19">
        <f t="shared" si="9"/>
        <v>0</v>
      </c>
      <c r="S106" s="19">
        <f t="shared" si="9"/>
        <v>2253.6907303140579</v>
      </c>
      <c r="U106" s="26" t="s">
        <v>45</v>
      </c>
      <c r="V106" s="19" t="e">
        <f>#REF!</f>
        <v>#REF!</v>
      </c>
      <c r="W106" s="19" t="e">
        <f>#REF!</f>
        <v>#REF!</v>
      </c>
      <c r="X106" s="19">
        <f t="shared" ref="X106:AE106" si="10">SUM(X101:X105)</f>
        <v>1365.7711841967614</v>
      </c>
      <c r="Y106" s="19">
        <f t="shared" si="10"/>
        <v>0</v>
      </c>
      <c r="Z106" s="19">
        <f t="shared" si="10"/>
        <v>0</v>
      </c>
      <c r="AA106" s="19">
        <f t="shared" si="10"/>
        <v>47.060667524914564</v>
      </c>
      <c r="AB106" s="19">
        <f t="shared" si="10"/>
        <v>771.84377670279673</v>
      </c>
      <c r="AC106" s="19">
        <f t="shared" si="10"/>
        <v>0</v>
      </c>
      <c r="AD106" s="19">
        <f t="shared" si="10"/>
        <v>0</v>
      </c>
      <c r="AE106" s="19">
        <f t="shared" si="10"/>
        <v>2184.6756284244725</v>
      </c>
    </row>
    <row r="107" spans="2:32">
      <c r="B107" s="26" t="s">
        <v>46</v>
      </c>
      <c r="C107" s="19">
        <v>0</v>
      </c>
      <c r="D107" s="19">
        <v>0</v>
      </c>
      <c r="E107" s="19">
        <f>Industrie!D37</f>
        <v>71.714462088749301</v>
      </c>
      <c r="F107" s="19">
        <v>0</v>
      </c>
      <c r="G107" s="19">
        <v>0</v>
      </c>
      <c r="H107" s="19"/>
      <c r="I107" s="19"/>
      <c r="J107" s="19"/>
      <c r="K107" s="19"/>
      <c r="L107" s="19"/>
      <c r="M107" s="19"/>
      <c r="N107" s="19"/>
      <c r="O107" s="19">
        <v>0</v>
      </c>
      <c r="P107" s="19">
        <v>0</v>
      </c>
      <c r="Q107" s="19">
        <v>0</v>
      </c>
      <c r="R107" s="19">
        <v>0</v>
      </c>
      <c r="S107" s="19">
        <f>SUM(C107:R107)</f>
        <v>71.714462088749301</v>
      </c>
      <c r="U107" s="26" t="s">
        <v>46</v>
      </c>
      <c r="V107" s="19">
        <v>0</v>
      </c>
      <c r="W107" s="19">
        <v>0</v>
      </c>
      <c r="X107" s="19">
        <f>Industrie!D59</f>
        <v>71.714462088749301</v>
      </c>
      <c r="Y107" s="19">
        <v>0</v>
      </c>
      <c r="Z107" s="19">
        <v>0</v>
      </c>
      <c r="AA107" s="19">
        <f>Industrie!D61</f>
        <v>5.9762051740624411</v>
      </c>
      <c r="AB107" s="19">
        <v>0</v>
      </c>
      <c r="AC107" s="19">
        <v>0</v>
      </c>
      <c r="AD107" s="19">
        <v>0</v>
      </c>
      <c r="AE107" s="19">
        <f>SUM(V107:AD107)</f>
        <v>77.690667262811743</v>
      </c>
    </row>
    <row r="108" spans="2:32">
      <c r="B108" s="24" t="s">
        <v>47</v>
      </c>
      <c r="C108" s="15" t="e">
        <f>#REF!</f>
        <v>#REF!</v>
      </c>
      <c r="D108" s="15" t="e">
        <f>#REF!</f>
        <v>#REF!</v>
      </c>
      <c r="E108" s="15">
        <f t="shared" ref="E108:S108" si="11">SUM(E106:E107)</f>
        <v>1471.4880522710941</v>
      </c>
      <c r="F108" s="15">
        <f t="shared" si="11"/>
        <v>0</v>
      </c>
      <c r="G108" s="15">
        <f t="shared" si="11"/>
        <v>0</v>
      </c>
      <c r="H108" s="15"/>
      <c r="I108" s="15"/>
      <c r="J108" s="15"/>
      <c r="K108" s="15"/>
      <c r="L108" s="15"/>
      <c r="M108" s="15"/>
      <c r="N108" s="15"/>
      <c r="O108" s="15">
        <f t="shared" si="11"/>
        <v>18.802403025081908</v>
      </c>
      <c r="P108" s="15">
        <f t="shared" si="11"/>
        <v>835.11473710663142</v>
      </c>
      <c r="Q108" s="15">
        <f t="shared" si="11"/>
        <v>0</v>
      </c>
      <c r="R108" s="15">
        <f t="shared" si="11"/>
        <v>0</v>
      </c>
      <c r="S108" s="15">
        <f t="shared" si="11"/>
        <v>2325.4051924028072</v>
      </c>
      <c r="T108" s="27" t="e">
        <f>SUM(C108:R108)</f>
        <v>#REF!</v>
      </c>
      <c r="U108" s="24" t="s">
        <v>47</v>
      </c>
      <c r="V108" s="15" t="e">
        <f>#REF!</f>
        <v>#REF!</v>
      </c>
      <c r="W108" s="15" t="e">
        <f>#REF!</f>
        <v>#REF!</v>
      </c>
      <c r="X108" s="15">
        <f t="shared" ref="X108:AE108" si="12">SUM(X106:X107)</f>
        <v>1437.4856462855107</v>
      </c>
      <c r="Y108" s="15">
        <f t="shared" si="12"/>
        <v>0</v>
      </c>
      <c r="Z108" s="15">
        <f t="shared" si="12"/>
        <v>0</v>
      </c>
      <c r="AA108" s="15">
        <f t="shared" si="12"/>
        <v>53.036872698977007</v>
      </c>
      <c r="AB108" s="15">
        <f t="shared" si="12"/>
        <v>771.84377670279673</v>
      </c>
      <c r="AC108" s="15">
        <f t="shared" si="12"/>
        <v>0</v>
      </c>
      <c r="AD108" s="15">
        <f t="shared" si="12"/>
        <v>0</v>
      </c>
      <c r="AE108" s="15">
        <f t="shared" si="12"/>
        <v>2262.366295687284</v>
      </c>
      <c r="AF108" s="27" t="e">
        <f>SUM(V108:AD108)</f>
        <v>#REF!</v>
      </c>
    </row>
    <row r="111" spans="2:32">
      <c r="AA111" s="225">
        <f>AB95-AC95</f>
        <v>-835.23384054017697</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11"/>
      <c r="I115" s="211"/>
      <c r="J115" s="211"/>
      <c r="K115" s="211"/>
      <c r="L115" s="211"/>
      <c r="M115" s="211"/>
      <c r="N115" s="211"/>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44.368063316591595</v>
      </c>
      <c r="F127" s="11">
        <v>0</v>
      </c>
      <c r="G127" s="11">
        <f>(P127-Q127)*$X$48*('Prod Energie'!E40+'Prod Energie'!D39)</f>
        <v>1156.1589320905989</v>
      </c>
      <c r="H127" s="11"/>
      <c r="I127" s="11"/>
      <c r="J127" s="11"/>
      <c r="K127" s="11"/>
      <c r="L127" s="11"/>
      <c r="M127" s="11"/>
      <c r="N127" s="11"/>
      <c r="O127" s="11">
        <f>(P127-Q127)*$X$48*('Prod Energie'!E38)</f>
        <v>210.19611007053106</v>
      </c>
      <c r="P127" s="11">
        <f>P132/(1+$P$48+$Q$48)</f>
        <v>-953.69707338589785</v>
      </c>
      <c r="Q127" s="11">
        <f>Q132/(1+$D$48)</f>
        <v>0</v>
      </c>
      <c r="R127" s="11">
        <v>0</v>
      </c>
      <c r="S127" s="11">
        <f t="shared" si="17"/>
        <v>457.02603209182382</v>
      </c>
      <c r="U127" s="22" t="s">
        <v>35</v>
      </c>
      <c r="V127" s="11">
        <f>(AB127-AC127)*$X$48*('Prod Energie'!E53)</f>
        <v>0</v>
      </c>
      <c r="W127" s="11">
        <v>0</v>
      </c>
      <c r="X127" s="11">
        <f>(AB127-AC127)*$X$48*('Prod Energie'!E54)</f>
        <v>19.652580763644657</v>
      </c>
      <c r="Y127" s="11">
        <v>0</v>
      </c>
      <c r="Z127" s="11">
        <f>(AB127-AC127)*$X$48*('Prod Energie'!E61+'Prod Energie'!D60)</f>
        <v>1068.5646378427368</v>
      </c>
      <c r="AA127" s="11">
        <f>(AB127-AC127)*$X$48*('Prod Energie'!E59)</f>
        <v>175.86049928750418</v>
      </c>
      <c r="AB127" s="11">
        <f>AB132/(1+$P$48+$Q$48)</f>
        <v>-844.8693658331955</v>
      </c>
      <c r="AC127" s="11">
        <f>AC132/(1+$D$48)</f>
        <v>0</v>
      </c>
      <c r="AD127" s="11">
        <v>0</v>
      </c>
      <c r="AE127" s="11">
        <f t="shared" si="18"/>
        <v>419.20835206069012</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11.388379495133512</v>
      </c>
      <c r="Q130" s="11">
        <v>0</v>
      </c>
      <c r="R130" s="11">
        <v>0</v>
      </c>
      <c r="S130" s="11">
        <f t="shared" si="17"/>
        <v>11.388379495133512</v>
      </c>
      <c r="U130" s="22" t="s">
        <v>38</v>
      </c>
      <c r="V130" s="11">
        <v>0</v>
      </c>
      <c r="W130" s="11">
        <v>0</v>
      </c>
      <c r="X130" s="11">
        <v>0</v>
      </c>
      <c r="Y130" s="11">
        <v>0</v>
      </c>
      <c r="Z130" s="11">
        <v>0</v>
      </c>
      <c r="AA130" s="11">
        <v>0</v>
      </c>
      <c r="AB130" s="11">
        <f>AB127*$P$48</f>
        <v>10.088835575180545</v>
      </c>
      <c r="AC130" s="11">
        <v>0</v>
      </c>
      <c r="AD130" s="11">
        <v>0</v>
      </c>
      <c r="AE130" s="11">
        <f t="shared" si="18"/>
        <v>10.088835575180545</v>
      </c>
    </row>
    <row r="131" spans="2:32">
      <c r="B131" s="22" t="s">
        <v>39</v>
      </c>
      <c r="C131" s="11">
        <v>0</v>
      </c>
      <c r="D131" s="11">
        <v>0</v>
      </c>
      <c r="E131" s="11">
        <v>0</v>
      </c>
      <c r="F131" s="11">
        <v>0</v>
      </c>
      <c r="G131" s="11">
        <v>0</v>
      </c>
      <c r="H131" s="11"/>
      <c r="I131" s="11"/>
      <c r="J131" s="11"/>
      <c r="K131" s="11"/>
      <c r="L131" s="11"/>
      <c r="M131" s="11"/>
      <c r="N131" s="11"/>
      <c r="O131" s="11">
        <v>0</v>
      </c>
      <c r="P131" s="11">
        <f>P127*$Q$48</f>
        <v>60.992450194856474</v>
      </c>
      <c r="Q131" s="11">
        <f>Q127*$D$48</f>
        <v>0</v>
      </c>
      <c r="R131" s="11">
        <v>0</v>
      </c>
      <c r="S131" s="11">
        <f t="shared" si="17"/>
        <v>60.992450194856474</v>
      </c>
      <c r="U131" s="22" t="s">
        <v>39</v>
      </c>
      <c r="V131" s="11">
        <v>0</v>
      </c>
      <c r="W131" s="11">
        <v>0</v>
      </c>
      <c r="X131" s="11">
        <v>0</v>
      </c>
      <c r="Y131" s="11">
        <v>0</v>
      </c>
      <c r="Z131" s="11">
        <v>0</v>
      </c>
      <c r="AA131" s="11">
        <v>0</v>
      </c>
      <c r="AB131" s="11">
        <f>AB127*$Q$48</f>
        <v>54.032516356365207</v>
      </c>
      <c r="AC131" s="11">
        <f>AC127*$D$48</f>
        <v>0</v>
      </c>
      <c r="AD131" s="11">
        <v>0</v>
      </c>
      <c r="AE131" s="11">
        <f t="shared" si="18"/>
        <v>54.032516356365207</v>
      </c>
    </row>
    <row r="132" spans="2:32">
      <c r="B132" s="24" t="s">
        <v>40</v>
      </c>
      <c r="C132" s="15">
        <f t="shared" ref="C132:O132" si="19">SUM(C126:C131)</f>
        <v>0</v>
      </c>
      <c r="D132" s="15">
        <f t="shared" si="19"/>
        <v>0</v>
      </c>
      <c r="E132" s="15">
        <f t="shared" si="19"/>
        <v>44.368063316591595</v>
      </c>
      <c r="F132" s="15">
        <f t="shared" si="19"/>
        <v>0</v>
      </c>
      <c r="G132" s="15">
        <f t="shared" si="19"/>
        <v>1156.1589320905989</v>
      </c>
      <c r="H132" s="15"/>
      <c r="I132" s="15"/>
      <c r="J132" s="15"/>
      <c r="K132" s="15"/>
      <c r="L132" s="15"/>
      <c r="M132" s="15"/>
      <c r="N132" s="15"/>
      <c r="O132" s="15">
        <f t="shared" si="19"/>
        <v>210.19611007053106</v>
      </c>
      <c r="P132" s="15">
        <f>-P140</f>
        <v>-881.31624369590793</v>
      </c>
      <c r="Q132" s="15">
        <f>-Q140</f>
        <v>0</v>
      </c>
      <c r="R132" s="15">
        <v>0</v>
      </c>
      <c r="S132" s="15">
        <f t="shared" si="17"/>
        <v>529.40686178181375</v>
      </c>
      <c r="U132" s="24" t="s">
        <v>40</v>
      </c>
      <c r="V132" s="15">
        <f t="shared" ref="V132:AA132" si="20">SUM(V126:V131)</f>
        <v>0</v>
      </c>
      <c r="W132" s="15">
        <f t="shared" si="20"/>
        <v>0</v>
      </c>
      <c r="X132" s="15">
        <f t="shared" si="20"/>
        <v>19.652580763644657</v>
      </c>
      <c r="Y132" s="15">
        <f t="shared" si="20"/>
        <v>0</v>
      </c>
      <c r="Z132" s="15">
        <f t="shared" si="20"/>
        <v>1068.5646378427368</v>
      </c>
      <c r="AA132" s="15">
        <f t="shared" si="20"/>
        <v>175.86049928750418</v>
      </c>
      <c r="AB132" s="15">
        <f>-AB140</f>
        <v>-780.74801390164976</v>
      </c>
      <c r="AC132" s="15">
        <f>-AC140</f>
        <v>0</v>
      </c>
      <c r="AD132" s="15">
        <v>0</v>
      </c>
      <c r="AE132" s="15">
        <f t="shared" si="18"/>
        <v>483.32970399223586</v>
      </c>
    </row>
    <row r="133" spans="2:32">
      <c r="B133" s="22" t="s">
        <v>41</v>
      </c>
      <c r="C133" s="11">
        <v>0</v>
      </c>
      <c r="D133" s="11">
        <v>0</v>
      </c>
      <c r="E133" s="11">
        <f>Industrie!E35</f>
        <v>14.891166572758591</v>
      </c>
      <c r="F133" s="11">
        <v>0</v>
      </c>
      <c r="G133" s="11">
        <v>0</v>
      </c>
      <c r="H133" s="11"/>
      <c r="I133" s="11"/>
      <c r="J133" s="11"/>
      <c r="K133" s="11"/>
      <c r="L133" s="11"/>
      <c r="M133" s="11"/>
      <c r="N133" s="11"/>
      <c r="O133" s="11">
        <f>Industrie!E38</f>
        <v>1.2013246741887709</v>
      </c>
      <c r="P133" s="11">
        <f>Industrie!E36</f>
        <v>37.96209588367396</v>
      </c>
      <c r="Q133" s="11">
        <f>Industrie!E39</f>
        <v>0</v>
      </c>
      <c r="R133" s="11">
        <v>0</v>
      </c>
      <c r="S133" s="11">
        <f t="shared" si="17"/>
        <v>54.054587130621321</v>
      </c>
      <c r="U133" s="22" t="s">
        <v>41</v>
      </c>
      <c r="V133" s="11">
        <v>0</v>
      </c>
      <c r="W133" s="11">
        <v>0</v>
      </c>
      <c r="X133" s="11">
        <f>Industrie!E56</f>
        <v>9.1864793832152696</v>
      </c>
      <c r="Y133" s="11">
        <v>0</v>
      </c>
      <c r="Z133" s="11">
        <v>0</v>
      </c>
      <c r="AA133" s="11">
        <f>Industrie!E62</f>
        <v>3.497944519992588</v>
      </c>
      <c r="AB133" s="11">
        <f>Industrie!E57</f>
        <v>38.312299428588929</v>
      </c>
      <c r="AC133" s="11">
        <f>Industrie!E63</f>
        <v>0</v>
      </c>
      <c r="AD133" s="11">
        <v>0</v>
      </c>
      <c r="AE133" s="11">
        <f t="shared" si="18"/>
        <v>50.996723331796787</v>
      </c>
    </row>
    <row r="134" spans="2:32">
      <c r="B134" s="22" t="s">
        <v>42</v>
      </c>
      <c r="C134" s="11">
        <v>0</v>
      </c>
      <c r="D134" s="11">
        <v>0</v>
      </c>
      <c r="E134" s="11">
        <f>Transports!G44</f>
        <v>1182.3427108368273</v>
      </c>
      <c r="F134" s="11">
        <v>0</v>
      </c>
      <c r="G134" s="11">
        <v>0</v>
      </c>
      <c r="H134" s="11"/>
      <c r="I134" s="11"/>
      <c r="J134" s="11"/>
      <c r="K134" s="11"/>
      <c r="L134" s="11"/>
      <c r="M134" s="11"/>
      <c r="N134" s="11"/>
      <c r="O134" s="11">
        <v>0</v>
      </c>
      <c r="P134" s="11">
        <f>Transports!G45</f>
        <v>38.595421954342527</v>
      </c>
      <c r="Q134" s="11">
        <v>0</v>
      </c>
      <c r="R134" s="11">
        <v>0</v>
      </c>
      <c r="S134" s="11">
        <f>Transports!G46</f>
        <v>1220.9381327911699</v>
      </c>
      <c r="U134" s="22" t="s">
        <v>42</v>
      </c>
      <c r="V134" s="11">
        <v>0</v>
      </c>
      <c r="W134" s="11">
        <v>0</v>
      </c>
      <c r="X134" s="11">
        <f>Transports!G71</f>
        <v>1085.6811435067389</v>
      </c>
      <c r="Y134" s="11">
        <v>0</v>
      </c>
      <c r="Z134" s="11">
        <v>0</v>
      </c>
      <c r="AA134" s="11">
        <v>0</v>
      </c>
      <c r="AB134" s="11">
        <f>Transports!G72</f>
        <v>69.094599185721961</v>
      </c>
      <c r="AC134" s="11">
        <v>0</v>
      </c>
      <c r="AD134" s="11">
        <v>0</v>
      </c>
      <c r="AE134" s="11">
        <f>Transports!G73</f>
        <v>1154.7757426924609</v>
      </c>
    </row>
    <row r="135" spans="2:32">
      <c r="B135" s="22" t="s">
        <v>43</v>
      </c>
      <c r="C135" s="11">
        <v>0</v>
      </c>
      <c r="D135" s="11">
        <v>0</v>
      </c>
      <c r="E135" s="11">
        <f>'Résidentiel-tertiaire'!E163</f>
        <v>52.758407900334646</v>
      </c>
      <c r="F135" s="11">
        <v>0</v>
      </c>
      <c r="G135" s="11">
        <v>0</v>
      </c>
      <c r="H135" s="11"/>
      <c r="I135" s="11"/>
      <c r="J135" s="11"/>
      <c r="K135" s="11"/>
      <c r="L135" s="11"/>
      <c r="M135" s="11"/>
      <c r="N135" s="11"/>
      <c r="O135" s="11">
        <f>'Résidentiel-tertiaire'!E164</f>
        <v>17.709326760557058</v>
      </c>
      <c r="P135" s="11">
        <f>'Résidentiel-tertiaire'!E165</f>
        <v>254.92485371198367</v>
      </c>
      <c r="Q135" s="11">
        <v>0</v>
      </c>
      <c r="R135" s="11">
        <v>0</v>
      </c>
      <c r="S135" s="11">
        <f>SUM(C135:R135)</f>
        <v>325.39258837287537</v>
      </c>
      <c r="U135" s="22" t="s">
        <v>43</v>
      </c>
      <c r="V135" s="11">
        <v>0</v>
      </c>
      <c r="W135" s="11">
        <v>0</v>
      </c>
      <c r="X135" s="11">
        <f>'Résidentiel-tertiaire'!E177</f>
        <v>44.261966666666666</v>
      </c>
      <c r="Y135" s="11">
        <v>0</v>
      </c>
      <c r="Z135" s="11">
        <v>0</v>
      </c>
      <c r="AA135" s="11">
        <f>'Résidentiel-tertiaire'!E178</f>
        <v>29.95888684437675</v>
      </c>
      <c r="AB135" s="11">
        <f>'Résidentiel-tertiaire'!E179</f>
        <v>202.13118350076877</v>
      </c>
      <c r="AC135" s="11">
        <v>0</v>
      </c>
      <c r="AD135" s="11">
        <v>0</v>
      </c>
      <c r="AE135" s="11">
        <f>SUM(V135:AD135)</f>
        <v>276.35203701181217</v>
      </c>
    </row>
    <row r="136" spans="2:32">
      <c r="B136" s="22" t="s">
        <v>44</v>
      </c>
      <c r="C136" s="11">
        <v>0</v>
      </c>
      <c r="D136" s="11">
        <v>0</v>
      </c>
      <c r="E136" s="11">
        <f>'Résidentiel-tertiaire'!E168</f>
        <v>0</v>
      </c>
      <c r="F136" s="11">
        <v>0</v>
      </c>
      <c r="G136" s="11">
        <v>0</v>
      </c>
      <c r="H136" s="11"/>
      <c r="I136" s="11"/>
      <c r="J136" s="11"/>
      <c r="K136" s="11"/>
      <c r="L136" s="11"/>
      <c r="M136" s="11"/>
      <c r="N136" s="11"/>
      <c r="O136" s="11">
        <f>'Résidentiel-tertiaire'!E169</f>
        <v>0.3517813385012471</v>
      </c>
      <c r="P136" s="11">
        <f>'Résidentiel-tertiaire'!E170</f>
        <v>549.26067790929039</v>
      </c>
      <c r="Q136" s="11">
        <v>0</v>
      </c>
      <c r="R136" s="11">
        <v>0</v>
      </c>
      <c r="S136" s="11">
        <f>SUM(C136:R136)</f>
        <v>549.61245924779166</v>
      </c>
      <c r="U136" s="22" t="s">
        <v>44</v>
      </c>
      <c r="V136" s="11">
        <v>0</v>
      </c>
      <c r="W136" s="11">
        <v>0</v>
      </c>
      <c r="X136" s="11">
        <f>'Résidentiel-tertiaire'!E182</f>
        <v>0</v>
      </c>
      <c r="Y136" s="11">
        <v>0</v>
      </c>
      <c r="Z136" s="11">
        <v>0</v>
      </c>
      <c r="AA136" s="11">
        <f>'Résidentiel-tertiaire'!E183</f>
        <v>0.30155072552526552</v>
      </c>
      <c r="AB136" s="11">
        <f>'Résidentiel-tertiaire'!E184</f>
        <v>470.8321272291098</v>
      </c>
      <c r="AC136" s="11">
        <v>0</v>
      </c>
      <c r="AD136" s="11">
        <v>0</v>
      </c>
      <c r="AE136" s="11">
        <f>SUM(V136:AD136)</f>
        <v>471.13367795463506</v>
      </c>
    </row>
    <row r="137" spans="2:32">
      <c r="B137" s="22" t="s">
        <v>4</v>
      </c>
      <c r="C137" s="11">
        <v>0</v>
      </c>
      <c r="D137" s="11">
        <v>0</v>
      </c>
      <c r="E137" s="11">
        <f>Agriculture!M27</f>
        <v>66.886774711238289</v>
      </c>
      <c r="F137" s="11">
        <v>0</v>
      </c>
      <c r="G137" s="11">
        <v>0</v>
      </c>
      <c r="H137" s="11"/>
      <c r="I137" s="11"/>
      <c r="J137" s="11"/>
      <c r="K137" s="11"/>
      <c r="L137" s="11"/>
      <c r="M137" s="11"/>
      <c r="N137" s="11"/>
      <c r="O137" s="11">
        <v>0</v>
      </c>
      <c r="P137" s="11">
        <f>Agriculture!M28</f>
        <v>0.5731942366174172</v>
      </c>
      <c r="Q137" s="11">
        <v>0</v>
      </c>
      <c r="R137" s="11">
        <v>0</v>
      </c>
      <c r="S137" s="11">
        <f>SUM(C137:R137)</f>
        <v>67.4599689478557</v>
      </c>
      <c r="U137" s="22" t="s">
        <v>4</v>
      </c>
      <c r="V137" s="11">
        <v>0</v>
      </c>
      <c r="W137" s="11">
        <v>0</v>
      </c>
      <c r="X137" s="11">
        <f>Agriculture!Q43</f>
        <v>41.712043010752687</v>
      </c>
      <c r="Y137" s="11">
        <v>0</v>
      </c>
      <c r="Z137" s="11">
        <v>0</v>
      </c>
      <c r="AA137" s="11">
        <f>Agriculture!Q45</f>
        <v>21.370122435483871</v>
      </c>
      <c r="AB137" s="11">
        <f>Agriculture!Q44</f>
        <v>0.37780455746030617</v>
      </c>
      <c r="AC137" s="11">
        <v>0</v>
      </c>
      <c r="AD137" s="11">
        <v>0</v>
      </c>
      <c r="AE137" s="11">
        <f>SUM(V137:AD137)</f>
        <v>63.459970003696867</v>
      </c>
    </row>
    <row r="138" spans="2:32">
      <c r="B138" s="26" t="s">
        <v>45</v>
      </c>
      <c r="C138" s="19">
        <v>0</v>
      </c>
      <c r="D138" s="19">
        <v>0</v>
      </c>
      <c r="E138" s="19">
        <f t="shared" ref="E138:S138" si="21">SUM(E133:E137)</f>
        <v>1316.8790600211589</v>
      </c>
      <c r="F138" s="19">
        <f t="shared" si="21"/>
        <v>0</v>
      </c>
      <c r="G138" s="19">
        <f t="shared" si="21"/>
        <v>0</v>
      </c>
      <c r="H138" s="19"/>
      <c r="I138" s="19"/>
      <c r="J138" s="19"/>
      <c r="K138" s="19"/>
      <c r="L138" s="19"/>
      <c r="M138" s="19"/>
      <c r="N138" s="19"/>
      <c r="O138" s="19">
        <f t="shared" si="21"/>
        <v>19.262432773247077</v>
      </c>
      <c r="P138" s="19">
        <f t="shared" si="21"/>
        <v>881.31624369590793</v>
      </c>
      <c r="Q138" s="19">
        <f t="shared" si="21"/>
        <v>0</v>
      </c>
      <c r="R138" s="19">
        <f t="shared" si="21"/>
        <v>0</v>
      </c>
      <c r="S138" s="19">
        <f t="shared" si="21"/>
        <v>2217.4577364903139</v>
      </c>
      <c r="U138" s="26" t="s">
        <v>45</v>
      </c>
      <c r="V138" s="19">
        <v>0</v>
      </c>
      <c r="W138" s="19">
        <v>0</v>
      </c>
      <c r="X138" s="19">
        <f t="shared" ref="X138:AE138" si="22">SUM(X133:X137)</f>
        <v>1180.8416325673736</v>
      </c>
      <c r="Y138" s="19">
        <f t="shared" si="22"/>
        <v>0</v>
      </c>
      <c r="Z138" s="19">
        <f t="shared" si="22"/>
        <v>0</v>
      </c>
      <c r="AA138" s="19">
        <f t="shared" si="22"/>
        <v>55.128504525378474</v>
      </c>
      <c r="AB138" s="19">
        <f t="shared" si="22"/>
        <v>780.74801390164976</v>
      </c>
      <c r="AC138" s="19">
        <f t="shared" si="22"/>
        <v>0</v>
      </c>
      <c r="AD138" s="19">
        <f t="shared" si="22"/>
        <v>0</v>
      </c>
      <c r="AE138" s="19">
        <f t="shared" si="22"/>
        <v>2016.7181509944016</v>
      </c>
    </row>
    <row r="139" spans="2:32">
      <c r="B139" s="26" t="s">
        <v>46</v>
      </c>
      <c r="C139" s="19">
        <v>0</v>
      </c>
      <c r="D139" s="19">
        <v>0</v>
      </c>
      <c r="E139" s="19">
        <f>Industrie!E37</f>
        <v>79.972151744176841</v>
      </c>
      <c r="F139" s="19">
        <v>0</v>
      </c>
      <c r="G139" s="19">
        <v>0</v>
      </c>
      <c r="H139" s="19"/>
      <c r="I139" s="19"/>
      <c r="J139" s="19"/>
      <c r="K139" s="19"/>
      <c r="L139" s="19"/>
      <c r="M139" s="19"/>
      <c r="N139" s="19"/>
      <c r="O139" s="19">
        <v>0</v>
      </c>
      <c r="P139" s="19">
        <v>0</v>
      </c>
      <c r="Q139" s="19">
        <v>0</v>
      </c>
      <c r="R139" s="19">
        <v>0</v>
      </c>
      <c r="S139" s="19">
        <f>SUM(C139:R139)</f>
        <v>79.972151744176841</v>
      </c>
      <c r="U139" s="26" t="s">
        <v>46</v>
      </c>
      <c r="V139" s="19">
        <v>0</v>
      </c>
      <c r="W139" s="19">
        <v>0</v>
      </c>
      <c r="X139" s="19">
        <f>Industrie!E59</f>
        <v>79.972151744176841</v>
      </c>
      <c r="Y139" s="19">
        <v>0</v>
      </c>
      <c r="Z139" s="19">
        <v>0</v>
      </c>
      <c r="AA139" s="19">
        <f>Industrie!E61</f>
        <v>13.328691957362807</v>
      </c>
      <c r="AB139" s="19">
        <v>0</v>
      </c>
      <c r="AC139" s="19">
        <v>0</v>
      </c>
      <c r="AD139" s="19">
        <v>0</v>
      </c>
      <c r="AE139" s="19">
        <f>SUM(V139:AD139)</f>
        <v>93.300843701539648</v>
      </c>
    </row>
    <row r="140" spans="2:32">
      <c r="B140" s="24" t="s">
        <v>47</v>
      </c>
      <c r="C140" s="15">
        <v>0</v>
      </c>
      <c r="D140" s="15">
        <v>0</v>
      </c>
      <c r="E140" s="15">
        <f t="shared" ref="E140:S140" si="23">SUM(E138:E139)</f>
        <v>1396.8512117653358</v>
      </c>
      <c r="F140" s="15">
        <f t="shared" si="23"/>
        <v>0</v>
      </c>
      <c r="G140" s="15">
        <f t="shared" si="23"/>
        <v>0</v>
      </c>
      <c r="H140" s="15"/>
      <c r="I140" s="15"/>
      <c r="J140" s="15"/>
      <c r="K140" s="15"/>
      <c r="L140" s="15"/>
      <c r="M140" s="15"/>
      <c r="N140" s="15"/>
      <c r="O140" s="15">
        <f t="shared" si="23"/>
        <v>19.262432773247077</v>
      </c>
      <c r="P140" s="15">
        <f t="shared" si="23"/>
        <v>881.31624369590793</v>
      </c>
      <c r="Q140" s="15">
        <f t="shared" si="23"/>
        <v>0</v>
      </c>
      <c r="R140" s="15">
        <f t="shared" si="23"/>
        <v>0</v>
      </c>
      <c r="S140" s="15">
        <f t="shared" si="23"/>
        <v>2297.4298882344906</v>
      </c>
      <c r="T140" s="27">
        <f>SUM(C140:R140)</f>
        <v>2297.429888234491</v>
      </c>
      <c r="U140" s="24" t="s">
        <v>47</v>
      </c>
      <c r="V140" s="15">
        <v>0</v>
      </c>
      <c r="W140" s="15">
        <v>0</v>
      </c>
      <c r="X140" s="15">
        <f t="shared" ref="X140:AE140" si="24">SUM(X138:X139)</f>
        <v>1260.8137843115505</v>
      </c>
      <c r="Y140" s="15">
        <f t="shared" si="24"/>
        <v>0</v>
      </c>
      <c r="Z140" s="15">
        <f t="shared" si="24"/>
        <v>0</v>
      </c>
      <c r="AA140" s="15">
        <f t="shared" si="24"/>
        <v>68.457196482741281</v>
      </c>
      <c r="AB140" s="15">
        <f t="shared" si="24"/>
        <v>780.74801390164976</v>
      </c>
      <c r="AC140" s="15">
        <f t="shared" si="24"/>
        <v>0</v>
      </c>
      <c r="AD140" s="15">
        <f t="shared" si="24"/>
        <v>0</v>
      </c>
      <c r="AE140" s="15">
        <f t="shared" si="24"/>
        <v>2110.0189946959413</v>
      </c>
      <c r="AF140" s="27">
        <f>SUM(V140:AD140)</f>
        <v>2110.0189946959417</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11"/>
      <c r="I147" s="211"/>
      <c r="J147" s="211"/>
      <c r="K147" s="211"/>
      <c r="L147" s="211"/>
      <c r="M147" s="211"/>
      <c r="N147" s="211"/>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50.090236034730999</v>
      </c>
      <c r="F159" s="11">
        <v>0</v>
      </c>
      <c r="G159" s="11">
        <f>(P159-Q159)*$X$48*('Prod Energie'!F40+'Prod Energie'!D39)</f>
        <v>1156.1589320905987</v>
      </c>
      <c r="H159" s="11"/>
      <c r="I159" s="11"/>
      <c r="J159" s="11"/>
      <c r="K159" s="11"/>
      <c r="L159" s="11"/>
      <c r="M159" s="11"/>
      <c r="N159" s="11"/>
      <c r="O159" s="11">
        <f>(P159-Q159)*$X$48*('Prod Energie'!F38)</f>
        <v>264.99518614113447</v>
      </c>
      <c r="P159" s="11">
        <f>P164/(1+$P$48+$Q$48)</f>
        <v>-1076.6958920577381</v>
      </c>
      <c r="Q159" s="11">
        <f>Q164/(1+$D$48)</f>
        <v>0</v>
      </c>
      <c r="R159" s="11">
        <v>0</v>
      </c>
      <c r="S159" s="11">
        <f t="shared" si="29"/>
        <v>394.54846220872605</v>
      </c>
      <c r="U159" s="22" t="s">
        <v>35</v>
      </c>
      <c r="V159" s="11">
        <f>(AB159-AC159)*$X$48*('Prod Energie'!F53)</f>
        <v>0</v>
      </c>
      <c r="W159" s="11">
        <v>0</v>
      </c>
      <c r="X159" s="11">
        <f>(AB159-AC159)*$X$48*('Prod Energie'!F54)</f>
        <v>0</v>
      </c>
      <c r="Y159" s="11">
        <v>0</v>
      </c>
      <c r="Z159" s="11">
        <f>(AB159-AC159)*$X$48*('Prod Energie'!F61+'Prod Energie'!D60)</f>
        <v>1068.5646378427366</v>
      </c>
      <c r="AA159" s="11">
        <f>(AB159-AC159)*$X$48*('Prod Energie'!F59)</f>
        <v>375.44321627403122</v>
      </c>
      <c r="AB159" s="11">
        <f>AB164/(1+$P$48+$Q$48)</f>
        <v>-947.17414203421481</v>
      </c>
      <c r="AC159" s="11">
        <f>AC164/(1+$D$48)</f>
        <v>0</v>
      </c>
      <c r="AD159" s="11">
        <v>0</v>
      </c>
      <c r="AE159" s="11">
        <f t="shared" si="30"/>
        <v>496.83371208255289</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12.85714485425844</v>
      </c>
      <c r="Q162" s="11">
        <v>0</v>
      </c>
      <c r="R162" s="11">
        <v>0</v>
      </c>
      <c r="S162" s="11">
        <f t="shared" si="29"/>
        <v>12.85714485425844</v>
      </c>
      <c r="U162" s="22" t="s">
        <v>38</v>
      </c>
      <c r="V162" s="11">
        <v>0</v>
      </c>
      <c r="W162" s="11">
        <v>0</v>
      </c>
      <c r="X162" s="11">
        <v>0</v>
      </c>
      <c r="Y162" s="11">
        <v>0</v>
      </c>
      <c r="Z162" s="11">
        <v>0</v>
      </c>
      <c r="AA162" s="11">
        <v>0</v>
      </c>
      <c r="AB162" s="11">
        <f>AB159*$P$48</f>
        <v>11.310487238014661</v>
      </c>
      <c r="AC162" s="11">
        <v>0</v>
      </c>
      <c r="AD162" s="11">
        <v>0</v>
      </c>
      <c r="AE162" s="11">
        <f t="shared" si="30"/>
        <v>11.310487238014661</v>
      </c>
    </row>
    <row r="163" spans="2:32">
      <c r="B163" s="22" t="s">
        <v>39</v>
      </c>
      <c r="C163" s="11">
        <v>0</v>
      </c>
      <c r="D163" s="11">
        <v>0</v>
      </c>
      <c r="E163" s="11">
        <v>0</v>
      </c>
      <c r="F163" s="11">
        <v>0</v>
      </c>
      <c r="G163" s="11">
        <v>0</v>
      </c>
      <c r="H163" s="11"/>
      <c r="I163" s="11"/>
      <c r="J163" s="11"/>
      <c r="K163" s="11"/>
      <c r="L163" s="11"/>
      <c r="M163" s="11"/>
      <c r="N163" s="11"/>
      <c r="O163" s="11">
        <v>0</v>
      </c>
      <c r="P163" s="11">
        <f>P159*$Q$48</f>
        <v>68.858678928508922</v>
      </c>
      <c r="Q163" s="11">
        <f>Q159*$D$48</f>
        <v>0</v>
      </c>
      <c r="R163" s="11">
        <v>0</v>
      </c>
      <c r="S163" s="11">
        <f t="shared" si="29"/>
        <v>68.858678928508922</v>
      </c>
      <c r="U163" s="22" t="s">
        <v>39</v>
      </c>
      <c r="V163" s="11">
        <v>0</v>
      </c>
      <c r="W163" s="11">
        <v>0</v>
      </c>
      <c r="X163" s="11">
        <v>0</v>
      </c>
      <c r="Y163" s="11">
        <v>0</v>
      </c>
      <c r="Z163" s="11">
        <v>0</v>
      </c>
      <c r="AA163" s="11">
        <v>0</v>
      </c>
      <c r="AB163" s="11">
        <f>AB159*$Q$48</f>
        <v>60.575284643347004</v>
      </c>
      <c r="AC163" s="11">
        <f>AC159*$D$48</f>
        <v>0</v>
      </c>
      <c r="AD163" s="11">
        <v>0</v>
      </c>
      <c r="AE163" s="11">
        <f t="shared" si="30"/>
        <v>60.575284643347004</v>
      </c>
    </row>
    <row r="164" spans="2:32">
      <c r="B164" s="24" t="s">
        <v>40</v>
      </c>
      <c r="C164" s="15">
        <f t="shared" ref="C164:O164" si="31">SUM(C158:C163)</f>
        <v>0</v>
      </c>
      <c r="D164" s="15">
        <f t="shared" si="31"/>
        <v>0</v>
      </c>
      <c r="E164" s="15">
        <f t="shared" si="31"/>
        <v>50.090236034730999</v>
      </c>
      <c r="F164" s="15">
        <f t="shared" si="31"/>
        <v>0</v>
      </c>
      <c r="G164" s="15">
        <f t="shared" si="31"/>
        <v>1156.1589320905987</v>
      </c>
      <c r="H164" s="15"/>
      <c r="I164" s="15"/>
      <c r="J164" s="15"/>
      <c r="K164" s="15"/>
      <c r="L164" s="15"/>
      <c r="M164" s="15"/>
      <c r="N164" s="15"/>
      <c r="O164" s="15">
        <f t="shared" si="31"/>
        <v>264.99518614113447</v>
      </c>
      <c r="P164" s="15">
        <f>-P172</f>
        <v>-994.98006827497068</v>
      </c>
      <c r="Q164" s="15">
        <f>-Q172</f>
        <v>0</v>
      </c>
      <c r="R164" s="15">
        <v>0</v>
      </c>
      <c r="S164" s="15">
        <f t="shared" si="29"/>
        <v>476.26428599149347</v>
      </c>
      <c r="U164" s="24" t="s">
        <v>40</v>
      </c>
      <c r="V164" s="15">
        <f t="shared" ref="V164:AA164" si="32">SUM(V158:V163)</f>
        <v>0</v>
      </c>
      <c r="W164" s="15">
        <f t="shared" si="32"/>
        <v>0</v>
      </c>
      <c r="X164" s="15">
        <f t="shared" si="32"/>
        <v>0</v>
      </c>
      <c r="Y164" s="15">
        <f t="shared" si="32"/>
        <v>0</v>
      </c>
      <c r="Z164" s="15">
        <f t="shared" si="32"/>
        <v>1068.5646378427366</v>
      </c>
      <c r="AA164" s="15">
        <f t="shared" si="32"/>
        <v>375.44321627403122</v>
      </c>
      <c r="AB164" s="15">
        <f>-AB172</f>
        <v>-875.28837015285319</v>
      </c>
      <c r="AC164" s="15">
        <f>-AC172</f>
        <v>0</v>
      </c>
      <c r="AD164" s="15">
        <v>0</v>
      </c>
      <c r="AE164" s="15">
        <f t="shared" si="30"/>
        <v>568.71948396391451</v>
      </c>
    </row>
    <row r="165" spans="2:32">
      <c r="B165" s="22" t="s">
        <v>41</v>
      </c>
      <c r="C165" s="11">
        <v>0</v>
      </c>
      <c r="D165" s="11">
        <v>0</v>
      </c>
      <c r="E165" s="11">
        <f>Industrie!F35</f>
        <v>16.244840063531591</v>
      </c>
      <c r="F165" s="11">
        <v>0</v>
      </c>
      <c r="G165" s="11">
        <v>0</v>
      </c>
      <c r="H165" s="11"/>
      <c r="I165" s="11"/>
      <c r="J165" s="11"/>
      <c r="K165" s="11"/>
      <c r="L165" s="11"/>
      <c r="M165" s="11"/>
      <c r="N165" s="11"/>
      <c r="O165" s="11">
        <f>Industrie!F38</f>
        <v>1.3328183805658449</v>
      </c>
      <c r="P165" s="11">
        <f>Industrie!F36</f>
        <v>41.413019798924523</v>
      </c>
      <c r="Q165" s="11">
        <f>Industrie!F39</f>
        <v>0</v>
      </c>
      <c r="R165" s="11">
        <v>0</v>
      </c>
      <c r="S165" s="11">
        <f t="shared" si="29"/>
        <v>58.990678243021961</v>
      </c>
      <c r="U165" s="22" t="s">
        <v>41</v>
      </c>
      <c r="V165" s="11">
        <v>0</v>
      </c>
      <c r="W165" s="11">
        <v>0</v>
      </c>
      <c r="X165" s="11">
        <f>Industrie!F56</f>
        <v>6.5625303861655855</v>
      </c>
      <c r="Y165" s="11">
        <v>0</v>
      </c>
      <c r="Z165" s="11">
        <v>0</v>
      </c>
      <c r="AA165" s="11">
        <f>Industrie!F62</f>
        <v>5.7078386380095694</v>
      </c>
      <c r="AB165" s="11">
        <f>Industrie!F57</f>
        <v>41.766413149847146</v>
      </c>
      <c r="AC165" s="11">
        <f>Industrie!F63</f>
        <v>0</v>
      </c>
      <c r="AD165" s="11">
        <v>0</v>
      </c>
      <c r="AE165" s="11">
        <f t="shared" si="30"/>
        <v>54.036782174022299</v>
      </c>
    </row>
    <row r="166" spans="2:32">
      <c r="B166" s="22" t="s">
        <v>42</v>
      </c>
      <c r="C166" s="11">
        <v>0</v>
      </c>
      <c r="D166" s="11">
        <v>0</v>
      </c>
      <c r="E166" s="11">
        <f>Transports!H44</f>
        <v>1098.8617616378565</v>
      </c>
      <c r="F166" s="11">
        <v>0</v>
      </c>
      <c r="G166" s="11">
        <v>0</v>
      </c>
      <c r="H166" s="11"/>
      <c r="I166" s="11"/>
      <c r="J166" s="11"/>
      <c r="K166" s="11"/>
      <c r="L166" s="11"/>
      <c r="M166" s="11"/>
      <c r="N166" s="11"/>
      <c r="O166" s="11">
        <v>0</v>
      </c>
      <c r="P166" s="11">
        <f>Transports!H45</f>
        <v>81.171146956712974</v>
      </c>
      <c r="Q166" s="11">
        <v>0</v>
      </c>
      <c r="R166" s="11">
        <v>0</v>
      </c>
      <c r="S166" s="11">
        <f>Transports!H46</f>
        <v>1180.0329085945696</v>
      </c>
      <c r="U166" s="22" t="s">
        <v>42</v>
      </c>
      <c r="V166" s="11">
        <v>0</v>
      </c>
      <c r="W166" s="11">
        <v>0</v>
      </c>
      <c r="X166" s="11">
        <f>Transports!H71</f>
        <v>841.64097531424261</v>
      </c>
      <c r="Y166" s="11">
        <v>0</v>
      </c>
      <c r="Z166" s="11">
        <v>0</v>
      </c>
      <c r="AA166" s="11">
        <v>0</v>
      </c>
      <c r="AB166" s="11">
        <f>Transports!H72</f>
        <v>174.50281159005419</v>
      </c>
      <c r="AC166" s="11">
        <v>0</v>
      </c>
      <c r="AD166" s="11">
        <v>0</v>
      </c>
      <c r="AE166" s="11">
        <f>Transports!H73</f>
        <v>1016.1437869042968</v>
      </c>
    </row>
    <row r="167" spans="2:32">
      <c r="B167" s="22" t="s">
        <v>43</v>
      </c>
      <c r="C167" s="11">
        <v>0</v>
      </c>
      <c r="D167" s="11">
        <v>0</v>
      </c>
      <c r="E167" s="11">
        <f>'Résidentiel-tertiaire'!F163</f>
        <v>57.319807264554285</v>
      </c>
      <c r="F167" s="11">
        <v>0</v>
      </c>
      <c r="G167" s="11">
        <v>0</v>
      </c>
      <c r="H167" s="11"/>
      <c r="I167" s="11"/>
      <c r="J167" s="11"/>
      <c r="K167" s="11"/>
      <c r="L167" s="11"/>
      <c r="M167" s="11"/>
      <c r="N167" s="11"/>
      <c r="O167" s="11">
        <f>'Résidentiel-tertiaire'!F164</f>
        <v>19.240444075146275</v>
      </c>
      <c r="P167" s="11">
        <f>'Résidentiel-tertiaire'!F165</f>
        <v>276.9652092102445</v>
      </c>
      <c r="Q167" s="11">
        <v>0</v>
      </c>
      <c r="R167" s="11">
        <v>0</v>
      </c>
      <c r="S167" s="11">
        <f>SUM(C167:R167)</f>
        <v>353.52546054994502</v>
      </c>
      <c r="U167" s="22" t="s">
        <v>43</v>
      </c>
      <c r="V167" s="11">
        <v>0</v>
      </c>
      <c r="W167" s="11">
        <v>0</v>
      </c>
      <c r="X167" s="11">
        <f>'Résidentiel-tertiaire'!F177</f>
        <v>33.196475</v>
      </c>
      <c r="Y167" s="11">
        <v>0</v>
      </c>
      <c r="Z167" s="11">
        <v>0</v>
      </c>
      <c r="AA167" s="11">
        <f>'Résidentiel-tertiaire'!F178</f>
        <v>29.847919075037048</v>
      </c>
      <c r="AB167" s="11">
        <f>'Résidentiel-tertiaire'!F179</f>
        <v>212.28403450769761</v>
      </c>
      <c r="AC167" s="11">
        <v>0</v>
      </c>
      <c r="AD167" s="11">
        <v>0</v>
      </c>
      <c r="AE167" s="11">
        <f>SUM(V167:AD167)</f>
        <v>275.32842858273466</v>
      </c>
    </row>
    <row r="168" spans="2:32">
      <c r="B168" s="22" t="s">
        <v>44</v>
      </c>
      <c r="C168" s="11">
        <v>0</v>
      </c>
      <c r="D168" s="11">
        <v>0</v>
      </c>
      <c r="E168" s="11">
        <f>'Résidentiel-tertiaire'!F168</f>
        <v>0</v>
      </c>
      <c r="F168" s="11">
        <v>0</v>
      </c>
      <c r="G168" s="11">
        <v>0</v>
      </c>
      <c r="H168" s="11"/>
      <c r="I168" s="11"/>
      <c r="J168" s="11"/>
      <c r="K168" s="11"/>
      <c r="L168" s="11"/>
      <c r="M168" s="11"/>
      <c r="N168" s="11"/>
      <c r="O168" s="11">
        <f>'Résidentiel-tertiaire'!F169</f>
        <v>0.38097908151042015</v>
      </c>
      <c r="P168" s="11">
        <f>'Résidentiel-tertiaire'!F170</f>
        <v>594.84914541289788</v>
      </c>
      <c r="Q168" s="11">
        <v>0</v>
      </c>
      <c r="R168" s="11">
        <v>0</v>
      </c>
      <c r="S168" s="11">
        <f>SUM(C168:R168)</f>
        <v>595.2301244944083</v>
      </c>
      <c r="U168" s="22" t="s">
        <v>44</v>
      </c>
      <c r="V168" s="11">
        <v>0</v>
      </c>
      <c r="W168" s="11">
        <v>0</v>
      </c>
      <c r="X168" s="11">
        <f>'Résidentiel-tertiaire'!F182</f>
        <v>0</v>
      </c>
      <c r="Y168" s="11">
        <v>0</v>
      </c>
      <c r="Z168" s="11">
        <v>0</v>
      </c>
      <c r="AA168" s="11">
        <f>'Résidentiel-tertiaire'!F183</f>
        <v>0.28592681020476568</v>
      </c>
      <c r="AB168" s="11">
        <f>'Résidentiel-tertiaire'!F184</f>
        <v>446.43742125324206</v>
      </c>
      <c r="AC168" s="11">
        <v>0</v>
      </c>
      <c r="AD168" s="11">
        <v>0</v>
      </c>
      <c r="AE168" s="11">
        <f>SUM(V168:AD168)</f>
        <v>446.72334806344685</v>
      </c>
    </row>
    <row r="169" spans="2:32">
      <c r="B169" s="22" t="s">
        <v>4</v>
      </c>
      <c r="C169" s="11">
        <v>0</v>
      </c>
      <c r="D169" s="11">
        <v>0</v>
      </c>
      <c r="E169" s="11">
        <f>Agriculture!P27</f>
        <v>67.861457329171003</v>
      </c>
      <c r="F169" s="11">
        <v>0</v>
      </c>
      <c r="G169" s="11">
        <v>0</v>
      </c>
      <c r="H169" s="11"/>
      <c r="I169" s="11"/>
      <c r="J169" s="11"/>
      <c r="K169" s="11"/>
      <c r="L169" s="11"/>
      <c r="M169" s="11"/>
      <c r="N169" s="11"/>
      <c r="O169" s="11">
        <v>0</v>
      </c>
      <c r="P169" s="11">
        <f>Agriculture!P28</f>
        <v>0.58154689619088484</v>
      </c>
      <c r="Q169" s="11">
        <v>0</v>
      </c>
      <c r="R169" s="11">
        <v>0</v>
      </c>
      <c r="S169" s="11">
        <f>SUM(C169:R169)</f>
        <v>68.443004225361889</v>
      </c>
      <c r="U169" s="22" t="s">
        <v>4</v>
      </c>
      <c r="V169" s="11">
        <v>0</v>
      </c>
      <c r="W169" s="11">
        <v>0</v>
      </c>
      <c r="X169" s="11">
        <f>Agriculture!U43</f>
        <v>31.284032258064514</v>
      </c>
      <c r="Y169" s="11">
        <v>0</v>
      </c>
      <c r="Z169" s="11">
        <v>0</v>
      </c>
      <c r="AA169" s="11">
        <f>Agriculture!U45</f>
        <v>31.083814451612902</v>
      </c>
      <c r="AB169" s="11">
        <f>Agriculture!U44</f>
        <v>0.29768965201215125</v>
      </c>
      <c r="AC169" s="11">
        <v>0</v>
      </c>
      <c r="AD169" s="11">
        <v>0</v>
      </c>
      <c r="AE169" s="11">
        <f>SUM(V169:AD169)</f>
        <v>62.665536361689568</v>
      </c>
    </row>
    <row r="170" spans="2:32">
      <c r="B170" s="26" t="s">
        <v>45</v>
      </c>
      <c r="C170" s="19">
        <v>0</v>
      </c>
      <c r="D170" s="19">
        <v>0</v>
      </c>
      <c r="E170" s="19">
        <f t="shared" ref="E170:S170" si="33">SUM(E165:E169)</f>
        <v>1240.2878662951134</v>
      </c>
      <c r="F170" s="19">
        <f t="shared" si="33"/>
        <v>0</v>
      </c>
      <c r="G170" s="19">
        <f t="shared" si="33"/>
        <v>0</v>
      </c>
      <c r="H170" s="19"/>
      <c r="I170" s="19"/>
      <c r="J170" s="19"/>
      <c r="K170" s="19"/>
      <c r="L170" s="19"/>
      <c r="M170" s="19"/>
      <c r="N170" s="19"/>
      <c r="O170" s="19">
        <f t="shared" si="33"/>
        <v>20.95424153722254</v>
      </c>
      <c r="P170" s="19">
        <f t="shared" si="33"/>
        <v>994.98006827497068</v>
      </c>
      <c r="Q170" s="19">
        <f t="shared" si="33"/>
        <v>0</v>
      </c>
      <c r="R170" s="19">
        <f t="shared" si="33"/>
        <v>0</v>
      </c>
      <c r="S170" s="19">
        <f t="shared" si="33"/>
        <v>2256.222176107307</v>
      </c>
      <c r="U170" s="26" t="s">
        <v>45</v>
      </c>
      <c r="V170" s="19">
        <v>0</v>
      </c>
      <c r="W170" s="19">
        <v>0</v>
      </c>
      <c r="X170" s="19">
        <f t="shared" ref="X170:AE170" si="34">SUM(X165:X169)</f>
        <v>912.68401295847264</v>
      </c>
      <c r="Y170" s="19">
        <f t="shared" si="34"/>
        <v>0</v>
      </c>
      <c r="Z170" s="19">
        <f t="shared" si="34"/>
        <v>0</v>
      </c>
      <c r="AA170" s="19">
        <f t="shared" si="34"/>
        <v>66.925498974864283</v>
      </c>
      <c r="AB170" s="19">
        <f t="shared" si="34"/>
        <v>875.28837015285319</v>
      </c>
      <c r="AC170" s="19">
        <f t="shared" si="34"/>
        <v>0</v>
      </c>
      <c r="AD170" s="19">
        <f t="shared" si="34"/>
        <v>0</v>
      </c>
      <c r="AE170" s="19">
        <f t="shared" si="34"/>
        <v>1854.8978820861903</v>
      </c>
    </row>
    <row r="171" spans="2:32">
      <c r="B171" s="26" t="s">
        <v>46</v>
      </c>
      <c r="C171" s="19">
        <v>0</v>
      </c>
      <c r="D171" s="19">
        <v>0</v>
      </c>
      <c r="E171" s="19">
        <f>Industrie!F37</f>
        <v>88.725684295144148</v>
      </c>
      <c r="F171" s="19">
        <v>0</v>
      </c>
      <c r="G171" s="19">
        <v>0</v>
      </c>
      <c r="H171" s="19"/>
      <c r="I171" s="19"/>
      <c r="J171" s="19"/>
      <c r="K171" s="19"/>
      <c r="L171" s="19"/>
      <c r="M171" s="19"/>
      <c r="N171" s="19"/>
      <c r="O171" s="19">
        <v>0</v>
      </c>
      <c r="P171" s="19">
        <v>0</v>
      </c>
      <c r="Q171" s="19">
        <v>0</v>
      </c>
      <c r="R171" s="19">
        <v>0</v>
      </c>
      <c r="S171" s="19">
        <f>SUM(C171:R171)</f>
        <v>88.725684295144148</v>
      </c>
      <c r="U171" s="26" t="s">
        <v>46</v>
      </c>
      <c r="V171" s="19">
        <v>0</v>
      </c>
      <c r="W171" s="19">
        <v>0</v>
      </c>
      <c r="X171" s="19">
        <f>Industrie!F59</f>
        <v>88.725684295144148</v>
      </c>
      <c r="Y171" s="19">
        <v>0</v>
      </c>
      <c r="Z171" s="19">
        <v>0</v>
      </c>
      <c r="AA171" s="19">
        <f>Industrie!F61</f>
        <v>22.181421073786037</v>
      </c>
      <c r="AB171" s="19">
        <v>0</v>
      </c>
      <c r="AC171" s="19">
        <v>0</v>
      </c>
      <c r="AD171" s="19">
        <v>0</v>
      </c>
      <c r="AE171" s="19">
        <f>SUM(V171:AD171)</f>
        <v>110.90710536893019</v>
      </c>
    </row>
    <row r="172" spans="2:32">
      <c r="B172" s="24" t="s">
        <v>47</v>
      </c>
      <c r="C172" s="15">
        <v>0</v>
      </c>
      <c r="D172" s="15">
        <v>0</v>
      </c>
      <c r="E172" s="15">
        <f t="shared" ref="E172:S172" si="35">SUM(E170:E171)</f>
        <v>1329.0135505902576</v>
      </c>
      <c r="F172" s="15">
        <f t="shared" si="35"/>
        <v>0</v>
      </c>
      <c r="G172" s="15">
        <f t="shared" si="35"/>
        <v>0</v>
      </c>
      <c r="H172" s="15"/>
      <c r="I172" s="15"/>
      <c r="J172" s="15"/>
      <c r="K172" s="15"/>
      <c r="L172" s="15"/>
      <c r="M172" s="15"/>
      <c r="N172" s="15"/>
      <c r="O172" s="15">
        <f t="shared" si="35"/>
        <v>20.95424153722254</v>
      </c>
      <c r="P172" s="15">
        <f t="shared" si="35"/>
        <v>994.98006827497068</v>
      </c>
      <c r="Q172" s="15">
        <f t="shared" si="35"/>
        <v>0</v>
      </c>
      <c r="R172" s="15">
        <f t="shared" si="35"/>
        <v>0</v>
      </c>
      <c r="S172" s="15">
        <f t="shared" si="35"/>
        <v>2344.9478604024512</v>
      </c>
      <c r="T172" s="27">
        <f>SUM(C172:R172)</f>
        <v>2344.9478604024507</v>
      </c>
      <c r="U172" s="24" t="s">
        <v>47</v>
      </c>
      <c r="V172" s="15">
        <v>0</v>
      </c>
      <c r="W172" s="15">
        <v>0</v>
      </c>
      <c r="X172" s="15">
        <f t="shared" ref="X172:AE172" si="36">SUM(X170:X171)</f>
        <v>1001.4096972536167</v>
      </c>
      <c r="Y172" s="15">
        <f t="shared" si="36"/>
        <v>0</v>
      </c>
      <c r="Z172" s="15">
        <f t="shared" si="36"/>
        <v>0</v>
      </c>
      <c r="AA172" s="15">
        <f t="shared" si="36"/>
        <v>89.106920048650323</v>
      </c>
      <c r="AB172" s="15">
        <f t="shared" si="36"/>
        <v>875.28837015285319</v>
      </c>
      <c r="AC172" s="15">
        <f t="shared" si="36"/>
        <v>0</v>
      </c>
      <c r="AD172" s="15">
        <f t="shared" si="36"/>
        <v>0</v>
      </c>
      <c r="AE172" s="15">
        <f t="shared" si="36"/>
        <v>1965.8049874551205</v>
      </c>
      <c r="AF172" s="27">
        <f>SUM(V172:AD172)</f>
        <v>1965.8049874551202</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11"/>
      <c r="I179" s="211"/>
      <c r="J179" s="211"/>
      <c r="K179" s="211"/>
      <c r="L179" s="211"/>
      <c r="M179" s="211"/>
      <c r="N179" s="211"/>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56.214353187836771</v>
      </c>
      <c r="F191" s="11">
        <v>0</v>
      </c>
      <c r="G191" s="11">
        <f>(P191-Q191)*$X$48*('Prod Energie'!G40+'Prod Energie'!D39)</f>
        <v>1156.1589320905987</v>
      </c>
      <c r="H191" s="11"/>
      <c r="I191" s="11"/>
      <c r="J191" s="11"/>
      <c r="K191" s="11"/>
      <c r="L191" s="11"/>
      <c r="M191" s="11"/>
      <c r="N191" s="11"/>
      <c r="O191" s="11">
        <f>(P191-Q191)*$X$48*('Prod Energie'!G38)</f>
        <v>337.77838747786535</v>
      </c>
      <c r="P191" s="11">
        <f>P196/(1+$P$48+$Q$48)</f>
        <v>-1208.3345566601045</v>
      </c>
      <c r="Q191" s="11">
        <f>Q196/(1+$D$48)</f>
        <v>0</v>
      </c>
      <c r="R191" s="11">
        <v>0</v>
      </c>
      <c r="S191" s="11">
        <f t="shared" si="41"/>
        <v>341.81711609619651</v>
      </c>
      <c r="U191" s="22" t="s">
        <v>35</v>
      </c>
      <c r="V191" s="11">
        <f>(AB191-AC191)*$X$48*('Prod Energie'!G53)</f>
        <v>0</v>
      </c>
      <c r="W191" s="11">
        <v>0</v>
      </c>
      <c r="X191" s="11">
        <f>(AB191-AC191)*$X$48*('Prod Energie'!G54)</f>
        <v>0</v>
      </c>
      <c r="Y191" s="11">
        <v>0</v>
      </c>
      <c r="Z191" s="11">
        <f>(AB191-AC191)*$X$48*('Prod Energie'!G61+'Prod Energie'!D60)</f>
        <v>1068.5646378427368</v>
      </c>
      <c r="AA191" s="11">
        <f>(AB191-AC191)*$X$48*('Prod Energie'!G59)</f>
        <v>464.05451417673294</v>
      </c>
      <c r="AB191" s="11">
        <f>AB196/(1+$P$48+$Q$48)</f>
        <v>-1068.0858264100757</v>
      </c>
      <c r="AC191" s="11">
        <f>AC196/(1+$D$48)</f>
        <v>0</v>
      </c>
      <c r="AD191" s="11">
        <v>0</v>
      </c>
      <c r="AE191" s="11">
        <f t="shared" si="42"/>
        <v>464.53332560939407</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14.429081175088209</v>
      </c>
      <c r="Q194" s="11">
        <v>0</v>
      </c>
      <c r="R194" s="11">
        <v>0</v>
      </c>
      <c r="S194" s="11">
        <f t="shared" si="41"/>
        <v>14.429081175088209</v>
      </c>
      <c r="U194" s="22" t="s">
        <v>38</v>
      </c>
      <c r="V194" s="11">
        <v>0</v>
      </c>
      <c r="W194" s="11">
        <v>0</v>
      </c>
      <c r="X194" s="11">
        <v>0</v>
      </c>
      <c r="Y194" s="11">
        <v>0</v>
      </c>
      <c r="Z194" s="11">
        <v>0</v>
      </c>
      <c r="AA194" s="11">
        <v>0</v>
      </c>
      <c r="AB194" s="11">
        <f>AB191*$P$48</f>
        <v>12.754329507740211</v>
      </c>
      <c r="AC194" s="11">
        <v>0</v>
      </c>
      <c r="AD194" s="11">
        <v>0</v>
      </c>
      <c r="AE194" s="11">
        <f t="shared" si="42"/>
        <v>12.754329507740211</v>
      </c>
    </row>
    <row r="195" spans="2:32">
      <c r="B195" s="22" t="s">
        <v>39</v>
      </c>
      <c r="C195" s="11">
        <v>0</v>
      </c>
      <c r="D195" s="11">
        <v>0</v>
      </c>
      <c r="E195" s="11">
        <v>0</v>
      </c>
      <c r="F195" s="11">
        <v>0</v>
      </c>
      <c r="G195" s="11">
        <v>0</v>
      </c>
      <c r="H195" s="11"/>
      <c r="I195" s="11"/>
      <c r="J195" s="11"/>
      <c r="K195" s="11"/>
      <c r="L195" s="11"/>
      <c r="M195" s="11"/>
      <c r="N195" s="11"/>
      <c r="O195" s="11">
        <v>0</v>
      </c>
      <c r="P195" s="11">
        <f>P191*$Q$48</f>
        <v>77.27745771952705</v>
      </c>
      <c r="Q195" s="11">
        <f>Q191*$D$48</f>
        <v>0</v>
      </c>
      <c r="R195" s="11">
        <v>0</v>
      </c>
      <c r="S195" s="11">
        <f t="shared" si="41"/>
        <v>77.27745771952705</v>
      </c>
      <c r="U195" s="22" t="s">
        <v>39</v>
      </c>
      <c r="V195" s="11">
        <v>0</v>
      </c>
      <c r="W195" s="11">
        <v>0</v>
      </c>
      <c r="X195" s="11">
        <v>0</v>
      </c>
      <c r="Y195" s="11">
        <v>0</v>
      </c>
      <c r="Z195" s="11">
        <v>0</v>
      </c>
      <c r="AA195" s="11">
        <v>0</v>
      </c>
      <c r="AB195" s="11">
        <f>AB191*$Q$48</f>
        <v>68.308033430221855</v>
      </c>
      <c r="AC195" s="11">
        <f>AC191*$D$48</f>
        <v>0</v>
      </c>
      <c r="AD195" s="11">
        <v>0</v>
      </c>
      <c r="AE195" s="11">
        <f t="shared" si="42"/>
        <v>68.308033430221855</v>
      </c>
    </row>
    <row r="196" spans="2:32">
      <c r="B196" s="24" t="s">
        <v>40</v>
      </c>
      <c r="C196" s="15">
        <f t="shared" ref="C196:O196" si="43">SUM(C190:C195)</f>
        <v>0</v>
      </c>
      <c r="D196" s="15">
        <f t="shared" si="43"/>
        <v>0</v>
      </c>
      <c r="E196" s="15">
        <f t="shared" si="43"/>
        <v>56.214353187836771</v>
      </c>
      <c r="F196" s="15">
        <f t="shared" si="43"/>
        <v>0</v>
      </c>
      <c r="G196" s="15">
        <f t="shared" si="43"/>
        <v>1156.1589320905987</v>
      </c>
      <c r="H196" s="15"/>
      <c r="I196" s="15"/>
      <c r="J196" s="15"/>
      <c r="K196" s="15"/>
      <c r="L196" s="15"/>
      <c r="M196" s="15"/>
      <c r="N196" s="15"/>
      <c r="O196" s="15">
        <f t="shared" si="43"/>
        <v>337.77838747786535</v>
      </c>
      <c r="P196" s="15">
        <f>-P204</f>
        <v>-1116.6280177654892</v>
      </c>
      <c r="Q196" s="15">
        <f>-Q204</f>
        <v>0</v>
      </c>
      <c r="R196" s="15">
        <v>0</v>
      </c>
      <c r="S196" s="15">
        <f t="shared" si="41"/>
        <v>433.52365499081179</v>
      </c>
      <c r="U196" s="24" t="s">
        <v>40</v>
      </c>
      <c r="V196" s="15">
        <f t="shared" ref="V196:AA196" si="44">SUM(V190:V195)</f>
        <v>0</v>
      </c>
      <c r="W196" s="15">
        <f t="shared" si="44"/>
        <v>0</v>
      </c>
      <c r="X196" s="15">
        <f t="shared" si="44"/>
        <v>0</v>
      </c>
      <c r="Y196" s="15">
        <f t="shared" si="44"/>
        <v>0</v>
      </c>
      <c r="Z196" s="15">
        <f t="shared" si="44"/>
        <v>1068.5646378427368</v>
      </c>
      <c r="AA196" s="15">
        <f t="shared" si="44"/>
        <v>464.05451417673294</v>
      </c>
      <c r="AB196" s="15">
        <f>-AB204</f>
        <v>-987.02346347211369</v>
      </c>
      <c r="AC196" s="15">
        <f>-AC204</f>
        <v>0</v>
      </c>
      <c r="AD196" s="15">
        <v>0</v>
      </c>
      <c r="AE196" s="15">
        <f t="shared" si="42"/>
        <v>545.59568854735608</v>
      </c>
    </row>
    <row r="197" spans="2:32">
      <c r="B197" s="22" t="s">
        <v>41</v>
      </c>
      <c r="C197" s="11">
        <v>0</v>
      </c>
      <c r="D197" s="11">
        <v>0</v>
      </c>
      <c r="E197" s="11">
        <f>Industrie!G35</f>
        <v>17.54584009885766</v>
      </c>
      <c r="F197" s="11">
        <v>0</v>
      </c>
      <c r="G197" s="11">
        <v>0</v>
      </c>
      <c r="H197" s="11"/>
      <c r="I197" s="11"/>
      <c r="J197" s="11"/>
      <c r="K197" s="11"/>
      <c r="L197" s="11"/>
      <c r="M197" s="11"/>
      <c r="N197" s="11"/>
      <c r="O197" s="11">
        <f>Industrie!H38</f>
        <v>1.5998093263881263</v>
      </c>
      <c r="P197" s="11">
        <f>Industrie!G36</f>
        <v>44.729663115242097</v>
      </c>
      <c r="Q197" s="11">
        <f>Industrie!G39</f>
        <v>0</v>
      </c>
      <c r="R197" s="11">
        <v>0</v>
      </c>
      <c r="S197" s="11">
        <f t="shared" si="41"/>
        <v>63.875312540487883</v>
      </c>
      <c r="U197" s="22" t="s">
        <v>41</v>
      </c>
      <c r="V197" s="11">
        <v>0</v>
      </c>
      <c r="W197" s="11">
        <v>0</v>
      </c>
      <c r="X197" s="11">
        <f>Industrie!G56</f>
        <v>4.0678382225397138</v>
      </c>
      <c r="Y197" s="11">
        <v>0</v>
      </c>
      <c r="Z197" s="11">
        <v>0</v>
      </c>
      <c r="AA197" s="11">
        <f>Industrie!G62</f>
        <v>7.5662229797210863</v>
      </c>
      <c r="AB197" s="11">
        <f>Industrie!G57</f>
        <v>44.933933101979569</v>
      </c>
      <c r="AC197" s="11">
        <f>Industrie!G63</f>
        <v>0</v>
      </c>
      <c r="AD197" s="11">
        <v>0</v>
      </c>
      <c r="AE197" s="11">
        <f t="shared" si="42"/>
        <v>56.567994304240372</v>
      </c>
      <c r="AF197" s="27">
        <f t="shared" ref="AF197:AF202" si="45">SUM(V197:AD197)</f>
        <v>56.567994304240372</v>
      </c>
    </row>
    <row r="198" spans="2:32">
      <c r="B198" s="22" t="s">
        <v>42</v>
      </c>
      <c r="C198" s="11">
        <v>0</v>
      </c>
      <c r="D198" s="11">
        <v>0</v>
      </c>
      <c r="E198" s="11">
        <f>Transports!I44</f>
        <v>1012.8193817913568</v>
      </c>
      <c r="F198" s="11">
        <v>0</v>
      </c>
      <c r="G198" s="11">
        <v>0</v>
      </c>
      <c r="H198" s="11"/>
      <c r="I198" s="11"/>
      <c r="J198" s="11"/>
      <c r="K198" s="11"/>
      <c r="L198" s="11"/>
      <c r="M198" s="11"/>
      <c r="N198" s="11"/>
      <c r="O198" s="11">
        <v>0</v>
      </c>
      <c r="P198" s="11">
        <f>Transports!I45</f>
        <v>129.36943705164316</v>
      </c>
      <c r="Q198" s="11">
        <v>0</v>
      </c>
      <c r="R198" s="11">
        <v>0</v>
      </c>
      <c r="S198" s="11">
        <f>Transports!I46</f>
        <v>1142.188818843</v>
      </c>
      <c r="U198" s="22" t="s">
        <v>42</v>
      </c>
      <c r="V198" s="11">
        <v>0</v>
      </c>
      <c r="W198" s="11">
        <v>0</v>
      </c>
      <c r="X198" s="11">
        <f>Transports!I71</f>
        <v>587.2683905788665</v>
      </c>
      <c r="Y198" s="11">
        <v>0</v>
      </c>
      <c r="Z198" s="11">
        <v>0</v>
      </c>
      <c r="AA198" s="11">
        <v>0</v>
      </c>
      <c r="AB198" s="11">
        <f>Transports!I72</f>
        <v>297.39235483156926</v>
      </c>
      <c r="AC198" s="11">
        <v>0</v>
      </c>
      <c r="AD198" s="11">
        <v>0</v>
      </c>
      <c r="AE198" s="11">
        <f>Transports!I73</f>
        <v>884.66074541043577</v>
      </c>
      <c r="AF198" s="27">
        <f t="shared" si="45"/>
        <v>884.66074541043577</v>
      </c>
    </row>
    <row r="199" spans="2:32">
      <c r="B199" s="22" t="s">
        <v>43</v>
      </c>
      <c r="C199" s="11">
        <v>0</v>
      </c>
      <c r="D199" s="11">
        <v>0</v>
      </c>
      <c r="E199" s="11">
        <f>'Résidentiel-tertiaire'!G163</f>
        <v>62.061769989368514</v>
      </c>
      <c r="F199" s="11">
        <v>0</v>
      </c>
      <c r="G199" s="11">
        <v>0</v>
      </c>
      <c r="H199" s="11"/>
      <c r="I199" s="11"/>
      <c r="J199" s="11"/>
      <c r="K199" s="11"/>
      <c r="L199" s="11"/>
      <c r="M199" s="11"/>
      <c r="N199" s="11"/>
      <c r="O199" s="11">
        <f>'Résidentiel-tertiaire'!G164</f>
        <v>20.832170791743877</v>
      </c>
      <c r="P199" s="11">
        <f>'Résidentiel-tertiaire'!G165</f>
        <v>299.87803395307145</v>
      </c>
      <c r="Q199" s="11">
        <v>0</v>
      </c>
      <c r="R199" s="11">
        <v>0</v>
      </c>
      <c r="S199" s="11">
        <f>SUM(C199:R199)</f>
        <v>382.77197473418386</v>
      </c>
      <c r="U199" s="22" t="s">
        <v>43</v>
      </c>
      <c r="V199" s="11">
        <v>0</v>
      </c>
      <c r="W199" s="11">
        <v>0</v>
      </c>
      <c r="X199" s="11">
        <f>'Résidentiel-tertiaire'!G177</f>
        <v>22.130983333333333</v>
      </c>
      <c r="Y199" s="11">
        <v>0</v>
      </c>
      <c r="Z199" s="11">
        <v>0</v>
      </c>
      <c r="AA199" s="11">
        <f>'Résidentiel-tertiaire'!G178</f>
        <v>29.73695130569736</v>
      </c>
      <c r="AB199" s="11">
        <f>'Résidentiel-tertiaire'!G179</f>
        <v>222.43688551462657</v>
      </c>
      <c r="AC199" s="11">
        <v>0</v>
      </c>
      <c r="AD199" s="11">
        <v>0</v>
      </c>
      <c r="AE199" s="11">
        <f>SUM(V199:AD199)</f>
        <v>274.30482015365726</v>
      </c>
      <c r="AF199" s="27">
        <f t="shared" si="45"/>
        <v>274.30482015365726</v>
      </c>
    </row>
    <row r="200" spans="2:32">
      <c r="B200" s="22" t="s">
        <v>44</v>
      </c>
      <c r="C200" s="11">
        <v>0</v>
      </c>
      <c r="D200" s="11">
        <v>0</v>
      </c>
      <c r="E200" s="11">
        <f>'Résidentiel-tertiaire'!G168</f>
        <v>0</v>
      </c>
      <c r="F200" s="11">
        <v>0</v>
      </c>
      <c r="G200" s="11">
        <v>0</v>
      </c>
      <c r="H200" s="11"/>
      <c r="I200" s="11"/>
      <c r="J200" s="11"/>
      <c r="K200" s="11"/>
      <c r="L200" s="11"/>
      <c r="M200" s="11"/>
      <c r="N200" s="11"/>
      <c r="O200" s="11">
        <f>'Résidentiel-tertiaire'!G169</f>
        <v>0.41121667274379964</v>
      </c>
      <c r="P200" s="11">
        <f>'Résidentiel-tertiaire'!G170</f>
        <v>642.06120029320846</v>
      </c>
      <c r="Q200" s="11">
        <v>0</v>
      </c>
      <c r="R200" s="11">
        <v>0</v>
      </c>
      <c r="S200" s="11">
        <f>SUM(C200:R200)</f>
        <v>642.47241696595222</v>
      </c>
      <c r="U200" s="22" t="s">
        <v>44</v>
      </c>
      <c r="V200" s="11">
        <v>0</v>
      </c>
      <c r="W200" s="11">
        <v>0</v>
      </c>
      <c r="X200" s="11">
        <f>'Résidentiel-tertiaire'!G182</f>
        <v>0</v>
      </c>
      <c r="Y200" s="11">
        <v>0</v>
      </c>
      <c r="Z200" s="11">
        <v>0</v>
      </c>
      <c r="AA200" s="11">
        <f>'Résidentiel-tertiaire'!G183</f>
        <v>0.27030289488426573</v>
      </c>
      <c r="AB200" s="11">
        <f>'Résidentiel-tertiaire'!G184</f>
        <v>422.04271527737433</v>
      </c>
      <c r="AC200" s="11">
        <v>0</v>
      </c>
      <c r="AD200" s="11">
        <v>0</v>
      </c>
      <c r="AE200" s="11">
        <f>SUM(V200:AD200)</f>
        <v>422.31301817225858</v>
      </c>
      <c r="AF200" s="27">
        <f t="shared" si="45"/>
        <v>422.31301817225858</v>
      </c>
    </row>
    <row r="201" spans="2:32">
      <c r="B201" s="22" t="s">
        <v>4</v>
      </c>
      <c r="C201" s="11">
        <v>0</v>
      </c>
      <c r="D201" s="11">
        <v>0</v>
      </c>
      <c r="E201" s="11">
        <f>Agriculture!S27</f>
        <v>68.810910888831074</v>
      </c>
      <c r="F201" s="11">
        <v>0</v>
      </c>
      <c r="G201" s="11">
        <v>0</v>
      </c>
      <c r="H201" s="11"/>
      <c r="I201" s="11"/>
      <c r="J201" s="11"/>
      <c r="K201" s="11"/>
      <c r="L201" s="11"/>
      <c r="M201" s="11"/>
      <c r="N201" s="11"/>
      <c r="O201" s="11">
        <v>0</v>
      </c>
      <c r="P201" s="11">
        <f>Agriculture!S28</f>
        <v>0.58968335232414204</v>
      </c>
      <c r="Q201" s="11">
        <v>0</v>
      </c>
      <c r="R201" s="11">
        <v>0</v>
      </c>
      <c r="S201" s="11">
        <f>SUM(C201:R201)</f>
        <v>69.400594241155218</v>
      </c>
      <c r="U201" s="22" t="s">
        <v>4</v>
      </c>
      <c r="V201" s="11">
        <v>0</v>
      </c>
      <c r="W201" s="11">
        <v>0</v>
      </c>
      <c r="X201" s="11">
        <f>Agriculture!Y43</f>
        <v>20.85602150537634</v>
      </c>
      <c r="Y201" s="11">
        <v>0</v>
      </c>
      <c r="Z201" s="11">
        <v>0</v>
      </c>
      <c r="AA201" s="11">
        <f>Agriculture!Y45</f>
        <v>40.797506467741933</v>
      </c>
      <c r="AB201" s="11">
        <f>Agriculture!Y44</f>
        <v>0.21757474656399634</v>
      </c>
      <c r="AC201" s="11">
        <v>0</v>
      </c>
      <c r="AD201" s="11">
        <v>0</v>
      </c>
      <c r="AE201" s="11">
        <f>SUM(V201:AD201)</f>
        <v>61.87110271968227</v>
      </c>
      <c r="AF201" s="27">
        <f t="shared" si="45"/>
        <v>61.87110271968227</v>
      </c>
    </row>
    <row r="202" spans="2:32">
      <c r="B202" s="26" t="s">
        <v>45</v>
      </c>
      <c r="C202" s="19">
        <v>0</v>
      </c>
      <c r="D202" s="19">
        <v>0</v>
      </c>
      <c r="E202" s="19">
        <f t="shared" ref="E202:S202" si="46">SUM(E197:E201)</f>
        <v>1161.2379027684142</v>
      </c>
      <c r="F202" s="19">
        <f t="shared" si="46"/>
        <v>0</v>
      </c>
      <c r="G202" s="19">
        <f t="shared" si="46"/>
        <v>0</v>
      </c>
      <c r="H202" s="19"/>
      <c r="I202" s="19"/>
      <c r="J202" s="19"/>
      <c r="K202" s="19"/>
      <c r="L202" s="19"/>
      <c r="M202" s="19"/>
      <c r="N202" s="19"/>
      <c r="O202" s="19">
        <f t="shared" si="46"/>
        <v>22.843196790875801</v>
      </c>
      <c r="P202" s="19">
        <f t="shared" si="46"/>
        <v>1116.6280177654892</v>
      </c>
      <c r="Q202" s="19">
        <f t="shared" si="46"/>
        <v>0</v>
      </c>
      <c r="R202" s="19">
        <f t="shared" si="46"/>
        <v>0</v>
      </c>
      <c r="S202" s="19">
        <f t="shared" si="46"/>
        <v>2300.7091173247795</v>
      </c>
      <c r="U202" s="26" t="s">
        <v>45</v>
      </c>
      <c r="V202" s="19">
        <v>0</v>
      </c>
      <c r="W202" s="19">
        <v>0</v>
      </c>
      <c r="X202" s="19">
        <f t="shared" ref="X202:AE202" si="47">SUM(X197:X201)</f>
        <v>634.32323364011597</v>
      </c>
      <c r="Y202" s="19">
        <f t="shared" si="47"/>
        <v>0</v>
      </c>
      <c r="Z202" s="19">
        <f t="shared" si="47"/>
        <v>0</v>
      </c>
      <c r="AA202" s="19">
        <f t="shared" si="47"/>
        <v>78.370983648044643</v>
      </c>
      <c r="AB202" s="19">
        <f t="shared" si="47"/>
        <v>987.02346347211369</v>
      </c>
      <c r="AC202" s="19">
        <f t="shared" si="47"/>
        <v>0</v>
      </c>
      <c r="AD202" s="19">
        <f t="shared" si="47"/>
        <v>0</v>
      </c>
      <c r="AE202" s="19">
        <f t="shared" si="47"/>
        <v>1699.7176807602743</v>
      </c>
      <c r="AF202" s="27">
        <f t="shared" si="45"/>
        <v>1699.7176807602743</v>
      </c>
    </row>
    <row r="203" spans="2:32">
      <c r="B203" s="26" t="s">
        <v>46</v>
      </c>
      <c r="C203" s="19">
        <v>0</v>
      </c>
      <c r="D203" s="19">
        <v>0</v>
      </c>
      <c r="E203" s="19">
        <f>Industrie!G37</f>
        <v>97.489439262584</v>
      </c>
      <c r="F203" s="19">
        <v>0</v>
      </c>
      <c r="G203" s="19">
        <v>0</v>
      </c>
      <c r="H203" s="19"/>
      <c r="I203" s="19"/>
      <c r="J203" s="19"/>
      <c r="K203" s="19"/>
      <c r="L203" s="19"/>
      <c r="M203" s="19"/>
      <c r="N203" s="19"/>
      <c r="O203" s="19">
        <v>0</v>
      </c>
      <c r="P203" s="19">
        <v>0</v>
      </c>
      <c r="Q203" s="19">
        <v>0</v>
      </c>
      <c r="R203" s="19">
        <v>0</v>
      </c>
      <c r="S203" s="19">
        <f>SUM(C203:R203)</f>
        <v>97.489439262584</v>
      </c>
      <c r="U203" s="26" t="s">
        <v>46</v>
      </c>
      <c r="V203" s="19">
        <v>0</v>
      </c>
      <c r="W203" s="19">
        <v>0</v>
      </c>
      <c r="X203" s="19">
        <f>Industrie!G59</f>
        <v>97.489439262584</v>
      </c>
      <c r="Y203" s="19">
        <v>0</v>
      </c>
      <c r="Z203" s="19">
        <v>0</v>
      </c>
      <c r="AA203" s="19">
        <f>Industrie!G61</f>
        <v>32.496479754194667</v>
      </c>
      <c r="AB203" s="19">
        <v>0</v>
      </c>
      <c r="AC203" s="19">
        <v>0</v>
      </c>
      <c r="AD203" s="19">
        <v>0</v>
      </c>
      <c r="AE203" s="19">
        <f>SUM(V203:AD203)</f>
        <v>129.98591901677867</v>
      </c>
      <c r="AF203" s="27">
        <f>SUM(AF197:AF201)</f>
        <v>1699.7176807602743</v>
      </c>
    </row>
    <row r="204" spans="2:32">
      <c r="B204" s="24" t="s">
        <v>47</v>
      </c>
      <c r="C204" s="15">
        <v>0</v>
      </c>
      <c r="D204" s="15">
        <v>0</v>
      </c>
      <c r="E204" s="15">
        <f t="shared" ref="E204:S204" si="48">SUM(E202:E203)</f>
        <v>1258.7273420309982</v>
      </c>
      <c r="F204" s="15">
        <f t="shared" si="48"/>
        <v>0</v>
      </c>
      <c r="G204" s="15">
        <f t="shared" si="48"/>
        <v>0</v>
      </c>
      <c r="H204" s="15"/>
      <c r="I204" s="15"/>
      <c r="J204" s="15"/>
      <c r="K204" s="15"/>
      <c r="L204" s="15"/>
      <c r="M204" s="15"/>
      <c r="N204" s="15"/>
      <c r="O204" s="15">
        <f t="shared" si="48"/>
        <v>22.843196790875801</v>
      </c>
      <c r="P204" s="15">
        <f t="shared" si="48"/>
        <v>1116.6280177654892</v>
      </c>
      <c r="Q204" s="15">
        <f t="shared" si="48"/>
        <v>0</v>
      </c>
      <c r="R204" s="15">
        <f t="shared" si="48"/>
        <v>0</v>
      </c>
      <c r="S204" s="15">
        <f t="shared" si="48"/>
        <v>2398.1985565873633</v>
      </c>
      <c r="T204" s="27">
        <f>SUM(C204:R204)</f>
        <v>2398.1985565873629</v>
      </c>
      <c r="U204" s="24" t="s">
        <v>47</v>
      </c>
      <c r="V204" s="15">
        <v>0</v>
      </c>
      <c r="W204" s="15">
        <v>0</v>
      </c>
      <c r="X204" s="15">
        <f t="shared" ref="X204:AE204" si="49">SUM(X202:X203)</f>
        <v>731.8126729027</v>
      </c>
      <c r="Y204" s="15">
        <f t="shared" si="49"/>
        <v>0</v>
      </c>
      <c r="Z204" s="15">
        <f t="shared" si="49"/>
        <v>0</v>
      </c>
      <c r="AA204" s="15">
        <f t="shared" si="49"/>
        <v>110.86746340223931</v>
      </c>
      <c r="AB204" s="15">
        <f t="shared" si="49"/>
        <v>987.02346347211369</v>
      </c>
      <c r="AC204" s="15">
        <f t="shared" si="49"/>
        <v>0</v>
      </c>
      <c r="AD204" s="15">
        <f t="shared" si="49"/>
        <v>0</v>
      </c>
      <c r="AE204" s="15">
        <f t="shared" si="49"/>
        <v>1829.7035997770531</v>
      </c>
      <c r="AF204" s="28">
        <f>SUM(V204:AD204)</f>
        <v>1829.7035997770531</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11"/>
      <c r="I214" s="211"/>
      <c r="J214" s="211"/>
      <c r="K214" s="211"/>
      <c r="L214" s="211"/>
      <c r="M214" s="211"/>
      <c r="N214" s="211"/>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62.055061331312316</v>
      </c>
      <c r="F226" s="11">
        <v>0</v>
      </c>
      <c r="G226" s="11">
        <f>(P226-Q226)*$X$48*('Prod Energie'!H40+'Prod Energie'!D39)</f>
        <v>1156.1589320905987</v>
      </c>
      <c r="H226" s="11"/>
      <c r="I226" s="11"/>
      <c r="J226" s="11"/>
      <c r="K226" s="11"/>
      <c r="L226" s="11"/>
      <c r="M226" s="11"/>
      <c r="N226" s="11"/>
      <c r="O226" s="11">
        <f>(P226-Q226)*$X$48*('Prod Energie'!H38)</f>
        <v>407.19336209834239</v>
      </c>
      <c r="P226" s="11">
        <f>P231/(1+$P$48+$Q$48)</f>
        <v>-1333.8813091335394</v>
      </c>
      <c r="Q226" s="11">
        <f>Q231/(1+$D$48)</f>
        <v>0</v>
      </c>
      <c r="R226" s="11">
        <v>0</v>
      </c>
      <c r="S226" s="11">
        <f t="shared" si="54"/>
        <v>291.52604638671414</v>
      </c>
      <c r="U226" s="22" t="s">
        <v>35</v>
      </c>
      <c r="V226" s="11">
        <f>(AB226-AC226)*$X$48*('Prod Energie'!H53)</f>
        <v>0</v>
      </c>
      <c r="W226" s="11">
        <v>0</v>
      </c>
      <c r="X226" s="11">
        <f>(AB226-AC226)*$X$48*('Prod Energie'!H54)</f>
        <v>0</v>
      </c>
      <c r="Y226" s="11">
        <v>0</v>
      </c>
      <c r="Z226" s="11">
        <f>(AB226-AC226)*$X$48*('Prod Energie'!H61+'Prod Energie'!D60)</f>
        <v>1068.5646378427368</v>
      </c>
      <c r="AA226" s="11">
        <f>(AB226-AC226)*$X$48*('Prod Energie'!H59)</f>
        <v>554.27133392163216</v>
      </c>
      <c r="AB226" s="11">
        <f>AB231/(1+$P$48+$Q$48)</f>
        <v>-1196.6546006046369</v>
      </c>
      <c r="AC226" s="11">
        <f>AC231/(1+$D$48)</f>
        <v>0</v>
      </c>
      <c r="AD226" s="11">
        <v>0</v>
      </c>
      <c r="AE226" s="11">
        <f t="shared" si="55"/>
        <v>426.18137115973195</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15.928272167121939</v>
      </c>
      <c r="Q229" s="11">
        <v>0</v>
      </c>
      <c r="R229" s="11">
        <v>0</v>
      </c>
      <c r="S229" s="11">
        <f t="shared" si="54"/>
        <v>15.928272167121939</v>
      </c>
      <c r="U229" s="22" t="s">
        <v>38</v>
      </c>
      <c r="V229" s="11">
        <v>0</v>
      </c>
      <c r="W229" s="11">
        <v>0</v>
      </c>
      <c r="X229" s="11">
        <v>0</v>
      </c>
      <c r="Y229" s="11">
        <v>0</v>
      </c>
      <c r="Z229" s="11">
        <v>0</v>
      </c>
      <c r="AA229" s="11">
        <v>0</v>
      </c>
      <c r="AB229" s="11">
        <f>AB226*$P$48</f>
        <v>14.289607357082348</v>
      </c>
      <c r="AC229" s="11">
        <v>0</v>
      </c>
      <c r="AD229" s="11">
        <v>0</v>
      </c>
      <c r="AE229" s="11">
        <f t="shared" si="55"/>
        <v>14.289607357082348</v>
      </c>
    </row>
    <row r="230" spans="2:32">
      <c r="B230" s="22" t="s">
        <v>39</v>
      </c>
      <c r="C230" s="11">
        <v>0</v>
      </c>
      <c r="D230" s="11">
        <v>0</v>
      </c>
      <c r="E230" s="11">
        <v>0</v>
      </c>
      <c r="F230" s="11">
        <v>0</v>
      </c>
      <c r="G230" s="11">
        <v>0</v>
      </c>
      <c r="H230" s="11"/>
      <c r="I230" s="11"/>
      <c r="J230" s="11"/>
      <c r="K230" s="11"/>
      <c r="L230" s="11"/>
      <c r="M230" s="11"/>
      <c r="N230" s="11"/>
      <c r="O230" s="11">
        <v>0</v>
      </c>
      <c r="P230" s="11">
        <f>P226*$Q$48</f>
        <v>85.306636230242162</v>
      </c>
      <c r="Q230" s="11">
        <f>Q226*$D$48</f>
        <v>0</v>
      </c>
      <c r="R230" s="11">
        <v>0</v>
      </c>
      <c r="S230" s="11">
        <f t="shared" si="54"/>
        <v>85.306636230242162</v>
      </c>
      <c r="U230" s="22" t="s">
        <v>39</v>
      </c>
      <c r="V230" s="11">
        <v>0</v>
      </c>
      <c r="W230" s="11">
        <v>0</v>
      </c>
      <c r="X230" s="11">
        <v>0</v>
      </c>
      <c r="Y230" s="11">
        <v>0</v>
      </c>
      <c r="Z230" s="11">
        <v>0</v>
      </c>
      <c r="AA230" s="11">
        <v>0</v>
      </c>
      <c r="AB230" s="11">
        <f>AB226*$Q$48</f>
        <v>76.530481391433653</v>
      </c>
      <c r="AC230" s="11">
        <f>AC226*$D$48</f>
        <v>0</v>
      </c>
      <c r="AD230" s="11">
        <v>0</v>
      </c>
      <c r="AE230" s="11">
        <f t="shared" si="55"/>
        <v>76.530481391433653</v>
      </c>
    </row>
    <row r="231" spans="2:32">
      <c r="B231" s="24" t="s">
        <v>40</v>
      </c>
      <c r="C231" s="15">
        <f t="shared" ref="C231:O231" si="56">SUM(C225:C230)</f>
        <v>0</v>
      </c>
      <c r="D231" s="15">
        <f t="shared" si="56"/>
        <v>0</v>
      </c>
      <c r="E231" s="15">
        <f t="shared" si="56"/>
        <v>62.055061331312316</v>
      </c>
      <c r="F231" s="15">
        <f t="shared" si="56"/>
        <v>0</v>
      </c>
      <c r="G231" s="15">
        <f t="shared" si="56"/>
        <v>1156.1589320905987</v>
      </c>
      <c r="H231" s="15"/>
      <c r="I231" s="15"/>
      <c r="J231" s="15"/>
      <c r="K231" s="15"/>
      <c r="L231" s="15"/>
      <c r="M231" s="15"/>
      <c r="N231" s="15"/>
      <c r="O231" s="15">
        <f t="shared" si="56"/>
        <v>407.19336209834239</v>
      </c>
      <c r="P231" s="15">
        <f>-P239</f>
        <v>-1232.6464007361753</v>
      </c>
      <c r="Q231" s="15">
        <f>-Q239</f>
        <v>0</v>
      </c>
      <c r="R231" s="15">
        <v>0</v>
      </c>
      <c r="S231" s="15">
        <f t="shared" si="54"/>
        <v>392.76095478407819</v>
      </c>
      <c r="U231" s="24" t="s">
        <v>40</v>
      </c>
      <c r="V231" s="15">
        <f t="shared" ref="V231:AA231" si="57">SUM(V225:V230)</f>
        <v>0</v>
      </c>
      <c r="W231" s="15">
        <f t="shared" si="57"/>
        <v>0</v>
      </c>
      <c r="X231" s="15">
        <f t="shared" si="57"/>
        <v>0</v>
      </c>
      <c r="Y231" s="15">
        <f t="shared" si="57"/>
        <v>0</v>
      </c>
      <c r="Z231" s="15">
        <f t="shared" si="57"/>
        <v>1068.5646378427368</v>
      </c>
      <c r="AA231" s="15">
        <f t="shared" si="57"/>
        <v>554.27133392163216</v>
      </c>
      <c r="AB231" s="15">
        <f>-AB239</f>
        <v>-1105.834511856121</v>
      </c>
      <c r="AC231" s="15">
        <f>-AC239</f>
        <v>0</v>
      </c>
      <c r="AD231" s="15">
        <v>0</v>
      </c>
      <c r="AE231" s="15">
        <f t="shared" si="55"/>
        <v>517.00145990824785</v>
      </c>
    </row>
    <row r="232" spans="2:32">
      <c r="B232" s="22" t="s">
        <v>41</v>
      </c>
      <c r="C232" s="11">
        <v>0</v>
      </c>
      <c r="D232" s="11">
        <v>0</v>
      </c>
      <c r="E232" s="11">
        <f>Industrie!H35</f>
        <v>18.835783954222745</v>
      </c>
      <c r="F232" s="11">
        <v>0</v>
      </c>
      <c r="G232" s="11">
        <v>0</v>
      </c>
      <c r="H232" s="11"/>
      <c r="I232" s="11"/>
      <c r="J232" s="11"/>
      <c r="K232" s="11"/>
      <c r="L232" s="11"/>
      <c r="M232" s="11"/>
      <c r="N232" s="11"/>
      <c r="O232" s="11">
        <f>Industrie!H38</f>
        <v>1.5998093263881263</v>
      </c>
      <c r="P232" s="11">
        <f>Industrie!H36</f>
        <v>48.018120878618923</v>
      </c>
      <c r="Q232" s="11">
        <f>Industrie!H39</f>
        <v>0</v>
      </c>
      <c r="R232" s="11">
        <v>0</v>
      </c>
      <c r="S232" s="11">
        <f t="shared" si="54"/>
        <v>68.45371415922979</v>
      </c>
      <c r="U232" s="22" t="s">
        <v>41</v>
      </c>
      <c r="V232" s="11">
        <v>0</v>
      </c>
      <c r="W232" s="11">
        <v>0</v>
      </c>
      <c r="X232" s="11">
        <f>Industrie!H56</f>
        <v>1.8469508827807142</v>
      </c>
      <c r="Y232" s="11">
        <v>0</v>
      </c>
      <c r="Z232" s="11">
        <v>0</v>
      </c>
      <c r="AA232" s="11">
        <f>Industrie!H62</f>
        <v>8.9876128575109853</v>
      </c>
      <c r="AB232" s="11">
        <f>Industrie!H57</f>
        <v>47.88137746209231</v>
      </c>
      <c r="AC232" s="11">
        <f>Industrie!H63</f>
        <v>0</v>
      </c>
      <c r="AD232" s="11">
        <v>0</v>
      </c>
      <c r="AE232" s="11">
        <f t="shared" si="55"/>
        <v>58.715941202384009</v>
      </c>
    </row>
    <row r="233" spans="2:32">
      <c r="B233" s="22" t="s">
        <v>42</v>
      </c>
      <c r="C233" s="11">
        <v>0</v>
      </c>
      <c r="D233" s="11">
        <v>0</v>
      </c>
      <c r="E233" s="11">
        <f>Transports!J44</f>
        <v>967.50658092855292</v>
      </c>
      <c r="F233" s="11">
        <v>0</v>
      </c>
      <c r="G233" s="11">
        <v>0</v>
      </c>
      <c r="H233" s="11"/>
      <c r="I233" s="11"/>
      <c r="J233" s="11"/>
      <c r="K233" s="11"/>
      <c r="L233" s="11"/>
      <c r="M233" s="11"/>
      <c r="N233" s="11"/>
      <c r="O233" s="11">
        <v>0</v>
      </c>
      <c r="P233" s="11">
        <f>Transports!J45</f>
        <v>170.96441735200173</v>
      </c>
      <c r="Q233" s="11">
        <v>0</v>
      </c>
      <c r="R233" s="11">
        <v>0</v>
      </c>
      <c r="S233" s="11">
        <f>Transports!J46</f>
        <v>1138.4709982805546</v>
      </c>
      <c r="U233" s="22" t="s">
        <v>42</v>
      </c>
      <c r="V233" s="11">
        <v>0</v>
      </c>
      <c r="W233" s="11">
        <v>0</v>
      </c>
      <c r="X233" s="11">
        <f>Transports!J71</f>
        <v>368.39719831661995</v>
      </c>
      <c r="Y233" s="11">
        <v>0</v>
      </c>
      <c r="Z233" s="11">
        <v>0</v>
      </c>
      <c r="AA233" s="11">
        <v>0</v>
      </c>
      <c r="AB233" s="11">
        <f>Transports!J72</f>
        <v>419.26244698215396</v>
      </c>
      <c r="AC233" s="11">
        <v>0</v>
      </c>
      <c r="AD233" s="11">
        <v>0</v>
      </c>
      <c r="AE233" s="11">
        <f>Transports!J73</f>
        <v>787.65964529877397</v>
      </c>
    </row>
    <row r="234" spans="2:32">
      <c r="B234" s="22" t="s">
        <v>43</v>
      </c>
      <c r="C234" s="11">
        <v>0</v>
      </c>
      <c r="D234" s="11">
        <v>0</v>
      </c>
      <c r="E234" s="11">
        <f>'Résidentiel-tertiaire'!H163</f>
        <v>65.936185877366555</v>
      </c>
      <c r="F234" s="11">
        <v>0</v>
      </c>
      <c r="G234" s="11">
        <v>0</v>
      </c>
      <c r="H234" s="11"/>
      <c r="I234" s="11"/>
      <c r="J234" s="11"/>
      <c r="K234" s="11"/>
      <c r="L234" s="11"/>
      <c r="M234" s="11"/>
      <c r="N234" s="11"/>
      <c r="O234" s="11">
        <f>'Résidentiel-tertiaire'!H164</f>
        <v>22.132689508996826</v>
      </c>
      <c r="P234" s="11">
        <f>'Résidentiel-tertiaire'!H165</f>
        <v>318.59893442704163</v>
      </c>
      <c r="Q234" s="11">
        <v>0</v>
      </c>
      <c r="R234" s="11">
        <v>0</v>
      </c>
      <c r="S234" s="11">
        <f>SUM(C234:R234)</f>
        <v>406.66780981340503</v>
      </c>
      <c r="U234" s="22" t="s">
        <v>43</v>
      </c>
      <c r="V234" s="11">
        <v>0</v>
      </c>
      <c r="W234" s="11">
        <v>0</v>
      </c>
      <c r="X234" s="11">
        <f>'Résidentiel-tertiaire'!H177</f>
        <v>11.065491666666667</v>
      </c>
      <c r="Y234" s="11">
        <v>0</v>
      </c>
      <c r="Z234" s="11">
        <v>0</v>
      </c>
      <c r="AA234" s="11">
        <f>'Résidentiel-tertiaire'!H178</f>
        <v>29.569694826155256</v>
      </c>
      <c r="AB234" s="11">
        <f>'Résidentiel-tertiaire'!H179</f>
        <v>232.12679700388659</v>
      </c>
      <c r="AC234" s="11">
        <v>0</v>
      </c>
      <c r="AD234" s="11">
        <v>0</v>
      </c>
      <c r="AE234" s="11">
        <f>SUM(V234:AD234)</f>
        <v>272.76198349670852</v>
      </c>
    </row>
    <row r="235" spans="2:32">
      <c r="B235" s="22" t="s">
        <v>44</v>
      </c>
      <c r="C235" s="11">
        <v>0</v>
      </c>
      <c r="D235" s="11">
        <v>0</v>
      </c>
      <c r="E235" s="11">
        <f>'Résidentiel-tertiaire'!H168</f>
        <v>0</v>
      </c>
      <c r="F235" s="11">
        <v>0</v>
      </c>
      <c r="G235" s="11">
        <v>0</v>
      </c>
      <c r="H235" s="11"/>
      <c r="I235" s="11"/>
      <c r="J235" s="11"/>
      <c r="K235" s="11"/>
      <c r="L235" s="11"/>
      <c r="M235" s="11"/>
      <c r="N235" s="11"/>
      <c r="O235" s="11">
        <f>'Résidentiel-tertiaire'!H169</f>
        <v>0.44478087504565944</v>
      </c>
      <c r="P235" s="11">
        <f>'Résidentiel-tertiaire'!H170</f>
        <v>694.46732447349598</v>
      </c>
      <c r="Q235" s="11">
        <v>0</v>
      </c>
      <c r="R235" s="11">
        <v>0</v>
      </c>
      <c r="S235" s="11">
        <f>SUM(C235:R235)</f>
        <v>694.91210534854167</v>
      </c>
      <c r="U235" s="22" t="s">
        <v>44</v>
      </c>
      <c r="V235" s="11">
        <v>0</v>
      </c>
      <c r="W235" s="11">
        <v>0</v>
      </c>
      <c r="X235" s="11">
        <f>'Résidentiel-tertiaire'!H182</f>
        <v>0</v>
      </c>
      <c r="Y235" s="11">
        <v>0</v>
      </c>
      <c r="Z235" s="11">
        <v>0</v>
      </c>
      <c r="AA235" s="11">
        <f>'Résidentiel-tertiaire'!H183</f>
        <v>0.26030123673027683</v>
      </c>
      <c r="AB235" s="11">
        <f>'Résidentiel-tertiaire'!H184</f>
        <v>406.42643056687234</v>
      </c>
      <c r="AC235" s="11">
        <v>0</v>
      </c>
      <c r="AD235" s="11">
        <v>0</v>
      </c>
      <c r="AE235" s="11">
        <f>SUM(V235:AD235)</f>
        <v>406.68673180360264</v>
      </c>
    </row>
    <row r="236" spans="2:32">
      <c r="B236" s="22" t="s">
        <v>4</v>
      </c>
      <c r="C236" s="11">
        <v>0</v>
      </c>
      <c r="D236" s="11">
        <v>0</v>
      </c>
      <c r="E236" s="11">
        <f>Agriculture!V27</f>
        <v>69.735135390218517</v>
      </c>
      <c r="F236" s="11">
        <v>0</v>
      </c>
      <c r="G236" s="11">
        <v>0</v>
      </c>
      <c r="H236" s="11"/>
      <c r="I236" s="11"/>
      <c r="J236" s="11"/>
      <c r="K236" s="11"/>
      <c r="L236" s="11"/>
      <c r="M236" s="11"/>
      <c r="N236" s="11"/>
      <c r="O236" s="11">
        <v>0</v>
      </c>
      <c r="P236" s="11">
        <f>Agriculture!V28</f>
        <v>0.59760360501718868</v>
      </c>
      <c r="Q236" s="11">
        <v>0</v>
      </c>
      <c r="R236" s="11">
        <v>0</v>
      </c>
      <c r="S236" s="11">
        <f>SUM(C236:R236)</f>
        <v>70.332738995235701</v>
      </c>
      <c r="U236" s="22" t="s">
        <v>4</v>
      </c>
      <c r="V236" s="11">
        <v>0</v>
      </c>
      <c r="W236" s="11">
        <v>0</v>
      </c>
      <c r="X236" s="11">
        <f>Agriculture!AC43</f>
        <v>10.428010752688174</v>
      </c>
      <c r="Y236" s="11">
        <v>0</v>
      </c>
      <c r="Z236" s="11">
        <v>0</v>
      </c>
      <c r="AA236" s="11">
        <f>Agriculture!AC45</f>
        <v>50.511198483870963</v>
      </c>
      <c r="AB236" s="11">
        <f>Agriculture!AC44</f>
        <v>0.13745984111584147</v>
      </c>
      <c r="AC236" s="11">
        <v>0</v>
      </c>
      <c r="AD236" s="11">
        <v>0</v>
      </c>
      <c r="AE236" s="11">
        <f>SUM(V236:AD236)</f>
        <v>61.076669077674978</v>
      </c>
    </row>
    <row r="237" spans="2:32">
      <c r="B237" s="26" t="s">
        <v>45</v>
      </c>
      <c r="C237" s="19">
        <v>0</v>
      </c>
      <c r="D237" s="19">
        <v>0</v>
      </c>
      <c r="E237" s="19">
        <f t="shared" ref="E237:S237" si="58">SUM(E232:E236)</f>
        <v>1122.0136861503609</v>
      </c>
      <c r="F237" s="19">
        <f t="shared" si="58"/>
        <v>0</v>
      </c>
      <c r="G237" s="19">
        <f t="shared" si="58"/>
        <v>0</v>
      </c>
      <c r="H237" s="19"/>
      <c r="I237" s="19"/>
      <c r="J237" s="19"/>
      <c r="K237" s="19"/>
      <c r="L237" s="19"/>
      <c r="M237" s="19"/>
      <c r="N237" s="19"/>
      <c r="O237" s="19">
        <f t="shared" si="58"/>
        <v>24.177279710430611</v>
      </c>
      <c r="P237" s="19">
        <f t="shared" si="58"/>
        <v>1232.6464007361753</v>
      </c>
      <c r="Q237" s="19">
        <f t="shared" si="58"/>
        <v>0</v>
      </c>
      <c r="R237" s="19">
        <f t="shared" si="58"/>
        <v>0</v>
      </c>
      <c r="S237" s="19">
        <f t="shared" si="58"/>
        <v>2378.8373665969666</v>
      </c>
      <c r="U237" s="26" t="s">
        <v>45</v>
      </c>
      <c r="V237" s="19">
        <v>0</v>
      </c>
      <c r="W237" s="19">
        <v>0</v>
      </c>
      <c r="X237" s="19">
        <f t="shared" ref="X237:AE237" si="59">SUM(X232:X236)</f>
        <v>391.73765161875554</v>
      </c>
      <c r="Y237" s="19">
        <f t="shared" si="59"/>
        <v>0</v>
      </c>
      <c r="Z237" s="19">
        <f t="shared" si="59"/>
        <v>0</v>
      </c>
      <c r="AA237" s="19">
        <f t="shared" si="59"/>
        <v>89.328807404267479</v>
      </c>
      <c r="AB237" s="19">
        <f t="shared" si="59"/>
        <v>1105.834511856121</v>
      </c>
      <c r="AC237" s="19">
        <f t="shared" si="59"/>
        <v>0</v>
      </c>
      <c r="AD237" s="19">
        <f t="shared" si="59"/>
        <v>0</v>
      </c>
      <c r="AE237" s="19">
        <f t="shared" si="59"/>
        <v>1586.9009708791441</v>
      </c>
    </row>
    <row r="238" spans="2:32">
      <c r="B238" s="26" t="s">
        <v>46</v>
      </c>
      <c r="C238" s="19">
        <v>0</v>
      </c>
      <c r="D238" s="19">
        <v>0</v>
      </c>
      <c r="E238" s="19">
        <f>Industrie!H37</f>
        <v>106.49926448739254</v>
      </c>
      <c r="F238" s="19">
        <v>0</v>
      </c>
      <c r="G238" s="19">
        <v>0</v>
      </c>
      <c r="H238" s="19"/>
      <c r="I238" s="19"/>
      <c r="J238" s="19"/>
      <c r="K238" s="19"/>
      <c r="L238" s="19"/>
      <c r="M238" s="19"/>
      <c r="N238" s="19"/>
      <c r="O238" s="19">
        <v>0</v>
      </c>
      <c r="P238" s="19">
        <v>0</v>
      </c>
      <c r="Q238" s="19">
        <v>0</v>
      </c>
      <c r="R238" s="19">
        <v>0</v>
      </c>
      <c r="S238" s="19">
        <f>SUM(C238:R238)</f>
        <v>106.49926448739254</v>
      </c>
      <c r="U238" s="26" t="s">
        <v>46</v>
      </c>
      <c r="V238" s="19">
        <v>0</v>
      </c>
      <c r="W238" s="19">
        <v>0</v>
      </c>
      <c r="X238" s="19">
        <f>Industrie!H59</f>
        <v>106.49926448739254</v>
      </c>
      <c r="Y238" s="19">
        <v>0</v>
      </c>
      <c r="Z238" s="19">
        <v>0</v>
      </c>
      <c r="AA238" s="19">
        <f>Industrie!H61</f>
        <v>44.374693536413552</v>
      </c>
      <c r="AB238" s="19">
        <v>0</v>
      </c>
      <c r="AC238" s="19">
        <v>0</v>
      </c>
      <c r="AD238" s="19">
        <v>0</v>
      </c>
      <c r="AE238" s="19">
        <f>SUM(V238:AD238)</f>
        <v>150.8739580238061</v>
      </c>
    </row>
    <row r="239" spans="2:32">
      <c r="B239" s="24" t="s">
        <v>47</v>
      </c>
      <c r="C239" s="15">
        <v>0</v>
      </c>
      <c r="D239" s="15">
        <v>0</v>
      </c>
      <c r="E239" s="15">
        <f t="shared" ref="E239:S239" si="60">SUM(E237:E238)</f>
        <v>1228.5129506377534</v>
      </c>
      <c r="F239" s="15">
        <f t="shared" si="60"/>
        <v>0</v>
      </c>
      <c r="G239" s="15">
        <f t="shared" si="60"/>
        <v>0</v>
      </c>
      <c r="H239" s="15"/>
      <c r="I239" s="15"/>
      <c r="J239" s="15"/>
      <c r="K239" s="15"/>
      <c r="L239" s="15"/>
      <c r="M239" s="15"/>
      <c r="N239" s="15"/>
      <c r="O239" s="15">
        <f t="shared" si="60"/>
        <v>24.177279710430611</v>
      </c>
      <c r="P239" s="15">
        <f t="shared" si="60"/>
        <v>1232.6464007361753</v>
      </c>
      <c r="Q239" s="15">
        <f t="shared" si="60"/>
        <v>0</v>
      </c>
      <c r="R239" s="15">
        <f t="shared" si="60"/>
        <v>0</v>
      </c>
      <c r="S239" s="15">
        <f t="shared" si="60"/>
        <v>2485.3366310843589</v>
      </c>
      <c r="T239" s="27">
        <f>SUM(C239:R239)</f>
        <v>2485.3366310843594</v>
      </c>
      <c r="U239" s="24" t="s">
        <v>47</v>
      </c>
      <c r="V239" s="15">
        <v>0</v>
      </c>
      <c r="W239" s="15">
        <v>0</v>
      </c>
      <c r="X239" s="15">
        <f t="shared" ref="X239:AE239" si="61">SUM(X237:X238)</f>
        <v>498.2369161061481</v>
      </c>
      <c r="Y239" s="15">
        <f t="shared" si="61"/>
        <v>0</v>
      </c>
      <c r="Z239" s="15">
        <f t="shared" si="61"/>
        <v>0</v>
      </c>
      <c r="AA239" s="15">
        <f t="shared" si="61"/>
        <v>133.70350094068104</v>
      </c>
      <c r="AB239" s="15">
        <f t="shared" si="61"/>
        <v>1105.834511856121</v>
      </c>
      <c r="AC239" s="15">
        <f t="shared" si="61"/>
        <v>0</v>
      </c>
      <c r="AD239" s="15">
        <f t="shared" si="61"/>
        <v>0</v>
      </c>
      <c r="AE239" s="15">
        <f t="shared" si="61"/>
        <v>1737.7749289029503</v>
      </c>
      <c r="AF239" s="27">
        <f>SUM(V239:AD239)</f>
        <v>1737.7749289029503</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11"/>
      <c r="I243" s="211"/>
      <c r="J243" s="211"/>
      <c r="K243" s="211"/>
      <c r="L243" s="211"/>
      <c r="M243" s="211"/>
      <c r="N243" s="211"/>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67.296353731210047</v>
      </c>
      <c r="F255" s="11">
        <v>0</v>
      </c>
      <c r="G255" s="11">
        <f>(P255-Q255)*$X$48*('Prod Energie'!I40+'Prod Energie'!D39)</f>
        <v>1156.1589320905987</v>
      </c>
      <c r="H255" s="11"/>
      <c r="I255" s="11"/>
      <c r="J255" s="11"/>
      <c r="K255" s="11"/>
      <c r="L255" s="11"/>
      <c r="M255" s="11"/>
      <c r="N255" s="11"/>
      <c r="O255" s="11">
        <f>(P255-Q255)*$X$48*('Prod Energie'!I38)</f>
        <v>469.48446961136113</v>
      </c>
      <c r="P255" s="11">
        <f>P260/(1+$P$48+$Q$48)</f>
        <v>-1446.5435451855008</v>
      </c>
      <c r="Q255" s="11">
        <f>Q260/(1+$D$48)</f>
        <v>0</v>
      </c>
      <c r="R255" s="11">
        <v>0</v>
      </c>
      <c r="S255" s="11">
        <f t="shared" si="66"/>
        <v>246.39621024766916</v>
      </c>
      <c r="U255" s="22" t="s">
        <v>35</v>
      </c>
      <c r="V255" s="11">
        <f>(AB255-AC255)*$X$48*('Prod Energie'!I53)</f>
        <v>0</v>
      </c>
      <c r="W255" s="11">
        <v>0</v>
      </c>
      <c r="X255" s="11">
        <f>(AB255-AC255)*$X$48*('Prod Energie'!I54)</f>
        <v>0</v>
      </c>
      <c r="Y255" s="11">
        <v>0</v>
      </c>
      <c r="Z255" s="11">
        <f>(AB255-AC255)*$X$48*('Prod Energie'!I61+'Prod Energie'!D60)</f>
        <v>1068.5646378427368</v>
      </c>
      <c r="AA255" s="11">
        <f>(AB255-AC255)*$X$48*('Prod Energie'!I59)</f>
        <v>607.35419402821879</v>
      </c>
      <c r="AB255" s="11">
        <f>AB260/(1+$P$48+$Q$48)</f>
        <v>-1288.2009826081978</v>
      </c>
      <c r="AC255" s="11">
        <f>AC260/(1+$D$48)</f>
        <v>0</v>
      </c>
      <c r="AD255" s="11">
        <v>0</v>
      </c>
      <c r="AE255" s="11">
        <f t="shared" si="67"/>
        <v>387.71784926275791</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17.273605328704249</v>
      </c>
      <c r="Q258" s="11">
        <v>0</v>
      </c>
      <c r="R258" s="11">
        <v>0</v>
      </c>
      <c r="S258" s="11">
        <f t="shared" si="66"/>
        <v>17.273605328704249</v>
      </c>
      <c r="U258" s="22" t="s">
        <v>38</v>
      </c>
      <c r="V258" s="11">
        <v>0</v>
      </c>
      <c r="W258" s="11">
        <v>0</v>
      </c>
      <c r="X258" s="11">
        <v>0</v>
      </c>
      <c r="Y258" s="11">
        <v>0</v>
      </c>
      <c r="Z258" s="11">
        <v>0</v>
      </c>
      <c r="AA258" s="11">
        <v>0</v>
      </c>
      <c r="AB258" s="11">
        <f>AB255*$P$48</f>
        <v>15.382789845271819</v>
      </c>
      <c r="AC258" s="11">
        <v>0</v>
      </c>
      <c r="AD258" s="11">
        <v>0</v>
      </c>
      <c r="AE258" s="11">
        <f t="shared" si="67"/>
        <v>15.382789845271819</v>
      </c>
    </row>
    <row r="259" spans="2:32">
      <c r="B259" s="22" t="s">
        <v>39</v>
      </c>
      <c r="C259" s="11">
        <v>0</v>
      </c>
      <c r="D259" s="11">
        <v>0</v>
      </c>
      <c r="E259" s="11">
        <v>0</v>
      </c>
      <c r="F259" s="11">
        <v>0</v>
      </c>
      <c r="G259" s="11">
        <v>0</v>
      </c>
      <c r="H259" s="11"/>
      <c r="I259" s="11"/>
      <c r="J259" s="11"/>
      <c r="K259" s="11"/>
      <c r="L259" s="11"/>
      <c r="M259" s="11"/>
      <c r="N259" s="11"/>
      <c r="O259" s="11">
        <v>0</v>
      </c>
      <c r="P259" s="11">
        <f>P255*$Q$48</f>
        <v>92.511802328576167</v>
      </c>
      <c r="Q259" s="11">
        <f>Q255*$D$48</f>
        <v>0</v>
      </c>
      <c r="R259" s="11">
        <v>0</v>
      </c>
      <c r="S259" s="11">
        <f t="shared" si="66"/>
        <v>92.511802328576167</v>
      </c>
      <c r="U259" s="22" t="s">
        <v>39</v>
      </c>
      <c r="V259" s="11">
        <v>0</v>
      </c>
      <c r="W259" s="11">
        <v>0</v>
      </c>
      <c r="X259" s="11">
        <v>0</v>
      </c>
      <c r="Y259" s="11">
        <v>0</v>
      </c>
      <c r="Z259" s="11">
        <v>0</v>
      </c>
      <c r="AA259" s="11">
        <v>0</v>
      </c>
      <c r="AB259" s="11">
        <f>AB255*$Q$48</f>
        <v>82.385210634806469</v>
      </c>
      <c r="AC259" s="11">
        <f>AC255*$D$48</f>
        <v>0</v>
      </c>
      <c r="AD259" s="11">
        <v>0</v>
      </c>
      <c r="AE259" s="11">
        <f t="shared" si="67"/>
        <v>82.385210634806469</v>
      </c>
    </row>
    <row r="260" spans="2:32">
      <c r="B260" s="24" t="s">
        <v>40</v>
      </c>
      <c r="C260" s="15">
        <f t="shared" ref="C260:O260" si="68">SUM(C254:C259)</f>
        <v>0</v>
      </c>
      <c r="D260" s="15">
        <f t="shared" si="68"/>
        <v>0</v>
      </c>
      <c r="E260" s="15">
        <f t="shared" si="68"/>
        <v>67.296353731210047</v>
      </c>
      <c r="F260" s="15">
        <f t="shared" si="68"/>
        <v>0</v>
      </c>
      <c r="G260" s="15">
        <f t="shared" si="68"/>
        <v>1156.1589320905987</v>
      </c>
      <c r="H260" s="15"/>
      <c r="I260" s="15"/>
      <c r="J260" s="15"/>
      <c r="K260" s="15"/>
      <c r="L260" s="15"/>
      <c r="M260" s="15"/>
      <c r="N260" s="15"/>
      <c r="O260" s="15">
        <f t="shared" si="68"/>
        <v>469.48446961136113</v>
      </c>
      <c r="P260" s="15">
        <f>-P268</f>
        <v>-1336.7581375282205</v>
      </c>
      <c r="Q260" s="15">
        <f>-Q268</f>
        <v>0</v>
      </c>
      <c r="R260" s="15">
        <v>0</v>
      </c>
      <c r="S260" s="15">
        <f t="shared" si="66"/>
        <v>356.18161790494946</v>
      </c>
      <c r="U260" s="24" t="s">
        <v>40</v>
      </c>
      <c r="V260" s="15">
        <f t="shared" ref="V260:AA260" si="69">SUM(V254:V259)</f>
        <v>0</v>
      </c>
      <c r="W260" s="15">
        <f t="shared" si="69"/>
        <v>0</v>
      </c>
      <c r="X260" s="15">
        <f t="shared" si="69"/>
        <v>0</v>
      </c>
      <c r="Y260" s="15">
        <f t="shared" si="69"/>
        <v>0</v>
      </c>
      <c r="Z260" s="15">
        <f t="shared" si="69"/>
        <v>1068.5646378427368</v>
      </c>
      <c r="AA260" s="15">
        <f t="shared" si="69"/>
        <v>607.35419402821879</v>
      </c>
      <c r="AB260" s="15">
        <f>-AB268</f>
        <v>-1190.4329821281196</v>
      </c>
      <c r="AC260" s="15">
        <f>-AC268</f>
        <v>0</v>
      </c>
      <c r="AD260" s="15">
        <v>0</v>
      </c>
      <c r="AE260" s="15">
        <f t="shared" si="67"/>
        <v>485.48584974283608</v>
      </c>
    </row>
    <row r="261" spans="2:32">
      <c r="B261" s="22" t="s">
        <v>41</v>
      </c>
      <c r="C261" s="11">
        <v>0</v>
      </c>
      <c r="D261" s="11">
        <v>0</v>
      </c>
      <c r="E261" s="11">
        <f>Industrie!I35</f>
        <v>20.016768485753552</v>
      </c>
      <c r="F261" s="11">
        <v>0</v>
      </c>
      <c r="G261" s="11">
        <v>0</v>
      </c>
      <c r="H261" s="11"/>
      <c r="I261" s="11"/>
      <c r="J261" s="11"/>
      <c r="K261" s="11"/>
      <c r="L261" s="11"/>
      <c r="M261" s="11"/>
      <c r="N261" s="11"/>
      <c r="O261" s="11">
        <f>Industrie!I38</f>
        <v>1.7305837711395931</v>
      </c>
      <c r="P261" s="11">
        <f>Industrie!I36</f>
        <v>51.028808308918947</v>
      </c>
      <c r="Q261" s="11">
        <f>Industrie!I39</f>
        <v>0</v>
      </c>
      <c r="R261" s="11">
        <v>0</v>
      </c>
      <c r="S261" s="11">
        <f t="shared" si="66"/>
        <v>72.776160565812091</v>
      </c>
      <c r="U261" s="22" t="s">
        <v>41</v>
      </c>
      <c r="V261" s="11">
        <v>0</v>
      </c>
      <c r="W261" s="11">
        <v>0</v>
      </c>
      <c r="X261" s="11">
        <f>Industrie!I56</f>
        <v>0</v>
      </c>
      <c r="Y261" s="11">
        <v>0</v>
      </c>
      <c r="Z261" s="11">
        <v>0</v>
      </c>
      <c r="AA261" s="11">
        <f>Industrie!I62</f>
        <v>9.8484954348063098</v>
      </c>
      <c r="AB261" s="11">
        <f>Industrie!I57</f>
        <v>50.319736236156537</v>
      </c>
      <c r="AC261" s="11">
        <f>Industrie!I63</f>
        <v>0</v>
      </c>
      <c r="AD261" s="11">
        <v>0</v>
      </c>
      <c r="AE261" s="11">
        <f t="shared" si="67"/>
        <v>60.168231670962847</v>
      </c>
    </row>
    <row r="262" spans="2:32">
      <c r="B262" s="22" t="s">
        <v>42</v>
      </c>
      <c r="C262" s="11">
        <v>0</v>
      </c>
      <c r="D262" s="11">
        <v>0</v>
      </c>
      <c r="E262" s="11">
        <f>Transports!K44</f>
        <v>959.12099600759393</v>
      </c>
      <c r="F262" s="11">
        <v>0</v>
      </c>
      <c r="G262" s="11">
        <v>0</v>
      </c>
      <c r="H262" s="11"/>
      <c r="I262" s="11"/>
      <c r="J262" s="11"/>
      <c r="K262" s="11"/>
      <c r="L262" s="11"/>
      <c r="M262" s="11"/>
      <c r="N262" s="11"/>
      <c r="O262" s="11">
        <v>0</v>
      </c>
      <c r="P262" s="11">
        <f>Transports!K45</f>
        <v>201.76115107693192</v>
      </c>
      <c r="Q262" s="11">
        <v>0</v>
      </c>
      <c r="R262" s="11">
        <v>0</v>
      </c>
      <c r="S262" s="11">
        <f>Transports!K46</f>
        <v>1160.882147084526</v>
      </c>
      <c r="U262" s="22" t="s">
        <v>42</v>
      </c>
      <c r="V262" s="11">
        <v>0</v>
      </c>
      <c r="W262" s="11">
        <v>0</v>
      </c>
      <c r="X262" s="11">
        <f>Transports!K71</f>
        <v>229.02245524313935</v>
      </c>
      <c r="Y262" s="11">
        <v>0</v>
      </c>
      <c r="Z262" s="11">
        <v>0</v>
      </c>
      <c r="AA262" s="11">
        <v>0</v>
      </c>
      <c r="AB262" s="11">
        <f>Transports!K72</f>
        <v>507.42904660677834</v>
      </c>
      <c r="AC262" s="11">
        <v>0</v>
      </c>
      <c r="AD262" s="11">
        <v>0</v>
      </c>
      <c r="AE262" s="11">
        <f>Transports!K73</f>
        <v>736.45150184991769</v>
      </c>
    </row>
    <row r="263" spans="2:32">
      <c r="B263" s="22" t="s">
        <v>43</v>
      </c>
      <c r="C263" s="11">
        <v>0</v>
      </c>
      <c r="D263" s="11">
        <v>0</v>
      </c>
      <c r="E263" s="11">
        <f>'Résidentiel-tertiaire'!I163</f>
        <v>69.744974739710429</v>
      </c>
      <c r="F263" s="11">
        <v>0</v>
      </c>
      <c r="G263" s="11">
        <v>0</v>
      </c>
      <c r="H263" s="11"/>
      <c r="I263" s="11"/>
      <c r="J263" s="11"/>
      <c r="K263" s="11"/>
      <c r="L263" s="11"/>
      <c r="M263" s="11"/>
      <c r="N263" s="11"/>
      <c r="O263" s="11">
        <f>'Résidentiel-tertiaire'!I164</f>
        <v>23.411179312037117</v>
      </c>
      <c r="P263" s="11">
        <f>'Résidentiel-tertiaire'!I165</f>
        <v>337.00272980667222</v>
      </c>
      <c r="Q263" s="11">
        <v>0</v>
      </c>
      <c r="R263" s="11">
        <v>0</v>
      </c>
      <c r="S263" s="11">
        <f>SUM(C263:R263)</f>
        <v>430.15888385841976</v>
      </c>
      <c r="U263" s="22" t="s">
        <v>43</v>
      </c>
      <c r="V263" s="11">
        <v>0</v>
      </c>
      <c r="W263" s="11">
        <v>0</v>
      </c>
      <c r="X263" s="11">
        <f>'Résidentiel-tertiaire'!I177</f>
        <v>0</v>
      </c>
      <c r="Y263" s="11">
        <v>0</v>
      </c>
      <c r="Z263" s="11">
        <v>0</v>
      </c>
      <c r="AA263" s="11">
        <f>'Résidentiel-tertiaire'!I178</f>
        <v>29.402438346613167</v>
      </c>
      <c r="AB263" s="11">
        <f>'Résidentiel-tertiaire'!I179</f>
        <v>241.81670849314668</v>
      </c>
      <c r="AC263" s="11">
        <v>0</v>
      </c>
      <c r="AD263" s="11">
        <v>0</v>
      </c>
      <c r="AE263" s="11">
        <f>SUM(V263:AD263)</f>
        <v>271.21914683975984</v>
      </c>
    </row>
    <row r="264" spans="2:32">
      <c r="B264" s="22" t="s">
        <v>44</v>
      </c>
      <c r="C264" s="11">
        <v>0</v>
      </c>
      <c r="D264" s="11">
        <v>0</v>
      </c>
      <c r="E264" s="11">
        <f>'Résidentiel-tertiaire'!I168</f>
        <v>0</v>
      </c>
      <c r="F264" s="11">
        <v>0</v>
      </c>
      <c r="G264" s="11">
        <v>0</v>
      </c>
      <c r="H264" s="11"/>
      <c r="I264" s="11"/>
      <c r="J264" s="11"/>
      <c r="K264" s="11"/>
      <c r="L264" s="11"/>
      <c r="M264" s="11"/>
      <c r="N264" s="11"/>
      <c r="O264" s="11">
        <f>'Résidentiel-tertiaire'!I169</f>
        <v>0.47801632239956604</v>
      </c>
      <c r="P264" s="11">
        <f>'Résidentiel-tertiaire'!I170</f>
        <v>746.3601406814272</v>
      </c>
      <c r="Q264" s="11">
        <v>0</v>
      </c>
      <c r="R264" s="11">
        <v>0</v>
      </c>
      <c r="S264" s="11">
        <f>SUM(C264:R264)</f>
        <v>746.83815700382672</v>
      </c>
      <c r="U264" s="22" t="s">
        <v>44</v>
      </c>
      <c r="V264" s="11">
        <v>0</v>
      </c>
      <c r="W264" s="11">
        <v>0</v>
      </c>
      <c r="X264" s="11">
        <f>'Résidentiel-tertiaire'!I182</f>
        <v>0</v>
      </c>
      <c r="Y264" s="11">
        <v>0</v>
      </c>
      <c r="Z264" s="11">
        <v>0</v>
      </c>
      <c r="AA264" s="11">
        <f>'Résidentiel-tertiaire'!I183</f>
        <v>0.25029957857628793</v>
      </c>
      <c r="AB264" s="11">
        <f>'Résidentiel-tertiaire'!I184</f>
        <v>390.81014585637047</v>
      </c>
      <c r="AC264" s="11">
        <v>0</v>
      </c>
      <c r="AD264" s="11">
        <v>0</v>
      </c>
      <c r="AE264" s="11">
        <f>SUM(V264:AD264)</f>
        <v>391.06044543494676</v>
      </c>
    </row>
    <row r="265" spans="2:32">
      <c r="B265" s="22" t="s">
        <v>4</v>
      </c>
      <c r="C265" s="11">
        <v>0</v>
      </c>
      <c r="D265" s="11">
        <v>0</v>
      </c>
      <c r="E265" s="11">
        <f>Agriculture!Y27</f>
        <v>70.63413083333333</v>
      </c>
      <c r="F265" s="11">
        <v>0</v>
      </c>
      <c r="G265" s="11">
        <v>0</v>
      </c>
      <c r="H265" s="11"/>
      <c r="I265" s="11"/>
      <c r="J265" s="11"/>
      <c r="K265" s="11"/>
      <c r="L265" s="11"/>
      <c r="M265" s="11"/>
      <c r="N265" s="11"/>
      <c r="O265" s="11">
        <v>0</v>
      </c>
      <c r="P265" s="11">
        <f>Agriculture!Y28</f>
        <v>0.60530765427002464</v>
      </c>
      <c r="Q265" s="11">
        <v>0</v>
      </c>
      <c r="R265" s="11">
        <v>0</v>
      </c>
      <c r="S265" s="11">
        <f>SUM(C265:R265)</f>
        <v>71.239438487603351</v>
      </c>
      <c r="U265" s="22" t="s">
        <v>4</v>
      </c>
      <c r="V265" s="11">
        <v>0</v>
      </c>
      <c r="W265" s="11">
        <v>0</v>
      </c>
      <c r="X265" s="11">
        <f>Agriculture!AG43</f>
        <v>0</v>
      </c>
      <c r="Y265" s="11">
        <v>0</v>
      </c>
      <c r="Z265" s="11">
        <v>0</v>
      </c>
      <c r="AA265" s="11">
        <f>Agriculture!AG45</f>
        <v>60.224890500000001</v>
      </c>
      <c r="AB265" s="11">
        <f>Agriculture!AG44</f>
        <v>5.7344935667686552E-2</v>
      </c>
      <c r="AC265" s="11">
        <v>0</v>
      </c>
      <c r="AD265" s="11">
        <v>0</v>
      </c>
      <c r="AE265" s="11">
        <f>SUM(V265:AD265)</f>
        <v>60.282235435667687</v>
      </c>
    </row>
    <row r="266" spans="2:32">
      <c r="B266" s="26" t="s">
        <v>45</v>
      </c>
      <c r="C266" s="19">
        <v>0</v>
      </c>
      <c r="D266" s="19">
        <v>0</v>
      </c>
      <c r="E266" s="19">
        <f t="shared" ref="E266:S266" si="70">SUM(E261:E265)</f>
        <v>1119.5168700663912</v>
      </c>
      <c r="F266" s="19">
        <f t="shared" si="70"/>
        <v>0</v>
      </c>
      <c r="G266" s="19">
        <f t="shared" si="70"/>
        <v>0</v>
      </c>
      <c r="H266" s="19"/>
      <c r="I266" s="19"/>
      <c r="J266" s="19"/>
      <c r="K266" s="19"/>
      <c r="L266" s="19"/>
      <c r="M266" s="19"/>
      <c r="N266" s="19"/>
      <c r="O266" s="19">
        <f t="shared" si="70"/>
        <v>25.619779405576274</v>
      </c>
      <c r="P266" s="19">
        <f t="shared" si="70"/>
        <v>1336.7581375282205</v>
      </c>
      <c r="Q266" s="19">
        <f t="shared" si="70"/>
        <v>0</v>
      </c>
      <c r="R266" s="19">
        <f t="shared" si="70"/>
        <v>0</v>
      </c>
      <c r="S266" s="19">
        <f t="shared" si="70"/>
        <v>2481.894787000188</v>
      </c>
      <c r="U266" s="26" t="s">
        <v>45</v>
      </c>
      <c r="V266" s="19">
        <v>0</v>
      </c>
      <c r="W266" s="19">
        <v>0</v>
      </c>
      <c r="X266" s="19">
        <f t="shared" ref="X266:AE266" si="71">SUM(X261:X265)</f>
        <v>229.02245524313935</v>
      </c>
      <c r="Y266" s="19">
        <f t="shared" si="71"/>
        <v>0</v>
      </c>
      <c r="Z266" s="19">
        <f t="shared" si="71"/>
        <v>0</v>
      </c>
      <c r="AA266" s="19">
        <f t="shared" si="71"/>
        <v>99.726123859995766</v>
      </c>
      <c r="AB266" s="19">
        <f t="shared" si="71"/>
        <v>1190.4329821281196</v>
      </c>
      <c r="AC266" s="19">
        <f t="shared" si="71"/>
        <v>0</v>
      </c>
      <c r="AD266" s="19">
        <f t="shared" si="71"/>
        <v>0</v>
      </c>
      <c r="AE266" s="19">
        <f t="shared" si="71"/>
        <v>1519.1815612312548</v>
      </c>
    </row>
    <row r="267" spans="2:32">
      <c r="B267" s="26" t="s">
        <v>46</v>
      </c>
      <c r="C267" s="19">
        <v>0</v>
      </c>
      <c r="D267" s="19">
        <v>0</v>
      </c>
      <c r="E267" s="19">
        <f>Industrie!I37</f>
        <v>115.20491581099249</v>
      </c>
      <c r="F267" s="19">
        <v>0</v>
      </c>
      <c r="G267" s="19">
        <v>0</v>
      </c>
      <c r="H267" s="19"/>
      <c r="I267" s="19"/>
      <c r="J267" s="19"/>
      <c r="K267" s="19"/>
      <c r="L267" s="19"/>
      <c r="M267" s="19"/>
      <c r="N267" s="19"/>
      <c r="O267" s="19">
        <v>0</v>
      </c>
      <c r="P267" s="19">
        <v>0</v>
      </c>
      <c r="Q267" s="19">
        <v>0</v>
      </c>
      <c r="R267" s="19">
        <v>0</v>
      </c>
      <c r="S267" s="19">
        <f>SUM(C267:R267)</f>
        <v>115.20491581099249</v>
      </c>
      <c r="U267" s="26" t="s">
        <v>46</v>
      </c>
      <c r="V267" s="19">
        <v>0</v>
      </c>
      <c r="W267" s="19">
        <v>0</v>
      </c>
      <c r="X267" s="19">
        <f>Industrie!I59</f>
        <v>115.20491581099249</v>
      </c>
      <c r="Y267" s="19">
        <v>0</v>
      </c>
      <c r="Z267" s="19">
        <v>0</v>
      </c>
      <c r="AA267" s="19">
        <f>Industrie!I61</f>
        <v>57.602457905496244</v>
      </c>
      <c r="AB267" s="19">
        <v>0</v>
      </c>
      <c r="AC267" s="19">
        <v>0</v>
      </c>
      <c r="AD267" s="19">
        <v>0</v>
      </c>
      <c r="AE267" s="19">
        <f>SUM(V267:AD267)</f>
        <v>172.80737371648874</v>
      </c>
    </row>
    <row r="268" spans="2:32">
      <c r="B268" s="24" t="s">
        <v>47</v>
      </c>
      <c r="C268" s="15">
        <v>0</v>
      </c>
      <c r="D268" s="15">
        <v>0</v>
      </c>
      <c r="E268" s="15">
        <f t="shared" ref="E268:S268" si="72">SUM(E266:E267)</f>
        <v>1234.7217858773838</v>
      </c>
      <c r="F268" s="15">
        <f t="shared" si="72"/>
        <v>0</v>
      </c>
      <c r="G268" s="15">
        <f t="shared" si="72"/>
        <v>0</v>
      </c>
      <c r="H268" s="15"/>
      <c r="I268" s="15"/>
      <c r="J268" s="15"/>
      <c r="K268" s="15"/>
      <c r="L268" s="15"/>
      <c r="M268" s="15"/>
      <c r="N268" s="15"/>
      <c r="O268" s="15">
        <f t="shared" si="72"/>
        <v>25.619779405576274</v>
      </c>
      <c r="P268" s="15">
        <f t="shared" si="72"/>
        <v>1336.7581375282205</v>
      </c>
      <c r="Q268" s="15">
        <f t="shared" si="72"/>
        <v>0</v>
      </c>
      <c r="R268" s="15">
        <f t="shared" si="72"/>
        <v>0</v>
      </c>
      <c r="S268" s="15">
        <f t="shared" si="72"/>
        <v>2597.0997028111806</v>
      </c>
      <c r="T268" s="27">
        <f>SUM(C268:R268)</f>
        <v>2597.0997028111806</v>
      </c>
      <c r="U268" s="24" t="s">
        <v>47</v>
      </c>
      <c r="V268" s="15">
        <v>0</v>
      </c>
      <c r="W268" s="15">
        <v>0</v>
      </c>
      <c r="X268" s="15">
        <f t="shared" ref="X268:AE268" si="73">SUM(X266:X267)</f>
        <v>344.22737105413182</v>
      </c>
      <c r="Y268" s="15">
        <f t="shared" si="73"/>
        <v>0</v>
      </c>
      <c r="Z268" s="15">
        <f t="shared" si="73"/>
        <v>0</v>
      </c>
      <c r="AA268" s="15">
        <f t="shared" si="73"/>
        <v>157.328581765492</v>
      </c>
      <c r="AB268" s="15">
        <f t="shared" si="73"/>
        <v>1190.4329821281196</v>
      </c>
      <c r="AC268" s="15">
        <f t="shared" si="73"/>
        <v>0</v>
      </c>
      <c r="AD268" s="15">
        <f t="shared" si="73"/>
        <v>0</v>
      </c>
      <c r="AE268" s="15">
        <f t="shared" si="73"/>
        <v>1691.9889349477435</v>
      </c>
      <c r="AF268" s="27">
        <f>SUM(V268:AD268)</f>
        <v>1691.9889349477435</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X34"/>
  <sheetViews>
    <sheetView tabSelected="1" topLeftCell="A4" zoomScaleNormal="100" workbookViewId="0">
      <selection activeCell="L14" sqref="L14"/>
    </sheetView>
  </sheetViews>
  <sheetFormatPr baseColWidth="10" defaultColWidth="8.88671875" defaultRowHeight="14.4"/>
  <cols>
    <col min="1" max="1" width="18.5546875" customWidth="1"/>
    <col min="2" max="1025" width="10.44140625" customWidth="1"/>
  </cols>
  <sheetData>
    <row r="2" spans="1:24">
      <c r="A2" s="447" t="s">
        <v>55</v>
      </c>
      <c r="B2" s="447"/>
      <c r="C2" s="447"/>
      <c r="D2" s="447"/>
      <c r="E2" s="447"/>
      <c r="F2" s="447"/>
      <c r="G2" s="447"/>
      <c r="H2" s="447"/>
      <c r="I2" s="447"/>
      <c r="P2" s="447" t="s">
        <v>148</v>
      </c>
      <c r="Q2" s="447"/>
      <c r="R2" s="447"/>
      <c r="S2" s="447"/>
      <c r="T2" s="447"/>
      <c r="U2" s="447"/>
      <c r="V2" s="447"/>
      <c r="W2" s="447"/>
      <c r="X2" s="447"/>
    </row>
    <row r="4" spans="1:24">
      <c r="B4" s="30">
        <v>2010</v>
      </c>
      <c r="C4" s="30">
        <v>2011</v>
      </c>
      <c r="D4" s="30">
        <v>2012</v>
      </c>
      <c r="E4" s="30">
        <v>2013</v>
      </c>
      <c r="F4" s="30">
        <v>2014</v>
      </c>
      <c r="G4" s="30">
        <v>2015</v>
      </c>
      <c r="H4" s="30">
        <v>2016</v>
      </c>
      <c r="I4" s="30">
        <v>2017</v>
      </c>
      <c r="J4" s="30">
        <v>2018</v>
      </c>
      <c r="K4" s="30">
        <v>2019</v>
      </c>
      <c r="L4" s="204">
        <v>2020</v>
      </c>
      <c r="M4" s="237" t="s">
        <v>390</v>
      </c>
      <c r="Q4" s="404">
        <v>2015</v>
      </c>
      <c r="R4" s="404">
        <v>2017</v>
      </c>
      <c r="S4" s="404">
        <v>2025</v>
      </c>
      <c r="T4" s="404">
        <v>2030</v>
      </c>
      <c r="U4" s="404">
        <v>2035</v>
      </c>
      <c r="V4" s="404">
        <v>2040</v>
      </c>
      <c r="W4" s="404">
        <v>2045</v>
      </c>
      <c r="X4" s="404">
        <v>2050</v>
      </c>
    </row>
    <row r="5" spans="1:24">
      <c r="A5" s="30" t="s">
        <v>301</v>
      </c>
      <c r="B5" s="406">
        <f t="shared" ref="B5:K5" si="0">B7-B6</f>
        <v>3339.2394223347801</v>
      </c>
      <c r="C5" s="406">
        <f t="shared" si="0"/>
        <v>3322.0848530057801</v>
      </c>
      <c r="D5" s="406">
        <f t="shared" si="0"/>
        <v>3418.8016857914399</v>
      </c>
      <c r="E5" s="406">
        <f t="shared" si="0"/>
        <v>3162.5904058684</v>
      </c>
      <c r="F5" s="406">
        <f t="shared" si="0"/>
        <v>3325.09066089721</v>
      </c>
      <c r="G5" s="406">
        <f t="shared" si="0"/>
        <v>3305.6272298764002</v>
      </c>
      <c r="H5" s="406">
        <f t="shared" si="0"/>
        <v>3202.3874096725599</v>
      </c>
      <c r="I5" s="406">
        <f t="shared" si="0"/>
        <v>3083.5916336878199</v>
      </c>
      <c r="J5" s="406">
        <f t="shared" si="0"/>
        <v>3118.1166160386501</v>
      </c>
      <c r="K5" s="406">
        <f t="shared" si="0"/>
        <v>3071.8496502840899</v>
      </c>
      <c r="L5" s="30"/>
      <c r="M5" s="288" t="s">
        <v>329</v>
      </c>
      <c r="P5" s="228" t="s">
        <v>301</v>
      </c>
      <c r="Q5" s="228">
        <v>3261</v>
      </c>
      <c r="R5" s="228">
        <v>3169</v>
      </c>
      <c r="S5" s="228"/>
      <c r="T5" s="228"/>
      <c r="U5" s="228"/>
      <c r="V5" s="228"/>
      <c r="W5" s="228"/>
      <c r="X5" s="275" t="s">
        <v>472</v>
      </c>
    </row>
    <row r="6" spans="1:24">
      <c r="A6" s="228" t="s">
        <v>452</v>
      </c>
      <c r="B6" s="228">
        <v>391</v>
      </c>
      <c r="C6" s="228">
        <v>366</v>
      </c>
      <c r="D6" s="228">
        <v>345</v>
      </c>
      <c r="E6" s="228">
        <v>328</v>
      </c>
      <c r="F6" s="228">
        <v>312</v>
      </c>
      <c r="G6" s="228">
        <v>300</v>
      </c>
      <c r="H6" s="228">
        <v>289</v>
      </c>
      <c r="I6" s="228">
        <v>279</v>
      </c>
      <c r="J6" s="228">
        <v>271</v>
      </c>
      <c r="K6" s="228">
        <v>264</v>
      </c>
      <c r="L6" s="237"/>
      <c r="M6" s="237"/>
      <c r="P6" s="228" t="s">
        <v>454</v>
      </c>
      <c r="Q6" s="228">
        <v>300</v>
      </c>
      <c r="R6" s="228">
        <v>295</v>
      </c>
      <c r="S6" s="228"/>
      <c r="T6" s="228"/>
      <c r="U6" s="228"/>
      <c r="V6" s="228"/>
      <c r="W6" s="228"/>
      <c r="X6" s="228">
        <v>36</v>
      </c>
    </row>
    <row r="7" spans="1:24">
      <c r="A7" s="405" t="s">
        <v>280</v>
      </c>
      <c r="B7" s="356">
        <f>[2]GES!V15</f>
        <v>3730.2394223347801</v>
      </c>
      <c r="C7" s="356">
        <f>[2]GES!W15</f>
        <v>3688.0848530057801</v>
      </c>
      <c r="D7" s="356">
        <f>[2]GES!X15</f>
        <v>3763.8016857914399</v>
      </c>
      <c r="E7" s="356">
        <f>[2]GES!Y15</f>
        <v>3490.5904058684</v>
      </c>
      <c r="F7" s="356">
        <f>[2]GES!Z15</f>
        <v>3637.09066089721</v>
      </c>
      <c r="G7" s="356">
        <f>[2]GES!AA15</f>
        <v>3605.6272298764002</v>
      </c>
      <c r="H7" s="356">
        <f>[2]GES!AB15</f>
        <v>3491.3874096725599</v>
      </c>
      <c r="I7" s="356">
        <f>[2]GES!AC15</f>
        <v>3362.5916336878199</v>
      </c>
      <c r="J7" s="356">
        <f>[2]GES!AD15</f>
        <v>3389.1166160386501</v>
      </c>
      <c r="K7" s="356">
        <f>[2]GES!AE15</f>
        <v>3335.8496502840899</v>
      </c>
      <c r="L7" s="237"/>
      <c r="M7" s="237"/>
      <c r="P7" s="405" t="s">
        <v>280</v>
      </c>
      <c r="Q7" s="409" t="s">
        <v>473</v>
      </c>
      <c r="R7" s="409" t="s">
        <v>474</v>
      </c>
      <c r="S7" s="405"/>
      <c r="T7" s="405"/>
      <c r="U7" s="405"/>
      <c r="V7" s="405"/>
      <c r="W7" s="405"/>
      <c r="X7" s="409" t="s">
        <v>475</v>
      </c>
    </row>
    <row r="8" spans="1:24" ht="14.4" customHeight="1">
      <c r="A8" s="473" t="s">
        <v>453</v>
      </c>
      <c r="B8" s="473"/>
      <c r="C8" s="473"/>
      <c r="D8" s="473"/>
      <c r="E8" s="473"/>
      <c r="F8" s="473"/>
      <c r="G8" s="473"/>
      <c r="H8" s="473"/>
      <c r="I8" s="473"/>
      <c r="J8" s="473"/>
      <c r="K8" s="473"/>
      <c r="L8" s="473"/>
      <c r="M8" s="473"/>
    </row>
    <row r="9" spans="1:24">
      <c r="G9" s="403"/>
      <c r="H9" s="25"/>
    </row>
    <row r="10" spans="1:24">
      <c r="A10" s="447" t="s">
        <v>147</v>
      </c>
      <c r="B10" s="447"/>
      <c r="C10" s="447"/>
      <c r="D10" s="447"/>
      <c r="E10" s="447"/>
      <c r="F10" s="447"/>
      <c r="G10" s="447"/>
      <c r="H10" s="447"/>
      <c r="I10" s="447"/>
    </row>
    <row r="11" spans="1:24">
      <c r="P11" s="447" t="s">
        <v>151</v>
      </c>
      <c r="Q11" s="447"/>
      <c r="R11" s="447"/>
      <c r="S11" s="447"/>
      <c r="T11" s="447"/>
      <c r="U11" s="447"/>
      <c r="V11" s="447"/>
      <c r="W11" s="447"/>
      <c r="X11" s="447"/>
    </row>
    <row r="12" spans="1:24">
      <c r="B12" s="404">
        <v>2019</v>
      </c>
      <c r="C12" s="404">
        <v>2020</v>
      </c>
      <c r="D12" s="404">
        <v>2025</v>
      </c>
      <c r="E12" s="404">
        <v>2030</v>
      </c>
      <c r="F12" s="404">
        <v>2035</v>
      </c>
      <c r="G12" s="404">
        <v>2040</v>
      </c>
      <c r="H12" s="404">
        <v>2045</v>
      </c>
      <c r="I12" s="404">
        <v>2050</v>
      </c>
      <c r="J12" s="237" t="s">
        <v>390</v>
      </c>
      <c r="K12" t="s">
        <v>409</v>
      </c>
    </row>
    <row r="13" spans="1:24">
      <c r="A13" s="228" t="s">
        <v>301</v>
      </c>
      <c r="B13" s="391">
        <f>K5</f>
        <v>3071.8496502840899</v>
      </c>
      <c r="C13" s="391">
        <f>$B13+($I13-$B13)*1/31</f>
        <v>3092.7498984245849</v>
      </c>
      <c r="D13" s="391">
        <f>$B13+($I13-$B13)*6/31</f>
        <v>3197.25113912706</v>
      </c>
      <c r="E13" s="391">
        <f>$B13+($I13-$B13)*11/31</f>
        <v>3301.7523798295351</v>
      </c>
      <c r="F13" s="391">
        <f>$B13+($I13-$B13)*16/31</f>
        <v>3406.2536205320102</v>
      </c>
      <c r="G13" s="391">
        <f>$B13+($I13-$B13)*21/31</f>
        <v>3510.7548612344858</v>
      </c>
      <c r="H13" s="391">
        <f>$B13+($I13-$B13)*26/31</f>
        <v>3615.2561019369609</v>
      </c>
      <c r="I13" s="391">
        <f>G32</f>
        <v>3719.757342639436</v>
      </c>
      <c r="J13" s="288"/>
      <c r="K13" t="s">
        <v>410</v>
      </c>
      <c r="Q13" s="404">
        <v>2015</v>
      </c>
      <c r="R13" s="404">
        <v>2020</v>
      </c>
      <c r="S13" s="404">
        <v>2025</v>
      </c>
      <c r="T13" s="404">
        <v>2030</v>
      </c>
      <c r="U13" s="404">
        <v>2035</v>
      </c>
      <c r="V13" s="404">
        <v>2040</v>
      </c>
      <c r="W13" s="404">
        <v>2045</v>
      </c>
      <c r="X13" s="404">
        <v>2050</v>
      </c>
    </row>
    <row r="14" spans="1:24" ht="26.4" customHeight="1">
      <c r="A14" s="228" t="s">
        <v>454</v>
      </c>
      <c r="B14" s="391">
        <f>K6</f>
        <v>264</v>
      </c>
      <c r="C14" s="391">
        <f>$B14+($I14-$B14)*1/31</f>
        <v>259.12903225806451</v>
      </c>
      <c r="D14" s="391">
        <f>$B14+($I14-$B14)*6/31</f>
        <v>234.7741935483871</v>
      </c>
      <c r="E14" s="391">
        <f>$B14+($I14-$B14)*11/31</f>
        <v>210.41935483870969</v>
      </c>
      <c r="F14" s="391">
        <f>$B14+($I14-$B14)*16/31</f>
        <v>186.06451612903226</v>
      </c>
      <c r="G14" s="391">
        <f>$B14+($I14-$B14)*21/31</f>
        <v>161.70967741935482</v>
      </c>
      <c r="H14" s="391">
        <f>$B14+($I14-$B14)*26/31</f>
        <v>137.35483870967744</v>
      </c>
      <c r="I14" s="391">
        <v>113</v>
      </c>
      <c r="J14" s="407"/>
      <c r="P14" s="228" t="s">
        <v>301</v>
      </c>
      <c r="Q14" s="228">
        <v>3261</v>
      </c>
      <c r="R14" s="228"/>
      <c r="S14" s="228"/>
      <c r="T14" s="228"/>
      <c r="U14" s="228"/>
      <c r="V14" s="228"/>
      <c r="W14" s="228"/>
      <c r="X14" s="275" t="s">
        <v>476</v>
      </c>
    </row>
    <row r="15" spans="1:24">
      <c r="A15" s="405" t="s">
        <v>280</v>
      </c>
      <c r="B15" s="408">
        <f t="shared" ref="B15:I15" si="1">B14+B13</f>
        <v>3335.8496502840899</v>
      </c>
      <c r="C15" s="408">
        <f t="shared" si="1"/>
        <v>3351.8789306826493</v>
      </c>
      <c r="D15" s="408">
        <f t="shared" si="1"/>
        <v>3432.0253326754473</v>
      </c>
      <c r="E15" s="408">
        <f t="shared" si="1"/>
        <v>3512.1717346682449</v>
      </c>
      <c r="F15" s="408">
        <f t="shared" si="1"/>
        <v>3592.3181366610424</v>
      </c>
      <c r="G15" s="408">
        <f t="shared" si="1"/>
        <v>3672.4645386538405</v>
      </c>
      <c r="H15" s="408">
        <f t="shared" si="1"/>
        <v>3752.6109406466385</v>
      </c>
      <c r="I15" s="408">
        <f t="shared" si="1"/>
        <v>3832.757342639436</v>
      </c>
      <c r="P15" s="228" t="s">
        <v>454</v>
      </c>
      <c r="Q15" s="228">
        <v>300</v>
      </c>
      <c r="R15" s="228"/>
      <c r="S15" s="228"/>
      <c r="T15" s="228"/>
      <c r="U15" s="228"/>
      <c r="V15" s="228"/>
      <c r="W15" s="228"/>
      <c r="X15" s="228">
        <v>0</v>
      </c>
    </row>
    <row r="16" spans="1:24" ht="32.4" customHeight="1">
      <c r="A16" s="473" t="s">
        <v>455</v>
      </c>
      <c r="B16" s="473"/>
      <c r="C16" s="473"/>
      <c r="D16" s="473"/>
      <c r="E16" s="473"/>
      <c r="F16" s="473"/>
      <c r="G16" s="473"/>
      <c r="H16" s="473"/>
      <c r="I16" s="473"/>
      <c r="P16" s="405" t="s">
        <v>280</v>
      </c>
      <c r="Q16" s="409" t="s">
        <v>473</v>
      </c>
      <c r="R16" s="405"/>
      <c r="S16" s="405"/>
      <c r="T16" s="405"/>
      <c r="U16" s="405"/>
      <c r="V16" s="405"/>
      <c r="W16" s="405"/>
      <c r="X16" s="409" t="s">
        <v>476</v>
      </c>
    </row>
    <row r="17" spans="1:15">
      <c r="K17" s="410"/>
    </row>
    <row r="18" spans="1:15">
      <c r="A18" s="447" t="s">
        <v>150</v>
      </c>
      <c r="B18" s="447"/>
      <c r="C18" s="447"/>
      <c r="D18" s="447"/>
      <c r="E18" s="447"/>
      <c r="F18" s="447"/>
      <c r="G18" s="447"/>
      <c r="H18" s="447"/>
      <c r="I18" s="447"/>
    </row>
    <row r="20" spans="1:15">
      <c r="B20" s="404">
        <v>2019</v>
      </c>
      <c r="C20" s="404">
        <v>2020</v>
      </c>
      <c r="D20" s="404">
        <v>2025</v>
      </c>
      <c r="E20" s="404">
        <v>2030</v>
      </c>
      <c r="F20" s="404">
        <v>2035</v>
      </c>
      <c r="G20" s="404">
        <v>2040</v>
      </c>
      <c r="H20" s="404">
        <v>2045</v>
      </c>
      <c r="I20" s="404">
        <v>2050</v>
      </c>
    </row>
    <row r="21" spans="1:15">
      <c r="A21" s="228" t="s">
        <v>301</v>
      </c>
      <c r="B21" s="391">
        <f>B13</f>
        <v>3071.8496502840899</v>
      </c>
      <c r="C21" s="391">
        <f>C13</f>
        <v>3092.7498984245849</v>
      </c>
      <c r="D21" s="391">
        <f>$B21+($I21-$B21)*6/31</f>
        <v>2884.5046257349545</v>
      </c>
      <c r="E21" s="391">
        <f>$B21+($I21-$B21)*11/31</f>
        <v>2728.3837719440085</v>
      </c>
      <c r="F21" s="391">
        <f>$B21+($I21-$B21)*16/31</f>
        <v>2572.2629181530624</v>
      </c>
      <c r="G21" s="391">
        <f>$B21+($I21-$B21)*21/31</f>
        <v>2416.1420643621159</v>
      </c>
      <c r="H21" s="391">
        <f>$B21+($I21-$B21)*26/31</f>
        <v>2260.0212105711698</v>
      </c>
      <c r="I21" s="391">
        <f>O32</f>
        <v>2103.9003567802238</v>
      </c>
    </row>
    <row r="22" spans="1:15">
      <c r="A22" s="228" t="s">
        <v>454</v>
      </c>
      <c r="B22" s="391">
        <f>B14</f>
        <v>264</v>
      </c>
      <c r="C22" s="391">
        <f>C14</f>
        <v>259.12903225806451</v>
      </c>
      <c r="D22" s="391">
        <f>D14</f>
        <v>234.7741935483871</v>
      </c>
      <c r="E22" s="391">
        <f>$D22+($I22-$D22)*5/25</f>
        <v>187.81935483870967</v>
      </c>
      <c r="F22" s="391">
        <f>$D22+($I22-$D22)*10/25</f>
        <v>140.86451612903227</v>
      </c>
      <c r="G22" s="391">
        <f>$D22+($I22-$D22)*15/25</f>
        <v>93.909677419354836</v>
      </c>
      <c r="H22" s="391">
        <f>$D22+($I22-$D22)*20/25</f>
        <v>46.954838709677404</v>
      </c>
      <c r="I22" s="228">
        <v>0</v>
      </c>
    </row>
    <row r="23" spans="1:15">
      <c r="A23" s="405" t="s">
        <v>280</v>
      </c>
      <c r="B23" s="408">
        <f t="shared" ref="B23:I23" si="2">B21+B22</f>
        <v>3335.8496502840899</v>
      </c>
      <c r="C23" s="408">
        <f t="shared" si="2"/>
        <v>3351.8789306826493</v>
      </c>
      <c r="D23" s="408">
        <f t="shared" si="2"/>
        <v>3119.2788192833418</v>
      </c>
      <c r="E23" s="408">
        <f t="shared" si="2"/>
        <v>2916.2031267827183</v>
      </c>
      <c r="F23" s="408">
        <f t="shared" si="2"/>
        <v>2713.1274342820948</v>
      </c>
      <c r="G23" s="408">
        <f t="shared" si="2"/>
        <v>2510.0517417814708</v>
      </c>
      <c r="H23" s="408">
        <f t="shared" si="2"/>
        <v>2306.9760492808473</v>
      </c>
      <c r="I23" s="408">
        <f t="shared" si="2"/>
        <v>2103.9003567802238</v>
      </c>
    </row>
    <row r="24" spans="1:15" ht="27" customHeight="1">
      <c r="A24" s="473" t="s">
        <v>456</v>
      </c>
      <c r="B24" s="473"/>
      <c r="C24" s="473"/>
      <c r="D24" s="473"/>
      <c r="E24" s="473"/>
      <c r="F24" s="473"/>
      <c r="G24" s="473"/>
      <c r="H24" s="473"/>
      <c r="I24" s="473"/>
    </row>
    <row r="26" spans="1:15">
      <c r="A26" s="487" t="s">
        <v>457</v>
      </c>
      <c r="B26" s="487"/>
      <c r="C26" s="487"/>
      <c r="D26" s="487"/>
      <c r="E26" s="487"/>
      <c r="F26" s="487"/>
      <c r="G26" s="487"/>
      <c r="H26" s="487"/>
      <c r="I26" s="487"/>
      <c r="J26" s="487"/>
    </row>
    <row r="28" spans="1:15" ht="43.2">
      <c r="A28" s="228" t="s">
        <v>458</v>
      </c>
      <c r="B28" s="383" t="s">
        <v>459</v>
      </c>
      <c r="C28" s="383" t="s">
        <v>460</v>
      </c>
      <c r="D28" s="383" t="s">
        <v>461</v>
      </c>
      <c r="E28" s="383" t="s">
        <v>462</v>
      </c>
      <c r="F28" s="383" t="s">
        <v>463</v>
      </c>
      <c r="G28" s="383" t="s">
        <v>464</v>
      </c>
      <c r="I28" s="228" t="s">
        <v>465</v>
      </c>
      <c r="J28" s="383" t="s">
        <v>459</v>
      </c>
      <c r="K28" s="383" t="s">
        <v>460</v>
      </c>
      <c r="L28" s="383" t="s">
        <v>461</v>
      </c>
      <c r="M28" s="383" t="s">
        <v>462</v>
      </c>
      <c r="N28" s="383" t="s">
        <v>463</v>
      </c>
      <c r="O28" s="383" t="s">
        <v>464</v>
      </c>
    </row>
    <row r="29" spans="1:15">
      <c r="A29" s="228" t="s">
        <v>4</v>
      </c>
      <c r="B29" s="382">
        <v>0.6</v>
      </c>
      <c r="C29" s="228">
        <v>700</v>
      </c>
      <c r="D29" s="228">
        <v>420</v>
      </c>
      <c r="E29" s="382">
        <v>0.51</v>
      </c>
      <c r="F29" s="391">
        <f>E29*F$32</f>
        <v>1685.8698872369641</v>
      </c>
      <c r="G29" s="391">
        <f>45000*C29/15000</f>
        <v>2100</v>
      </c>
      <c r="I29" s="228" t="s">
        <v>4</v>
      </c>
      <c r="J29" s="382">
        <v>0.6</v>
      </c>
      <c r="K29" s="228">
        <f>C29*0.75</f>
        <v>525</v>
      </c>
      <c r="L29" s="228">
        <v>420</v>
      </c>
      <c r="M29" s="382">
        <v>0.51</v>
      </c>
      <c r="N29" s="391">
        <f>M29*N$32</f>
        <v>1685.8698872369641</v>
      </c>
      <c r="O29" s="391">
        <f>45000*K29/15000</f>
        <v>1575</v>
      </c>
    </row>
    <row r="30" spans="1:15">
      <c r="A30" s="228" t="s">
        <v>466</v>
      </c>
      <c r="B30" s="382">
        <v>0.15</v>
      </c>
      <c r="C30" s="228">
        <v>1000</v>
      </c>
      <c r="D30" s="228">
        <v>150</v>
      </c>
      <c r="E30" s="382">
        <v>0.185</v>
      </c>
      <c r="F30" s="391">
        <f>E30*F$32</f>
        <v>611.54103752713399</v>
      </c>
      <c r="G30" s="391">
        <f>F30</f>
        <v>611.54103752713399</v>
      </c>
      <c r="I30" s="228" t="s">
        <v>466</v>
      </c>
      <c r="J30" s="382">
        <v>0.15</v>
      </c>
      <c r="K30" s="228">
        <v>1000</v>
      </c>
      <c r="L30" s="228">
        <v>150</v>
      </c>
      <c r="M30" s="382">
        <v>0.185</v>
      </c>
      <c r="N30" s="391">
        <f>M30*N$32</f>
        <v>611.54103752713399</v>
      </c>
      <c r="O30" s="391">
        <f>N30*0.7</f>
        <v>428.07872626899376</v>
      </c>
    </row>
    <row r="31" spans="1:15">
      <c r="A31" s="228" t="s">
        <v>467</v>
      </c>
      <c r="B31" s="382">
        <v>0.25</v>
      </c>
      <c r="C31" s="228">
        <v>1000</v>
      </c>
      <c r="D31" s="228">
        <v>250</v>
      </c>
      <c r="E31" s="382">
        <v>0.30499999999999999</v>
      </c>
      <c r="F31" s="391">
        <f>E31*F$32</f>
        <v>1008.2163051123021</v>
      </c>
      <c r="G31" s="391">
        <f>F31</f>
        <v>1008.2163051123021</v>
      </c>
      <c r="I31" s="228" t="s">
        <v>467</v>
      </c>
      <c r="J31" s="382">
        <v>0.25</v>
      </c>
      <c r="K31" s="228">
        <v>1000</v>
      </c>
      <c r="L31" s="228">
        <v>250</v>
      </c>
      <c r="M31" s="382">
        <v>0.30499999999999999</v>
      </c>
      <c r="N31" s="391">
        <f>M31*N$32</f>
        <v>1008.2163051123021</v>
      </c>
      <c r="O31" s="391">
        <f>N31*0.1</f>
        <v>100.82163051123021</v>
      </c>
    </row>
    <row r="32" spans="1:15">
      <c r="A32" s="228" t="s">
        <v>23</v>
      </c>
      <c r="B32" s="382">
        <v>1</v>
      </c>
      <c r="C32" s="228"/>
      <c r="D32" s="228">
        <v>820</v>
      </c>
      <c r="E32" s="382">
        <f>SUM(E29:E31)</f>
        <v>1</v>
      </c>
      <c r="F32" s="391">
        <f>G5</f>
        <v>3305.6272298764002</v>
      </c>
      <c r="G32" s="391">
        <f>SUM(G29:G31)</f>
        <v>3719.757342639436</v>
      </c>
      <c r="I32" s="228" t="s">
        <v>23</v>
      </c>
      <c r="J32" s="382">
        <v>1</v>
      </c>
      <c r="K32" s="228"/>
      <c r="L32" s="228">
        <v>820</v>
      </c>
      <c r="M32" s="382">
        <v>1</v>
      </c>
      <c r="N32" s="391">
        <f>G5</f>
        <v>3305.6272298764002</v>
      </c>
      <c r="O32" s="391">
        <f>SUM(O29:O31)</f>
        <v>2103.9003567802238</v>
      </c>
    </row>
    <row r="33" spans="1:15">
      <c r="A33" s="488" t="s">
        <v>468</v>
      </c>
      <c r="B33" s="488"/>
      <c r="C33" s="488"/>
      <c r="D33" s="488"/>
      <c r="E33" s="488"/>
      <c r="F33" s="488"/>
      <c r="G33" s="488"/>
      <c r="J33" s="488" t="s">
        <v>469</v>
      </c>
      <c r="K33" s="488"/>
      <c r="L33" s="488"/>
      <c r="M33" s="488"/>
      <c r="N33" s="488"/>
      <c r="O33" s="488"/>
    </row>
    <row r="34" spans="1:15">
      <c r="A34" s="489" t="s">
        <v>470</v>
      </c>
      <c r="B34" s="489"/>
      <c r="C34" s="489"/>
      <c r="D34" s="489"/>
      <c r="E34" s="489"/>
      <c r="F34" s="489"/>
      <c r="G34" s="489"/>
      <c r="H34" s="489"/>
      <c r="I34" s="444" t="s">
        <v>471</v>
      </c>
      <c r="J34" s="444"/>
      <c r="K34" s="444"/>
      <c r="L34" s="444"/>
      <c r="M34" s="444"/>
      <c r="N34" s="444"/>
      <c r="O34" s="444"/>
    </row>
  </sheetData>
  <mergeCells count="13">
    <mergeCell ref="A26:J26"/>
    <mergeCell ref="A33:G33"/>
    <mergeCell ref="J33:O33"/>
    <mergeCell ref="A34:H34"/>
    <mergeCell ref="I34:O34"/>
    <mergeCell ref="A24:I24"/>
    <mergeCell ref="P2:X2"/>
    <mergeCell ref="A8:M8"/>
    <mergeCell ref="A16:I16"/>
    <mergeCell ref="A2:I2"/>
    <mergeCell ref="A10:I10"/>
    <mergeCell ref="A18:I18"/>
    <mergeCell ref="P11:X11"/>
  </mergeCells>
  <pageMargins left="0.7" right="0.7" top="0.75" bottom="0.75" header="0.51180555555555496" footer="0.51180555555555496"/>
  <pageSetup paperSize="9" firstPageNumber="0"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4"/>
  <sheetViews>
    <sheetView zoomScaleNormal="100" workbookViewId="0">
      <selection activeCell="C27" sqref="C27"/>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47" t="s">
        <v>55</v>
      </c>
      <c r="B2" s="447"/>
      <c r="C2" s="447"/>
      <c r="D2" s="447"/>
      <c r="E2" s="447"/>
      <c r="F2" s="447"/>
      <c r="G2" s="447"/>
      <c r="H2" s="447"/>
      <c r="I2" s="447"/>
    </row>
    <row r="4" spans="1:21">
      <c r="A4" s="35"/>
      <c r="B4" s="204">
        <v>2010</v>
      </c>
      <c r="C4" s="204">
        <v>2011</v>
      </c>
      <c r="D4" s="204">
        <v>2012</v>
      </c>
      <c r="E4" s="204">
        <v>2013</v>
      </c>
      <c r="F4" s="204">
        <v>2014</v>
      </c>
      <c r="G4" s="204">
        <v>2015</v>
      </c>
      <c r="H4" s="204">
        <v>2016</v>
      </c>
      <c r="I4" s="204">
        <v>2017</v>
      </c>
      <c r="J4" s="204">
        <v>2018</v>
      </c>
      <c r="K4" s="204">
        <v>2019</v>
      </c>
      <c r="L4" s="204">
        <v>2020</v>
      </c>
      <c r="M4" s="275" t="s">
        <v>390</v>
      </c>
    </row>
    <row r="5" spans="1:21">
      <c r="A5" s="30" t="s">
        <v>500</v>
      </c>
      <c r="B5" s="228"/>
      <c r="C5" s="228"/>
      <c r="D5" s="228"/>
      <c r="E5" s="228"/>
      <c r="F5" s="228"/>
      <c r="G5" s="228"/>
      <c r="H5" s="228"/>
      <c r="I5" s="228"/>
      <c r="J5" s="228"/>
      <c r="K5" s="228"/>
      <c r="L5" s="228"/>
      <c r="M5" s="288" t="s">
        <v>216</v>
      </c>
    </row>
    <row r="6" spans="1:21">
      <c r="A6" s="30" t="s">
        <v>501</v>
      </c>
      <c r="B6" s="228"/>
      <c r="C6" s="228"/>
      <c r="D6" s="228"/>
      <c r="E6" s="228"/>
      <c r="F6" s="228"/>
      <c r="G6" s="356">
        <f>'Cadrage macroéconomique '!G5/'Cadrage macroéconomique '!$K$5</f>
        <v>0.92256051235808267</v>
      </c>
      <c r="H6" s="356">
        <f>'Cadrage macroéconomique '!H5/'Cadrage macroéconomique '!$K$5</f>
        <v>0.95624081397908245</v>
      </c>
      <c r="I6" s="356">
        <f>'Cadrage macroéconomique '!I5/'Cadrage macroéconomique '!$K$5</f>
        <v>0.95392611421552265</v>
      </c>
      <c r="J6" s="356">
        <f>'Cadrage macroéconomique '!J5/'Cadrage macroéconomique '!$K$5</f>
        <v>0.98029665078564887</v>
      </c>
      <c r="K6" s="356">
        <f>'Cadrage macroéconomique '!K5/'Cadrage macroéconomique '!$K$5</f>
        <v>1</v>
      </c>
      <c r="L6" s="228"/>
      <c r="M6" s="288" t="s">
        <v>254</v>
      </c>
    </row>
    <row r="7" spans="1:21">
      <c r="A7" s="30" t="s">
        <v>332</v>
      </c>
      <c r="B7" s="228"/>
      <c r="C7" s="228"/>
      <c r="D7" s="228"/>
      <c r="E7" s="228"/>
      <c r="F7" s="228"/>
      <c r="L7" s="228"/>
      <c r="M7" s="288" t="s">
        <v>333</v>
      </c>
    </row>
    <row r="8" spans="1:21">
      <c r="A8" s="30" t="s">
        <v>334</v>
      </c>
      <c r="B8" s="393">
        <f>5129/1000</f>
        <v>5.1289999999999996</v>
      </c>
      <c r="C8" s="393">
        <f>5023/1000</f>
        <v>5.0229999999999997</v>
      </c>
      <c r="D8" s="393">
        <f>4809/1000</f>
        <v>4.8090000000000002</v>
      </c>
      <c r="E8" s="393">
        <f>5309/1000</f>
        <v>5.3090000000000002</v>
      </c>
      <c r="F8" s="393">
        <f>6156/1000</f>
        <v>6.1559999999999997</v>
      </c>
      <c r="G8" s="393">
        <f>5989/1000</f>
        <v>5.9889999999999999</v>
      </c>
      <c r="H8" s="393">
        <f>5774/1000</f>
        <v>5.774</v>
      </c>
      <c r="I8" s="393">
        <f>5966/1000</f>
        <v>5.9660000000000002</v>
      </c>
      <c r="J8" s="393">
        <f>6130/1000</f>
        <v>6.13</v>
      </c>
      <c r="K8" s="393">
        <f>6155/1000</f>
        <v>6.1550000000000002</v>
      </c>
      <c r="L8" s="228"/>
      <c r="M8" s="288" t="s">
        <v>216</v>
      </c>
    </row>
    <row r="9" spans="1:21">
      <c r="A9" s="30" t="s">
        <v>335</v>
      </c>
      <c r="B9" s="356">
        <f t="shared" ref="B9:K9" si="0">(B8*25)</f>
        <v>128.22499999999999</v>
      </c>
      <c r="C9" s="356">
        <f t="shared" si="0"/>
        <v>125.57499999999999</v>
      </c>
      <c r="D9" s="356">
        <f t="shared" si="0"/>
        <v>120.22500000000001</v>
      </c>
      <c r="E9" s="356">
        <f t="shared" si="0"/>
        <v>132.72499999999999</v>
      </c>
      <c r="F9" s="356">
        <f t="shared" si="0"/>
        <v>153.9</v>
      </c>
      <c r="G9" s="356">
        <f t="shared" si="0"/>
        <v>149.72499999999999</v>
      </c>
      <c r="H9" s="356">
        <f t="shared" si="0"/>
        <v>144.35</v>
      </c>
      <c r="I9" s="356">
        <f t="shared" si="0"/>
        <v>149.15</v>
      </c>
      <c r="J9" s="356">
        <f t="shared" si="0"/>
        <v>153.25</v>
      </c>
      <c r="K9" s="356">
        <f t="shared" si="0"/>
        <v>153.875</v>
      </c>
      <c r="L9" s="228"/>
      <c r="M9" s="288"/>
    </row>
    <row r="10" spans="1:21">
      <c r="A10" s="30" t="s">
        <v>336</v>
      </c>
      <c r="B10" s="356">
        <f>[2]GES!V9</f>
        <v>132.32016763777199</v>
      </c>
      <c r="C10" s="356">
        <f>[2]GES!W9</f>
        <v>129.76082602416699</v>
      </c>
      <c r="D10" s="356">
        <f>[2]GES!X9</f>
        <v>124.377830354157</v>
      </c>
      <c r="E10" s="356">
        <f>[2]GES!Y9</f>
        <v>136.94615604663699</v>
      </c>
      <c r="F10" s="356">
        <f>[2]GES!Z9</f>
        <v>158.310913584557</v>
      </c>
      <c r="G10" s="356">
        <f>[2]GES!AA9</f>
        <v>154.19809844759101</v>
      </c>
      <c r="H10" s="356">
        <f>[2]GES!AB9</f>
        <v>148.880653882904</v>
      </c>
      <c r="I10" s="356">
        <f>[2]GES!AC9</f>
        <v>153.78860386370701</v>
      </c>
      <c r="J10" s="356">
        <f>[2]GES!AD9</f>
        <v>158.123065990306</v>
      </c>
      <c r="K10" s="356">
        <f>[2]GES!AE9</f>
        <v>158.90511891366901</v>
      </c>
      <c r="L10" s="228"/>
      <c r="M10" s="288" t="s">
        <v>216</v>
      </c>
    </row>
    <row r="11" spans="1:21">
      <c r="A11" s="298" t="s">
        <v>404</v>
      </c>
      <c r="B11" s="300">
        <f t="shared" ref="B11:K11" si="1">B10/B9</f>
        <v>1.0319373572842425</v>
      </c>
      <c r="C11" s="300">
        <f t="shared" si="1"/>
        <v>1.0333332751277484</v>
      </c>
      <c r="D11" s="300">
        <f t="shared" si="1"/>
        <v>1.0345421530809482</v>
      </c>
      <c r="E11" s="300">
        <f t="shared" si="1"/>
        <v>1.0318037750735505</v>
      </c>
      <c r="F11" s="300">
        <f t="shared" si="1"/>
        <v>1.0286609069821766</v>
      </c>
      <c r="G11" s="300">
        <f t="shared" si="1"/>
        <v>1.0298754279351545</v>
      </c>
      <c r="H11" s="300">
        <f t="shared" si="1"/>
        <v>1.0313865873425978</v>
      </c>
      <c r="I11" s="300">
        <f t="shared" si="1"/>
        <v>1.0311002605679316</v>
      </c>
      <c r="J11" s="300">
        <f t="shared" si="1"/>
        <v>1.0317981467556672</v>
      </c>
      <c r="K11" s="300">
        <f t="shared" si="1"/>
        <v>1.0326896436306678</v>
      </c>
      <c r="L11" s="300">
        <f>AVERAGE(B11:K11)</f>
        <v>1.0317127533780686</v>
      </c>
      <c r="M11" s="288" t="s">
        <v>405</v>
      </c>
    </row>
    <row r="13" spans="1:21">
      <c r="A13" s="447" t="s">
        <v>147</v>
      </c>
      <c r="B13" s="447"/>
      <c r="C13" s="447"/>
      <c r="D13" s="447"/>
      <c r="E13" s="447"/>
      <c r="F13" s="447"/>
      <c r="G13" s="447"/>
      <c r="H13" s="447"/>
      <c r="I13" s="447"/>
      <c r="M13" s="447" t="s">
        <v>148</v>
      </c>
      <c r="N13" s="447"/>
      <c r="O13" s="447"/>
      <c r="P13" s="447"/>
      <c r="Q13" s="447"/>
      <c r="R13" s="447"/>
      <c r="S13" s="447"/>
      <c r="T13" s="447"/>
      <c r="U13" s="447"/>
    </row>
    <row r="15" spans="1:21">
      <c r="A15" s="35"/>
      <c r="B15" s="204">
        <v>2019</v>
      </c>
      <c r="C15" s="204">
        <v>2020</v>
      </c>
      <c r="D15" s="204">
        <v>2025</v>
      </c>
      <c r="E15" s="204">
        <v>2030</v>
      </c>
      <c r="F15" s="204">
        <v>2035</v>
      </c>
      <c r="G15" s="204">
        <v>2040</v>
      </c>
      <c r="H15" s="204">
        <v>2045</v>
      </c>
      <c r="I15" s="204">
        <v>2050</v>
      </c>
      <c r="J15" s="237" t="s">
        <v>390</v>
      </c>
      <c r="K15" t="s">
        <v>409</v>
      </c>
      <c r="M15" s="35"/>
      <c r="N15" s="204">
        <v>2015</v>
      </c>
      <c r="O15" s="204">
        <v>2017</v>
      </c>
      <c r="P15" s="204">
        <v>2025</v>
      </c>
      <c r="Q15" s="204">
        <v>2030</v>
      </c>
      <c r="R15" s="204">
        <v>2035</v>
      </c>
      <c r="S15" s="204">
        <v>2040</v>
      </c>
      <c r="T15" s="204">
        <v>2045</v>
      </c>
      <c r="U15" s="204">
        <v>2050</v>
      </c>
    </row>
    <row r="16" spans="1:21">
      <c r="A16" s="30" t="s">
        <v>502</v>
      </c>
      <c r="B16" s="205">
        <v>1</v>
      </c>
      <c r="C16" s="142">
        <f>$B16+($I16-$B16)*1/31</f>
        <v>0.99516129032258061</v>
      </c>
      <c r="D16" s="142">
        <f>$B16+($I16-$B16)*6/31</f>
        <v>0.97096774193548385</v>
      </c>
      <c r="E16" s="142">
        <f>$B16+($I16-$B16)*11/31</f>
        <v>0.9467741935483871</v>
      </c>
      <c r="F16" s="142">
        <f>$B16+($I16-$B16)*16/31</f>
        <v>0.92258064516129035</v>
      </c>
      <c r="G16" s="142">
        <f>$B16+($I16-$B16)*21/31</f>
        <v>0.89838709677419359</v>
      </c>
      <c r="H16" s="142">
        <f>$B16+($I16-$B16)*26/31</f>
        <v>0.87419354838709673</v>
      </c>
      <c r="I16" s="205">
        <v>0.85</v>
      </c>
      <c r="J16" s="288" t="s">
        <v>337</v>
      </c>
      <c r="K16" t="s">
        <v>409</v>
      </c>
      <c r="M16" s="30" t="s">
        <v>330</v>
      </c>
      <c r="N16" s="228">
        <v>1</v>
      </c>
      <c r="O16" s="228">
        <v>0.87958115183246099</v>
      </c>
      <c r="P16" s="228"/>
      <c r="Q16" s="228"/>
      <c r="R16" s="228"/>
      <c r="S16" s="228"/>
      <c r="T16" s="228"/>
      <c r="U16" s="228">
        <v>0.9</v>
      </c>
    </row>
    <row r="17" spans="1:21">
      <c r="A17" s="30" t="s">
        <v>501</v>
      </c>
      <c r="B17" s="205">
        <f>K6</f>
        <v>1</v>
      </c>
      <c r="C17" s="39">
        <f>'Cadrage macroéconomique '!$B$15/'Cadrage macroéconomique '!$K$5*1000000</f>
        <v>1</v>
      </c>
      <c r="D17" s="39">
        <f>'Cadrage macroéconomique '!$C$15/'Cadrage macroéconomique '!$K$5*1000000</f>
        <v>1.1076477396175775</v>
      </c>
      <c r="E17" s="39">
        <f>'Cadrage macroéconomique '!$D$15/'Cadrage macroéconomique '!$K$5*1000000</f>
        <v>1.1928514118958529</v>
      </c>
      <c r="F17" s="39">
        <f>'Cadrage macroéconomique '!$E$15/'Cadrage macroéconomique '!$K$5*1000000</f>
        <v>1.2780550841741281</v>
      </c>
      <c r="G17" s="39">
        <f>'Cadrage macroéconomique '!$F$15/'Cadrage macroéconomique '!$K$5*1000000</f>
        <v>1.3561584504292135</v>
      </c>
      <c r="H17" s="39">
        <f>'Cadrage macroéconomique '!$G$15/'Cadrage macroéconomique '!$K$5*1000000</f>
        <v>1.4307116636727044</v>
      </c>
      <c r="I17" s="39">
        <f>'Cadrage macroéconomique '!$H$15/'Cadrage macroéconomique '!$K$5*1000000</f>
        <v>1.4946144178814105</v>
      </c>
      <c r="J17" s="288" t="s">
        <v>222</v>
      </c>
      <c r="K17" t="s">
        <v>409</v>
      </c>
      <c r="M17" s="30" t="s">
        <v>331</v>
      </c>
      <c r="N17" s="228"/>
      <c r="O17" s="228"/>
      <c r="P17" s="228"/>
      <c r="Q17" s="228"/>
      <c r="R17" s="228"/>
      <c r="S17" s="228"/>
      <c r="T17" s="228"/>
      <c r="U17" s="228"/>
    </row>
    <row r="18" spans="1:21">
      <c r="A18" s="30" t="s">
        <v>334</v>
      </c>
      <c r="B18" s="301">
        <f>K8</f>
        <v>6.1550000000000002</v>
      </c>
      <c r="C18" s="301">
        <f>$B$18+($I$18-$B$18)*1/31</f>
        <v>6.2086919026048735</v>
      </c>
      <c r="D18" s="301">
        <f>$B$18+($I$18-$B$18)*6/31</f>
        <v>6.4771514156292396</v>
      </c>
      <c r="E18" s="301">
        <f>$B$18+($I$18-$B$18)*11/31</f>
        <v>6.7456109286536057</v>
      </c>
      <c r="F18" s="301">
        <f>$B$18+($I$18-$B$18)*16/31</f>
        <v>7.0140704416779709</v>
      </c>
      <c r="G18" s="301">
        <f>$B$18+($I$18-$B$18)*21/31</f>
        <v>7.282529954702337</v>
      </c>
      <c r="H18" s="301">
        <f>$B$18+($I$18-$B$18)*26/31</f>
        <v>7.5509894677267031</v>
      </c>
      <c r="I18" s="301">
        <f>I17*I16*B18</f>
        <v>7.8194489807510692</v>
      </c>
      <c r="J18" s="288" t="s">
        <v>406</v>
      </c>
      <c r="K18" t="s">
        <v>409</v>
      </c>
      <c r="M18" s="30" t="s">
        <v>334</v>
      </c>
      <c r="N18" s="228">
        <v>5.73</v>
      </c>
      <c r="O18" s="228">
        <v>5.04</v>
      </c>
      <c r="P18" s="228"/>
      <c r="Q18" s="228"/>
      <c r="R18" s="228"/>
      <c r="S18" s="228"/>
      <c r="T18" s="228"/>
      <c r="U18" s="228">
        <v>5.157</v>
      </c>
    </row>
    <row r="19" spans="1:21">
      <c r="A19" s="30" t="s">
        <v>335</v>
      </c>
      <c r="B19" s="39">
        <f>K9</f>
        <v>153.875</v>
      </c>
      <c r="C19" s="39">
        <f t="shared" ref="C19:I19" si="2">C18*25</f>
        <v>155.21729756512184</v>
      </c>
      <c r="D19" s="39">
        <f t="shared" si="2"/>
        <v>161.92878539073098</v>
      </c>
      <c r="E19" s="39">
        <f t="shared" si="2"/>
        <v>168.64027321634015</v>
      </c>
      <c r="F19" s="39">
        <f t="shared" si="2"/>
        <v>175.35176104194926</v>
      </c>
      <c r="G19" s="39">
        <f t="shared" si="2"/>
        <v>182.06324886755843</v>
      </c>
      <c r="H19" s="39">
        <f t="shared" si="2"/>
        <v>188.77473669316757</v>
      </c>
      <c r="I19" s="39">
        <f t="shared" si="2"/>
        <v>195.48622451877674</v>
      </c>
      <c r="J19" s="288"/>
      <c r="K19" t="s">
        <v>409</v>
      </c>
      <c r="M19" s="30" t="s">
        <v>335</v>
      </c>
      <c r="N19" s="228">
        <v>143.25</v>
      </c>
      <c r="O19" s="228">
        <v>126</v>
      </c>
      <c r="P19" s="228"/>
      <c r="Q19" s="228"/>
      <c r="R19" s="228"/>
      <c r="S19" s="228"/>
      <c r="T19" s="228"/>
      <c r="U19" s="228">
        <v>128.92500000000001</v>
      </c>
    </row>
    <row r="20" spans="1:21">
      <c r="A20" s="30" t="s">
        <v>336</v>
      </c>
      <c r="B20" s="142">
        <f>K10</f>
        <v>158.90511891366901</v>
      </c>
      <c r="C20" s="142">
        <f t="shared" ref="C20:I20" si="3">C19*$L11</f>
        <v>160.13966544281482</v>
      </c>
      <c r="D20" s="142">
        <f t="shared" si="3"/>
        <v>167.06399302663743</v>
      </c>
      <c r="E20" s="142">
        <f t="shared" si="3"/>
        <v>173.98832061046005</v>
      </c>
      <c r="F20" s="142">
        <f t="shared" si="3"/>
        <v>180.91264819428261</v>
      </c>
      <c r="G20" s="142">
        <f t="shared" si="3"/>
        <v>187.83697577810523</v>
      </c>
      <c r="H20" s="142">
        <f t="shared" si="3"/>
        <v>194.76130336192782</v>
      </c>
      <c r="I20" s="142">
        <f t="shared" si="3"/>
        <v>201.68563094575043</v>
      </c>
      <c r="J20" s="288" t="s">
        <v>403</v>
      </c>
      <c r="K20" t="s">
        <v>409</v>
      </c>
      <c r="M20" s="30" t="s">
        <v>339</v>
      </c>
      <c r="N20" s="228">
        <v>148</v>
      </c>
      <c r="O20" s="228">
        <v>131</v>
      </c>
      <c r="P20" s="228"/>
      <c r="Q20" s="228"/>
      <c r="R20" s="228"/>
      <c r="S20" s="228"/>
      <c r="T20" s="228"/>
      <c r="U20" s="228">
        <v>133.92500000000001</v>
      </c>
    </row>
    <row r="21" spans="1:21">
      <c r="A21" s="30" t="s">
        <v>340</v>
      </c>
      <c r="B21" s="301"/>
      <c r="C21" s="301">
        <f>L7</f>
        <v>0</v>
      </c>
      <c r="D21" s="301">
        <f>$B$21+($I$21-$B$21)*6/31</f>
        <v>0</v>
      </c>
      <c r="E21" s="301">
        <f>$B$21+($I$21-$B$21)*11/31</f>
        <v>0</v>
      </c>
      <c r="F21" s="301">
        <f>$B$21+($I$21-$B$21)*16/31</f>
        <v>0</v>
      </c>
      <c r="G21" s="301">
        <f>$B$21+($I$21-$B$21)*21/31</f>
        <v>0</v>
      </c>
      <c r="H21" s="301">
        <f>$B$21+($I$21-$B$21)*26/31</f>
        <v>0</v>
      </c>
      <c r="I21" s="301">
        <f>B21*I17</f>
        <v>0</v>
      </c>
      <c r="J21" s="288"/>
      <c r="K21" t="s">
        <v>409</v>
      </c>
      <c r="M21" s="35"/>
      <c r="N21" s="35"/>
      <c r="O21" s="35"/>
      <c r="P21" s="35"/>
      <c r="Q21" s="35"/>
      <c r="R21" s="35"/>
      <c r="S21" s="35"/>
      <c r="T21" s="35"/>
      <c r="U21" s="35"/>
    </row>
    <row r="22" spans="1:21">
      <c r="A22" s="475" t="s">
        <v>407</v>
      </c>
      <c r="B22" s="475"/>
      <c r="C22" s="475"/>
      <c r="D22" s="475"/>
      <c r="E22" s="475"/>
      <c r="F22" s="475"/>
      <c r="G22" s="475"/>
      <c r="H22" s="475"/>
      <c r="I22" s="475"/>
      <c r="J22" s="475"/>
      <c r="M22" s="447" t="s">
        <v>151</v>
      </c>
      <c r="N22" s="447"/>
      <c r="O22" s="447"/>
      <c r="P22" s="447"/>
      <c r="Q22" s="447"/>
      <c r="R22" s="447"/>
      <c r="S22" s="447"/>
      <c r="T22" s="447"/>
      <c r="U22" s="447"/>
    </row>
    <row r="23" spans="1:21">
      <c r="A23" s="297"/>
      <c r="B23" s="297"/>
      <c r="C23" s="297"/>
      <c r="D23" s="297"/>
      <c r="E23" s="297"/>
      <c r="F23" s="297"/>
      <c r="G23" s="297"/>
      <c r="H23" s="297"/>
      <c r="I23" s="297"/>
      <c r="J23" s="297"/>
      <c r="M23" s="262"/>
      <c r="N23" s="262"/>
      <c r="O23" s="262"/>
      <c r="P23" s="262"/>
      <c r="Q23" s="262"/>
      <c r="R23" s="262"/>
      <c r="S23" s="262"/>
      <c r="T23" s="262"/>
      <c r="U23" s="262"/>
    </row>
    <row r="24" spans="1:21">
      <c r="A24" s="447" t="s">
        <v>150</v>
      </c>
      <c r="B24" s="447"/>
      <c r="C24" s="447"/>
      <c r="D24" s="447"/>
      <c r="E24" s="447"/>
      <c r="F24" s="447"/>
      <c r="G24" s="447"/>
      <c r="H24" s="447"/>
      <c r="I24" s="447"/>
    </row>
    <row r="25" spans="1:21">
      <c r="M25" s="35"/>
      <c r="N25" s="204">
        <v>2015</v>
      </c>
      <c r="O25" s="204">
        <v>2020</v>
      </c>
      <c r="P25" s="204">
        <v>2025</v>
      </c>
      <c r="Q25" s="204">
        <v>2030</v>
      </c>
      <c r="R25" s="204">
        <v>2035</v>
      </c>
      <c r="S25" s="204">
        <v>2040</v>
      </c>
      <c r="T25" s="204">
        <v>2045</v>
      </c>
      <c r="U25" s="204">
        <v>2050</v>
      </c>
    </row>
    <row r="26" spans="1:21">
      <c r="A26" s="150"/>
      <c r="B26" s="206">
        <v>2019</v>
      </c>
      <c r="C26" s="206">
        <v>2020</v>
      </c>
      <c r="D26" s="206">
        <v>2025</v>
      </c>
      <c r="E26" s="206">
        <v>2030</v>
      </c>
      <c r="F26" s="206">
        <v>2035</v>
      </c>
      <c r="G26" s="206">
        <v>2040</v>
      </c>
      <c r="H26" s="206">
        <v>2045</v>
      </c>
      <c r="I26" s="206">
        <v>2050</v>
      </c>
      <c r="J26" s="237" t="s">
        <v>390</v>
      </c>
      <c r="K26" t="s">
        <v>409</v>
      </c>
      <c r="M26" s="30" t="s">
        <v>330</v>
      </c>
      <c r="N26" s="228">
        <v>1</v>
      </c>
      <c r="O26" s="228"/>
      <c r="P26" s="228"/>
      <c r="Q26" s="228"/>
      <c r="R26" s="228"/>
      <c r="S26" s="228"/>
      <c r="T26" s="228"/>
      <c r="U26" s="228">
        <v>0.5</v>
      </c>
    </row>
    <row r="27" spans="1:21">
      <c r="A27" s="1" t="s">
        <v>500</v>
      </c>
      <c r="B27" s="142">
        <v>1</v>
      </c>
      <c r="C27" s="142">
        <f>$B27+($I27-$B27)*1/31</f>
        <v>0.9838709677419355</v>
      </c>
      <c r="D27" s="142">
        <f>$B27+($I27-$B27)*6/31</f>
        <v>0.90322580645161288</v>
      </c>
      <c r="E27" s="142">
        <f>$B27+($I27-$B27)*11/31</f>
        <v>0.82258064516129026</v>
      </c>
      <c r="F27" s="142">
        <f>$B27+($I27-$B27)*16/31</f>
        <v>0.74193548387096775</v>
      </c>
      <c r="G27" s="142">
        <f>$B27+($I27-$B27)*21/31</f>
        <v>0.66129032258064524</v>
      </c>
      <c r="H27" s="142">
        <f>$B27+($I27-$B27)*26/31</f>
        <v>0.58064516129032251</v>
      </c>
      <c r="I27" s="1">
        <v>0.5</v>
      </c>
      <c r="J27" s="288" t="s">
        <v>337</v>
      </c>
      <c r="K27" t="s">
        <v>409</v>
      </c>
      <c r="M27" s="30" t="s">
        <v>331</v>
      </c>
      <c r="N27" s="228"/>
      <c r="O27" s="228"/>
      <c r="P27" s="228"/>
      <c r="Q27" s="228"/>
      <c r="R27" s="228"/>
      <c r="S27" s="228"/>
      <c r="T27" s="228"/>
      <c r="U27" s="228"/>
    </row>
    <row r="28" spans="1:21">
      <c r="A28" s="1" t="s">
        <v>501</v>
      </c>
      <c r="B28" s="142">
        <f>B17</f>
        <v>1</v>
      </c>
      <c r="C28" s="153">
        <f t="shared" ref="C28:I28" si="4">C17</f>
        <v>1</v>
      </c>
      <c r="D28" s="153">
        <f t="shared" si="4"/>
        <v>1.1076477396175775</v>
      </c>
      <c r="E28" s="153">
        <f t="shared" si="4"/>
        <v>1.1928514118958529</v>
      </c>
      <c r="F28" s="153">
        <f t="shared" si="4"/>
        <v>1.2780550841741281</v>
      </c>
      <c r="G28" s="153">
        <f t="shared" si="4"/>
        <v>1.3561584504292135</v>
      </c>
      <c r="H28" s="153">
        <f t="shared" si="4"/>
        <v>1.4307116636727044</v>
      </c>
      <c r="I28" s="153">
        <f t="shared" si="4"/>
        <v>1.4946144178814105</v>
      </c>
      <c r="J28" s="288" t="s">
        <v>222</v>
      </c>
      <c r="K28" t="s">
        <v>409</v>
      </c>
      <c r="M28" s="30" t="s">
        <v>334</v>
      </c>
      <c r="N28" s="228">
        <v>4.8</v>
      </c>
      <c r="O28" s="228"/>
      <c r="P28" s="228"/>
      <c r="Q28" s="228"/>
      <c r="R28" s="228"/>
      <c r="S28" s="228"/>
      <c r="T28" s="228"/>
      <c r="U28" s="228">
        <v>2.4</v>
      </c>
    </row>
    <row r="29" spans="1:21">
      <c r="A29" s="1" t="s">
        <v>341</v>
      </c>
      <c r="B29" s="1">
        <v>1</v>
      </c>
      <c r="C29" s="142">
        <f>$B29+($I29-$B29)*1/31</f>
        <v>0.99354838709677418</v>
      </c>
      <c r="D29" s="142">
        <f>$B29+($I29-$B29)*6/31</f>
        <v>0.96129032258064517</v>
      </c>
      <c r="E29" s="142">
        <f>$B29+($I29-$B29)*11/31</f>
        <v>0.92903225806451617</v>
      </c>
      <c r="F29" s="142">
        <f>$B29+($I29-$B29)*16/31</f>
        <v>0.89677419354838717</v>
      </c>
      <c r="G29" s="142">
        <f>$B29+($I29-$B29)*21/31</f>
        <v>0.86451612903225805</v>
      </c>
      <c r="H29" s="142">
        <f>$B29+($I29-$B29)*26/31</f>
        <v>0.83225806451612905</v>
      </c>
      <c r="I29" s="142">
        <v>0.8</v>
      </c>
      <c r="J29" s="288"/>
      <c r="K29" t="s">
        <v>409</v>
      </c>
      <c r="M29" s="30" t="s">
        <v>335</v>
      </c>
      <c r="N29" s="228">
        <v>120</v>
      </c>
      <c r="O29" s="228"/>
      <c r="P29" s="228"/>
      <c r="Q29" s="228"/>
      <c r="R29" s="228"/>
      <c r="S29" s="228"/>
      <c r="T29" s="228"/>
      <c r="U29" s="228">
        <v>60</v>
      </c>
    </row>
    <row r="30" spans="1:21">
      <c r="A30" s="1" t="s">
        <v>334</v>
      </c>
      <c r="B30" s="142">
        <f>K8</f>
        <v>6.1550000000000002</v>
      </c>
      <c r="C30" s="153">
        <f t="shared" ref="C30:H30" si="5">$B$30*C27*C28*C29</f>
        <v>6.0166566077003116</v>
      </c>
      <c r="D30" s="153">
        <f t="shared" si="5"/>
        <v>5.9194401051838303</v>
      </c>
      <c r="E30" s="153">
        <f t="shared" si="5"/>
        <v>5.6107857682589124</v>
      </c>
      <c r="F30" s="153">
        <f t="shared" si="5"/>
        <v>5.2339175131663582</v>
      </c>
      <c r="G30" s="153">
        <f t="shared" si="5"/>
        <v>4.772036525658752</v>
      </c>
      <c r="H30" s="153">
        <f t="shared" si="5"/>
        <v>4.2554843565370568</v>
      </c>
      <c r="I30" s="142">
        <f>$B$30*I27*I28*I29</f>
        <v>3.6797406968240325</v>
      </c>
      <c r="J30" s="288" t="s">
        <v>338</v>
      </c>
      <c r="K30" t="s">
        <v>409</v>
      </c>
      <c r="M30" s="30" t="s">
        <v>339</v>
      </c>
      <c r="N30" s="228">
        <f>SUM(N28:N29)</f>
        <v>124.8</v>
      </c>
      <c r="O30" s="228"/>
      <c r="P30" s="228"/>
      <c r="Q30" s="228"/>
      <c r="R30" s="228"/>
      <c r="S30" s="228"/>
      <c r="T30" s="228"/>
      <c r="U30" s="228">
        <f>SUM(U28:U29)</f>
        <v>62.4</v>
      </c>
    </row>
    <row r="31" spans="1:21">
      <c r="A31" s="1" t="s">
        <v>335</v>
      </c>
      <c r="B31" s="142">
        <f>K9</f>
        <v>153.875</v>
      </c>
      <c r="C31" s="142">
        <f t="shared" ref="C31:I31" si="6">C30*25</f>
        <v>150.4164151925078</v>
      </c>
      <c r="D31" s="142">
        <f t="shared" si="6"/>
        <v>147.98600262959576</v>
      </c>
      <c r="E31" s="142">
        <f t="shared" si="6"/>
        <v>140.2696442064728</v>
      </c>
      <c r="F31" s="142">
        <f t="shared" si="6"/>
        <v>130.84793782915895</v>
      </c>
      <c r="G31" s="142">
        <f t="shared" si="6"/>
        <v>119.3009131414688</v>
      </c>
      <c r="H31" s="142">
        <f t="shared" si="6"/>
        <v>106.38710891342642</v>
      </c>
      <c r="I31" s="142">
        <f t="shared" si="6"/>
        <v>91.99351742060081</v>
      </c>
      <c r="J31" s="288"/>
      <c r="K31" t="s">
        <v>409</v>
      </c>
    </row>
    <row r="32" spans="1:21">
      <c r="A32" s="1" t="s">
        <v>336</v>
      </c>
      <c r="B32" s="142">
        <f>K10</f>
        <v>158.90511891366901</v>
      </c>
      <c r="C32" s="142">
        <f t="shared" ref="C32:I32" si="7">C31*$L11</f>
        <v>155.18653387152096</v>
      </c>
      <c r="D32" s="142">
        <f t="shared" si="7"/>
        <v>152.67904623439435</v>
      </c>
      <c r="E32" s="142">
        <f t="shared" si="7"/>
        <v>144.7179808396221</v>
      </c>
      <c r="F32" s="142">
        <f t="shared" si="7"/>
        <v>134.99748621156391</v>
      </c>
      <c r="G32" s="142">
        <f t="shared" si="7"/>
        <v>123.08427357770258</v>
      </c>
      <c r="H32" s="142">
        <f t="shared" si="7"/>
        <v>109.76093706100363</v>
      </c>
      <c r="I32" s="142">
        <f t="shared" si="7"/>
        <v>94.910885150941382</v>
      </c>
      <c r="J32" s="288" t="s">
        <v>403</v>
      </c>
      <c r="K32" t="s">
        <v>409</v>
      </c>
    </row>
    <row r="33" spans="1:11">
      <c r="A33" s="30" t="s">
        <v>332</v>
      </c>
      <c r="B33" s="142">
        <v>0</v>
      </c>
      <c r="C33" s="142">
        <f>L7</f>
        <v>0</v>
      </c>
      <c r="D33" s="142">
        <f>$B33+($I33-$B33)*6/31</f>
        <v>0</v>
      </c>
      <c r="E33" s="142">
        <f>$B33+($I33-$B33)*11/31</f>
        <v>0</v>
      </c>
      <c r="F33" s="142">
        <f>$B33+($I33-$B33)*16/31</f>
        <v>0</v>
      </c>
      <c r="G33" s="142">
        <f>$B33+($I33-$B33)*21/31</f>
        <v>0</v>
      </c>
      <c r="H33" s="142">
        <f>$B33+($I33-$B33)*26/31</f>
        <v>0</v>
      </c>
      <c r="I33" s="142">
        <f>B33*I28*I29</f>
        <v>0</v>
      </c>
      <c r="J33" s="288"/>
      <c r="K33" t="s">
        <v>409</v>
      </c>
    </row>
    <row r="34" spans="1:11">
      <c r="A34" s="468" t="s">
        <v>408</v>
      </c>
      <c r="B34" s="468"/>
      <c r="C34" s="468"/>
      <c r="D34" s="468"/>
      <c r="E34" s="468"/>
      <c r="F34" s="468"/>
      <c r="G34" s="468"/>
      <c r="H34" s="468"/>
      <c r="I34" s="468"/>
      <c r="J34" s="468"/>
    </row>
  </sheetData>
  <mergeCells count="7">
    <mergeCell ref="A34:J34"/>
    <mergeCell ref="A2:I2"/>
    <mergeCell ref="A13:I13"/>
    <mergeCell ref="M13:U13"/>
    <mergeCell ref="M22:U22"/>
    <mergeCell ref="A24:I24"/>
    <mergeCell ref="A22:J22"/>
  </mergeCells>
  <pageMargins left="0.7" right="0.7" top="0.75" bottom="0.75" header="0.51180555555555496" footer="0.51180555555555496"/>
  <pageSetup paperSize="9"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A6" sqref="A6"/>
    </sheetView>
  </sheetViews>
  <sheetFormatPr baseColWidth="10" defaultColWidth="8.88671875" defaultRowHeight="14.4"/>
  <cols>
    <col min="1" max="1025" width="10.44140625" customWidth="1"/>
  </cols>
  <sheetData>
    <row r="2" spans="1:35">
      <c r="A2" s="470" t="s">
        <v>82</v>
      </c>
      <c r="B2" s="470"/>
      <c r="C2" s="470"/>
      <c r="D2" s="470"/>
      <c r="E2" s="470"/>
      <c r="F2" s="470"/>
      <c r="G2" s="470"/>
      <c r="H2" s="470"/>
      <c r="I2" s="470"/>
      <c r="J2" s="470"/>
      <c r="K2" s="470"/>
    </row>
    <row r="4" spans="1:35" ht="18">
      <c r="A4" s="46" t="s">
        <v>83</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84">
      <c r="A5" s="48" t="s">
        <v>442</v>
      </c>
      <c r="B5" s="49">
        <v>1990</v>
      </c>
      <c r="C5" s="49">
        <v>1991</v>
      </c>
      <c r="D5" s="49">
        <v>1992</v>
      </c>
      <c r="E5" s="49">
        <v>1993</v>
      </c>
      <c r="F5" s="49">
        <v>1994</v>
      </c>
      <c r="G5" s="49">
        <v>1995</v>
      </c>
      <c r="H5" s="49">
        <v>1996</v>
      </c>
      <c r="I5" s="49">
        <v>1997</v>
      </c>
      <c r="J5" s="49">
        <v>1998</v>
      </c>
      <c r="K5" s="49">
        <v>1999</v>
      </c>
      <c r="L5" s="49">
        <v>2000</v>
      </c>
      <c r="M5" s="49">
        <v>2001</v>
      </c>
      <c r="N5" s="49">
        <v>2002</v>
      </c>
      <c r="O5" s="49">
        <v>2003</v>
      </c>
      <c r="P5" s="49">
        <v>2004</v>
      </c>
      <c r="Q5" s="49">
        <v>2005</v>
      </c>
      <c r="R5" s="49">
        <v>2006</v>
      </c>
      <c r="S5" s="49">
        <v>2007</v>
      </c>
      <c r="T5" s="49">
        <v>2008</v>
      </c>
      <c r="U5" s="49">
        <v>2009</v>
      </c>
      <c r="V5" s="49">
        <v>2010</v>
      </c>
      <c r="W5" s="49">
        <v>2011</v>
      </c>
      <c r="X5" s="49">
        <v>2012</v>
      </c>
      <c r="Y5" s="49">
        <v>2013</v>
      </c>
      <c r="Z5" s="49">
        <v>2014</v>
      </c>
      <c r="AA5" s="49">
        <v>2015</v>
      </c>
      <c r="AB5" s="49">
        <v>2016</v>
      </c>
      <c r="AC5" s="49">
        <v>2017</v>
      </c>
      <c r="AD5" s="49">
        <v>2018</v>
      </c>
      <c r="AE5" s="49">
        <v>2019</v>
      </c>
      <c r="AF5" s="50"/>
      <c r="AG5" s="51" t="s">
        <v>84</v>
      </c>
      <c r="AH5" s="52" t="s">
        <v>85</v>
      </c>
      <c r="AI5" s="52" t="s">
        <v>86</v>
      </c>
    </row>
    <row r="6" spans="1:35">
      <c r="A6" s="53" t="s">
        <v>87</v>
      </c>
      <c r="B6" s="365">
        <v>269.32748760613202</v>
      </c>
      <c r="C6" s="365">
        <v>350.67272096972999</v>
      </c>
      <c r="D6" s="365">
        <v>405.56536191829002</v>
      </c>
      <c r="E6" s="365">
        <v>419.35142103678601</v>
      </c>
      <c r="F6" s="365">
        <v>442.895136349165</v>
      </c>
      <c r="G6" s="365">
        <v>289.09273615110902</v>
      </c>
      <c r="H6" s="365">
        <v>104.646006327969</v>
      </c>
      <c r="I6" s="365">
        <v>98.612976916618194</v>
      </c>
      <c r="J6" s="365">
        <v>267.42934214989998</v>
      </c>
      <c r="K6" s="365">
        <v>126.504111938957</v>
      </c>
      <c r="L6" s="365">
        <v>126.09785614365001</v>
      </c>
      <c r="M6" s="365">
        <v>178.782468537629</v>
      </c>
      <c r="N6" s="365">
        <v>135.56428375204499</v>
      </c>
      <c r="O6" s="365">
        <v>276.02096966712099</v>
      </c>
      <c r="P6" s="365">
        <v>211.475587028463</v>
      </c>
      <c r="Q6" s="365">
        <v>213.33495895945299</v>
      </c>
      <c r="R6" s="365">
        <v>137.499690314048</v>
      </c>
      <c r="S6" s="365">
        <v>179.37619865082999</v>
      </c>
      <c r="T6" s="365">
        <v>198.56171524306299</v>
      </c>
      <c r="U6" s="365">
        <v>395.74039623757898</v>
      </c>
      <c r="V6" s="365">
        <v>312.05172195592701</v>
      </c>
      <c r="W6" s="365">
        <v>286.76140045376098</v>
      </c>
      <c r="X6" s="365">
        <v>215.06931791359801</v>
      </c>
      <c r="Y6" s="365">
        <v>286.57556430703897</v>
      </c>
      <c r="Z6" s="365">
        <v>276.10550269531097</v>
      </c>
      <c r="AA6" s="365">
        <v>283.19782547792101</v>
      </c>
      <c r="AB6" s="365">
        <v>350.65959526868699</v>
      </c>
      <c r="AC6" s="365">
        <v>245.79759869833501</v>
      </c>
      <c r="AD6" s="365">
        <v>288.12851044873901</v>
      </c>
      <c r="AE6" s="365">
        <v>390.63496409424999</v>
      </c>
      <c r="AF6" s="366"/>
      <c r="AG6" s="367" t="s">
        <v>87</v>
      </c>
      <c r="AH6" s="54">
        <v>0.450408822234734</v>
      </c>
      <c r="AI6" s="54">
        <v>0.355766437295164</v>
      </c>
    </row>
    <row r="7" spans="1:35">
      <c r="A7" s="53" t="s">
        <v>88</v>
      </c>
      <c r="B7" s="365">
        <v>4.4589159409085797</v>
      </c>
      <c r="C7" s="365">
        <v>4.2655333814143601</v>
      </c>
      <c r="D7" s="365">
        <v>4.4240933439199903</v>
      </c>
      <c r="E7" s="365">
        <v>4.5467516017730398</v>
      </c>
      <c r="F7" s="365">
        <v>4.6760412194888898</v>
      </c>
      <c r="G7" s="365">
        <v>4.7779230248627096</v>
      </c>
      <c r="H7" s="365">
        <v>4.3747918953892304</v>
      </c>
      <c r="I7" s="365">
        <v>5.0477391254249904</v>
      </c>
      <c r="J7" s="365">
        <v>5.7592187750894199</v>
      </c>
      <c r="K7" s="365">
        <v>2.9444728773820099</v>
      </c>
      <c r="L7" s="365">
        <v>4.2084282337733399</v>
      </c>
      <c r="M7" s="365">
        <v>3.71420327492002</v>
      </c>
      <c r="N7" s="365">
        <v>4.3574268964020604</v>
      </c>
      <c r="O7" s="365">
        <v>6.4564508989458096</v>
      </c>
      <c r="P7" s="365">
        <v>14.686773781651199</v>
      </c>
      <c r="Q7" s="365">
        <v>9.56342519833537</v>
      </c>
      <c r="R7" s="365">
        <v>7.2257277883947904</v>
      </c>
      <c r="S7" s="365">
        <v>10.1054572848929</v>
      </c>
      <c r="T7" s="365">
        <v>6.2675582734825097</v>
      </c>
      <c r="U7" s="365">
        <v>23.2221087406671</v>
      </c>
      <c r="V7" s="365">
        <v>20.544558833519702</v>
      </c>
      <c r="W7" s="365">
        <v>17.6980458883572</v>
      </c>
      <c r="X7" s="365">
        <v>40.601698081068101</v>
      </c>
      <c r="Y7" s="365">
        <v>15.4368403630034</v>
      </c>
      <c r="Z7" s="365">
        <v>40.928982736367203</v>
      </c>
      <c r="AA7" s="365">
        <v>42.223679235782399</v>
      </c>
      <c r="AB7" s="365">
        <v>15.062825981263099</v>
      </c>
      <c r="AC7" s="365">
        <v>15.2469436132633</v>
      </c>
      <c r="AD7" s="365">
        <v>14.858081707976501</v>
      </c>
      <c r="AE7" s="365">
        <v>14.9876475847935</v>
      </c>
      <c r="AF7" s="366"/>
      <c r="AG7" s="368" t="s">
        <v>88</v>
      </c>
      <c r="AH7" s="54">
        <v>2.3612761001589</v>
      </c>
      <c r="AI7" s="54">
        <v>8.7202291226806204E-3</v>
      </c>
    </row>
    <row r="8" spans="1:35">
      <c r="A8" s="53" t="s">
        <v>89</v>
      </c>
      <c r="B8" s="365">
        <v>67.640026448241201</v>
      </c>
      <c r="C8" s="365">
        <v>61.245313968042403</v>
      </c>
      <c r="D8" s="365">
        <v>57.749886518610801</v>
      </c>
      <c r="E8" s="365">
        <v>54.503242259282203</v>
      </c>
      <c r="F8" s="365">
        <v>54.443757777139403</v>
      </c>
      <c r="G8" s="365">
        <v>56.0209574737965</v>
      </c>
      <c r="H8" s="365">
        <v>57.625833360318801</v>
      </c>
      <c r="I8" s="365">
        <v>59.281695669059602</v>
      </c>
      <c r="J8" s="365">
        <v>60.985102102619102</v>
      </c>
      <c r="K8" s="365">
        <v>62.643775062634198</v>
      </c>
      <c r="L8" s="365">
        <v>65.217325260566298</v>
      </c>
      <c r="M8" s="365">
        <v>76.806794298188194</v>
      </c>
      <c r="N8" s="365">
        <v>89.106889027932098</v>
      </c>
      <c r="O8" s="365">
        <v>95.806264586369707</v>
      </c>
      <c r="P8" s="365">
        <v>102.433871038384</v>
      </c>
      <c r="Q8" s="365">
        <v>102.91000330286001</v>
      </c>
      <c r="R8" s="365">
        <v>104.889424662959</v>
      </c>
      <c r="S8" s="365">
        <v>110.876534173514</v>
      </c>
      <c r="T8" s="365">
        <v>116.275535870049</v>
      </c>
      <c r="U8" s="365">
        <v>124.31429241267701</v>
      </c>
      <c r="V8" s="365">
        <v>132.32016763777199</v>
      </c>
      <c r="W8" s="365">
        <v>129.76082602416699</v>
      </c>
      <c r="X8" s="365">
        <v>124.377830354157</v>
      </c>
      <c r="Y8" s="365">
        <v>136.94615604663699</v>
      </c>
      <c r="Z8" s="365">
        <v>158.310913584557</v>
      </c>
      <c r="AA8" s="365">
        <v>154.19809844759101</v>
      </c>
      <c r="AB8" s="365">
        <v>148.880653882904</v>
      </c>
      <c r="AC8" s="365">
        <v>153.78860386370701</v>
      </c>
      <c r="AD8" s="365">
        <v>158.123065990306</v>
      </c>
      <c r="AE8" s="365">
        <v>158.90511891366901</v>
      </c>
      <c r="AF8" s="366"/>
      <c r="AG8" s="369" t="s">
        <v>89</v>
      </c>
      <c r="AH8" s="54">
        <v>1.34927641601774</v>
      </c>
      <c r="AI8" s="54">
        <v>4.9458497308096597E-3</v>
      </c>
    </row>
    <row r="9" spans="1:35">
      <c r="A9" s="53" t="s">
        <v>90</v>
      </c>
      <c r="B9" s="365">
        <v>26.9675853037112</v>
      </c>
      <c r="C9" s="365">
        <v>27.4257047068227</v>
      </c>
      <c r="D9" s="365">
        <v>28.089922326946802</v>
      </c>
      <c r="E9" s="365">
        <v>25.1972235515499</v>
      </c>
      <c r="F9" s="365">
        <v>29.129127641969099</v>
      </c>
      <c r="G9" s="365">
        <v>30.8879870830526</v>
      </c>
      <c r="H9" s="365">
        <v>32.021409451828198</v>
      </c>
      <c r="I9" s="365">
        <v>34.953371813979999</v>
      </c>
      <c r="J9" s="365">
        <v>36.062499353575198</v>
      </c>
      <c r="K9" s="365">
        <v>31.739553423861601</v>
      </c>
      <c r="L9" s="365">
        <v>35.391053715798201</v>
      </c>
      <c r="M9" s="365">
        <v>36.125001747198397</v>
      </c>
      <c r="N9" s="365">
        <v>39.407130279950003</v>
      </c>
      <c r="O9" s="365">
        <v>47.291133246284801</v>
      </c>
      <c r="P9" s="365">
        <v>66.766083783315594</v>
      </c>
      <c r="Q9" s="365">
        <v>60.763609982319899</v>
      </c>
      <c r="R9" s="365">
        <v>58.4131602148044</v>
      </c>
      <c r="S9" s="365">
        <v>67.729300985563299</v>
      </c>
      <c r="T9" s="365">
        <v>63.667138640337598</v>
      </c>
      <c r="U9" s="365">
        <v>97.943207018730206</v>
      </c>
      <c r="V9" s="365">
        <v>96.9024269695404</v>
      </c>
      <c r="W9" s="365">
        <v>98.760931082617105</v>
      </c>
      <c r="X9" s="365">
        <v>143.19774389056701</v>
      </c>
      <c r="Y9" s="365">
        <v>102.370955180398</v>
      </c>
      <c r="Z9" s="365">
        <v>153.05339102336799</v>
      </c>
      <c r="AA9" s="365">
        <v>159.668407510951</v>
      </c>
      <c r="AB9" s="365">
        <v>114.11176709607101</v>
      </c>
      <c r="AC9" s="365">
        <v>117.343642589163</v>
      </c>
      <c r="AD9" s="365">
        <v>114.803378679986</v>
      </c>
      <c r="AE9" s="365">
        <v>116.02449166259299</v>
      </c>
      <c r="AF9" s="366"/>
      <c r="AG9" s="370" t="s">
        <v>91</v>
      </c>
      <c r="AH9" s="54">
        <v>3.3023685790149702</v>
      </c>
      <c r="AI9" s="54">
        <v>1.06365596260948E-2</v>
      </c>
    </row>
    <row r="10" spans="1:35">
      <c r="A10" s="53" t="s">
        <v>4</v>
      </c>
      <c r="B10" s="365">
        <v>71.191176943897005</v>
      </c>
      <c r="C10" s="365">
        <v>75.321561384026893</v>
      </c>
      <c r="D10" s="365">
        <v>72.368915013923598</v>
      </c>
      <c r="E10" s="365">
        <v>72.895966710983302</v>
      </c>
      <c r="F10" s="365">
        <v>73.166388247263299</v>
      </c>
      <c r="G10" s="365">
        <v>74.0905329996624</v>
      </c>
      <c r="H10" s="365">
        <v>77.750785998194303</v>
      </c>
      <c r="I10" s="365">
        <v>79.548173705761798</v>
      </c>
      <c r="J10" s="365">
        <v>81.885486446642403</v>
      </c>
      <c r="K10" s="365">
        <v>82.193981895736101</v>
      </c>
      <c r="L10" s="365">
        <v>84.891149814213094</v>
      </c>
      <c r="M10" s="365">
        <v>85.844798761323105</v>
      </c>
      <c r="N10" s="365">
        <v>83.397567379222096</v>
      </c>
      <c r="O10" s="365">
        <v>76.706325543683207</v>
      </c>
      <c r="P10" s="365">
        <v>94.300181306500406</v>
      </c>
      <c r="Q10" s="365">
        <v>84.696537855263898</v>
      </c>
      <c r="R10" s="365">
        <v>75.741648441344495</v>
      </c>
      <c r="S10" s="365">
        <v>69.741984717663598</v>
      </c>
      <c r="T10" s="365">
        <v>69.004363826762898</v>
      </c>
      <c r="U10" s="365">
        <v>72.010226754842407</v>
      </c>
      <c r="V10" s="365">
        <v>69.316330340304205</v>
      </c>
      <c r="W10" s="365">
        <v>64.970840983642603</v>
      </c>
      <c r="X10" s="365">
        <v>77.605580090536193</v>
      </c>
      <c r="Y10" s="365">
        <v>73.484078366672307</v>
      </c>
      <c r="Z10" s="365">
        <v>85.367038708501795</v>
      </c>
      <c r="AA10" s="365">
        <v>86.221482943385496</v>
      </c>
      <c r="AB10" s="365">
        <v>81.456230745751199</v>
      </c>
      <c r="AC10" s="365">
        <v>82.485309392561703</v>
      </c>
      <c r="AD10" s="365">
        <v>79.519190527875793</v>
      </c>
      <c r="AE10" s="365">
        <v>81.062517947897703</v>
      </c>
      <c r="AF10" s="366"/>
      <c r="AG10" s="371" t="s">
        <v>4</v>
      </c>
      <c r="AH10" s="54">
        <v>0.13865961243736499</v>
      </c>
      <c r="AI10" s="54">
        <v>1.9408238561995798E-2</v>
      </c>
    </row>
    <row r="11" spans="1:35">
      <c r="A11" s="53" t="s">
        <v>92</v>
      </c>
      <c r="B11" s="365">
        <v>415.24763544861798</v>
      </c>
      <c r="C11" s="365">
        <v>424.59155272923698</v>
      </c>
      <c r="D11" s="365">
        <v>431.133719177351</v>
      </c>
      <c r="E11" s="365">
        <v>427.16208307513199</v>
      </c>
      <c r="F11" s="365">
        <v>412.00528267526403</v>
      </c>
      <c r="G11" s="365">
        <v>396.53305649830702</v>
      </c>
      <c r="H11" s="365">
        <v>412.99105955808801</v>
      </c>
      <c r="I11" s="365">
        <v>374.87772904776</v>
      </c>
      <c r="J11" s="365">
        <v>358.90797369841499</v>
      </c>
      <c r="K11" s="365">
        <v>336.89322503334199</v>
      </c>
      <c r="L11" s="365">
        <v>335.33855500326803</v>
      </c>
      <c r="M11" s="365">
        <v>380.394988691565</v>
      </c>
      <c r="N11" s="365">
        <v>365.48803364334998</v>
      </c>
      <c r="O11" s="365">
        <v>349.46049714905598</v>
      </c>
      <c r="P11" s="365">
        <v>362.11576750845899</v>
      </c>
      <c r="Q11" s="365">
        <v>360.83055104120399</v>
      </c>
      <c r="R11" s="365">
        <v>366.22712225815502</v>
      </c>
      <c r="S11" s="365">
        <v>395.01893524826897</v>
      </c>
      <c r="T11" s="365">
        <v>356.053586098506</v>
      </c>
      <c r="U11" s="365">
        <v>349.403728717082</v>
      </c>
      <c r="V11" s="365">
        <v>350.13836107306003</v>
      </c>
      <c r="W11" s="365">
        <v>332.94018991139598</v>
      </c>
      <c r="X11" s="365">
        <v>361.50093505480299</v>
      </c>
      <c r="Y11" s="365">
        <v>366.91093501059601</v>
      </c>
      <c r="Z11" s="365">
        <v>364.67678112613999</v>
      </c>
      <c r="AA11" s="365">
        <v>370.81750339436798</v>
      </c>
      <c r="AB11" s="365">
        <v>405.577117083465</v>
      </c>
      <c r="AC11" s="365">
        <v>398.646572782764</v>
      </c>
      <c r="AD11" s="365">
        <v>419.56304173325202</v>
      </c>
      <c r="AE11" s="365">
        <v>446.22522298530998</v>
      </c>
      <c r="AF11" s="366"/>
      <c r="AG11" s="372" t="s">
        <v>92</v>
      </c>
      <c r="AH11" s="54">
        <v>7.4600274371759701E-2</v>
      </c>
      <c r="AI11" s="54">
        <v>6.3547497276962295E-2</v>
      </c>
    </row>
    <row r="12" spans="1:35">
      <c r="A12" s="55" t="s">
        <v>93</v>
      </c>
      <c r="B12" s="373">
        <v>14.442323281253399</v>
      </c>
      <c r="C12" s="373">
        <v>13.528738663279</v>
      </c>
      <c r="D12" s="373">
        <v>11.6167920840685</v>
      </c>
      <c r="E12" s="373">
        <v>7.6248202230850497</v>
      </c>
      <c r="F12" s="373">
        <v>9.6483418943853003</v>
      </c>
      <c r="G12" s="373">
        <v>8.6725984738223705</v>
      </c>
      <c r="H12" s="373">
        <v>9.5304388733851102</v>
      </c>
      <c r="I12" s="373">
        <v>9.8034774041111401</v>
      </c>
      <c r="J12" s="373">
        <v>8.0712331818087701</v>
      </c>
      <c r="K12" s="373">
        <v>8.1309366517300603</v>
      </c>
      <c r="L12" s="373">
        <v>8.9975314143961693</v>
      </c>
      <c r="M12" s="373">
        <v>7.5268045786744597</v>
      </c>
      <c r="N12" s="373">
        <v>5.8544718750711899</v>
      </c>
      <c r="O12" s="373">
        <v>5.6611431371872598</v>
      </c>
      <c r="P12" s="373">
        <v>7.1997284319277997</v>
      </c>
      <c r="Q12" s="373">
        <v>7.6324667263193202</v>
      </c>
      <c r="R12" s="373">
        <v>6.49485545993881</v>
      </c>
      <c r="S12" s="373">
        <v>8.6285483045317992</v>
      </c>
      <c r="T12" s="373">
        <v>8.1068723516616004</v>
      </c>
      <c r="U12" s="373">
        <v>8.3048233920075205</v>
      </c>
      <c r="V12" s="373">
        <v>5.3094747704023701</v>
      </c>
      <c r="W12" s="373">
        <v>4.7448651047422903</v>
      </c>
      <c r="X12" s="373">
        <v>4.4703881710795201</v>
      </c>
      <c r="Y12" s="373">
        <v>3.9730852758883701</v>
      </c>
      <c r="Z12" s="373">
        <v>4.3340161684907503</v>
      </c>
      <c r="AA12" s="373">
        <v>4.7529322361938897</v>
      </c>
      <c r="AB12" s="373">
        <v>5.3390553412030499</v>
      </c>
      <c r="AC12" s="373">
        <v>5.3129864983211004</v>
      </c>
      <c r="AD12" s="373">
        <v>4.2443847424808903</v>
      </c>
      <c r="AE12" s="373">
        <v>3.2702136221488902</v>
      </c>
      <c r="AF12" s="374"/>
      <c r="AG12" s="375" t="s">
        <v>93</v>
      </c>
      <c r="AH12" s="56">
        <v>-0.77356734380861403</v>
      </c>
      <c r="AI12" s="56">
        <v>-0.229519984506068</v>
      </c>
    </row>
    <row r="13" spans="1:35">
      <c r="A13" s="57" t="s">
        <v>94</v>
      </c>
      <c r="B13" s="376">
        <v>854.83282769150799</v>
      </c>
      <c r="C13" s="376">
        <v>943.52238713927295</v>
      </c>
      <c r="D13" s="376">
        <v>999.331898299042</v>
      </c>
      <c r="E13" s="376">
        <v>1003.65668823551</v>
      </c>
      <c r="F13" s="376">
        <v>1016.31573391029</v>
      </c>
      <c r="G13" s="376">
        <v>851.40319323078995</v>
      </c>
      <c r="H13" s="376">
        <v>689.40988659178799</v>
      </c>
      <c r="I13" s="376">
        <v>652.32168627860494</v>
      </c>
      <c r="J13" s="376">
        <v>811.02962252624104</v>
      </c>
      <c r="K13" s="376">
        <v>642.91912023191298</v>
      </c>
      <c r="L13" s="376">
        <v>651.14436817127</v>
      </c>
      <c r="M13" s="376">
        <v>761.66825531082395</v>
      </c>
      <c r="N13" s="376">
        <v>717.32133097890198</v>
      </c>
      <c r="O13" s="376">
        <v>851.74164109146</v>
      </c>
      <c r="P13" s="376">
        <v>851.77826444677305</v>
      </c>
      <c r="Q13" s="376">
        <v>832.09908633943598</v>
      </c>
      <c r="R13" s="376">
        <v>749.99677367970605</v>
      </c>
      <c r="S13" s="376">
        <v>832.84841106073395</v>
      </c>
      <c r="T13" s="376">
        <v>809.82989795220101</v>
      </c>
      <c r="U13" s="376">
        <v>1062.63395988158</v>
      </c>
      <c r="V13" s="376">
        <v>981.27356681012304</v>
      </c>
      <c r="W13" s="376">
        <v>930.89223434394103</v>
      </c>
      <c r="X13" s="376">
        <v>962.35310538472902</v>
      </c>
      <c r="Y13" s="376">
        <v>981.72452927434495</v>
      </c>
      <c r="Z13" s="376">
        <v>1078.4426098742399</v>
      </c>
      <c r="AA13" s="376">
        <v>1096.32699701</v>
      </c>
      <c r="AB13" s="376">
        <v>1115.7481900581399</v>
      </c>
      <c r="AC13" s="376">
        <v>1013.30867093979</v>
      </c>
      <c r="AD13" s="376">
        <v>1074.99526908814</v>
      </c>
      <c r="AE13" s="376">
        <v>1207.83996318851</v>
      </c>
      <c r="AF13" s="366"/>
      <c r="AG13" s="377" t="s">
        <v>94</v>
      </c>
      <c r="AH13" s="378">
        <v>0.41295458487515802</v>
      </c>
      <c r="AI13" s="378">
        <v>0.123577003471896</v>
      </c>
    </row>
    <row r="14" spans="1:35">
      <c r="A14" s="53" t="s">
        <v>95</v>
      </c>
      <c r="B14" s="365">
        <v>2669.1930646402202</v>
      </c>
      <c r="C14" s="365">
        <v>2696.8208609559802</v>
      </c>
      <c r="D14" s="365">
        <v>2730.9641380565899</v>
      </c>
      <c r="E14" s="365">
        <v>2764.7304714655402</v>
      </c>
      <c r="F14" s="365">
        <v>6148.2322051977299</v>
      </c>
      <c r="G14" s="365">
        <v>6606.1577561223203</v>
      </c>
      <c r="H14" s="365">
        <v>5811.1741394926403</v>
      </c>
      <c r="I14" s="365">
        <v>5227.5100700267803</v>
      </c>
      <c r="J14" s="365">
        <v>4797.71954780543</v>
      </c>
      <c r="K14" s="365">
        <v>4481.7999163392897</v>
      </c>
      <c r="L14" s="365">
        <v>4249.4058139420804</v>
      </c>
      <c r="M14" s="365">
        <v>4078.2716491286401</v>
      </c>
      <c r="N14" s="365">
        <v>3953.1981629023899</v>
      </c>
      <c r="O14" s="365">
        <v>3862.2029057237701</v>
      </c>
      <c r="P14" s="365">
        <v>3797.4945658178299</v>
      </c>
      <c r="Q14" s="365">
        <v>3752.9847874336501</v>
      </c>
      <c r="R14" s="365">
        <v>3723.68602719005</v>
      </c>
      <c r="S14" s="365">
        <v>3705.88940535139</v>
      </c>
      <c r="T14" s="365">
        <v>3696.4821094134199</v>
      </c>
      <c r="U14" s="365">
        <v>3776.3048732706202</v>
      </c>
      <c r="V14" s="365">
        <v>3730.2394223347801</v>
      </c>
      <c r="W14" s="365">
        <v>3688.0848530057801</v>
      </c>
      <c r="X14" s="365">
        <v>3763.8016857914399</v>
      </c>
      <c r="Y14" s="365">
        <v>3490.5904058684</v>
      </c>
      <c r="Z14" s="365">
        <v>3637.09066089721</v>
      </c>
      <c r="AA14" s="365">
        <v>3605.6272298764002</v>
      </c>
      <c r="AB14" s="365">
        <v>3491.3874096725599</v>
      </c>
      <c r="AC14" s="365">
        <v>3362.5916336878199</v>
      </c>
      <c r="AD14" s="365">
        <v>3389.1166160386501</v>
      </c>
      <c r="AE14" s="365">
        <v>3335.8496502840899</v>
      </c>
      <c r="AF14" s="366"/>
      <c r="AG14" s="379" t="s">
        <v>95</v>
      </c>
      <c r="AH14" s="54">
        <v>0.24975959756351901</v>
      </c>
      <c r="AI14" s="54">
        <v>-1.5717064884245499E-2</v>
      </c>
    </row>
    <row r="15" spans="1:35">
      <c r="A15" s="55" t="s">
        <v>96</v>
      </c>
      <c r="B15" s="373">
        <v>0</v>
      </c>
      <c r="C15" s="373">
        <v>0</v>
      </c>
      <c r="D15" s="373">
        <v>0</v>
      </c>
      <c r="E15" s="373">
        <v>0</v>
      </c>
      <c r="F15" s="373">
        <v>0</v>
      </c>
      <c r="G15" s="373">
        <v>0</v>
      </c>
      <c r="H15" s="373">
        <v>0</v>
      </c>
      <c r="I15" s="373">
        <v>0</v>
      </c>
      <c r="J15" s="373">
        <v>0</v>
      </c>
      <c r="K15" s="373">
        <v>0</v>
      </c>
      <c r="L15" s="373">
        <v>0</v>
      </c>
      <c r="M15" s="373">
        <v>0</v>
      </c>
      <c r="N15" s="373">
        <v>0</v>
      </c>
      <c r="O15" s="373">
        <v>0</v>
      </c>
      <c r="P15" s="373">
        <v>0</v>
      </c>
      <c r="Q15" s="373">
        <v>0</v>
      </c>
      <c r="R15" s="373">
        <v>0</v>
      </c>
      <c r="S15" s="373">
        <v>0</v>
      </c>
      <c r="T15" s="373">
        <v>0</v>
      </c>
      <c r="U15" s="373">
        <v>0</v>
      </c>
      <c r="V15" s="373">
        <v>0</v>
      </c>
      <c r="W15" s="373">
        <v>0</v>
      </c>
      <c r="X15" s="373">
        <v>0</v>
      </c>
      <c r="Y15" s="373">
        <v>0</v>
      </c>
      <c r="Z15" s="373">
        <v>0</v>
      </c>
      <c r="AA15" s="373">
        <v>0</v>
      </c>
      <c r="AB15" s="373">
        <v>0</v>
      </c>
      <c r="AC15" s="373">
        <v>0</v>
      </c>
      <c r="AD15" s="373">
        <v>0</v>
      </c>
      <c r="AE15" s="373">
        <v>0</v>
      </c>
      <c r="AF15" s="374"/>
      <c r="AG15" s="375" t="s">
        <v>96</v>
      </c>
      <c r="AH15" s="56">
        <v>0</v>
      </c>
      <c r="AI15" s="56">
        <v>0</v>
      </c>
    </row>
    <row r="16" spans="1:35">
      <c r="A16" s="55" t="s">
        <v>97</v>
      </c>
      <c r="B16" s="373">
        <v>0</v>
      </c>
      <c r="C16" s="373">
        <v>0</v>
      </c>
      <c r="D16" s="373">
        <v>0</v>
      </c>
      <c r="E16" s="373">
        <v>0</v>
      </c>
      <c r="F16" s="373">
        <v>0</v>
      </c>
      <c r="G16" s="373">
        <v>0</v>
      </c>
      <c r="H16" s="373">
        <v>0</v>
      </c>
      <c r="I16" s="373">
        <v>0</v>
      </c>
      <c r="J16" s="373">
        <v>0</v>
      </c>
      <c r="K16" s="373">
        <v>0</v>
      </c>
      <c r="L16" s="373">
        <v>0</v>
      </c>
      <c r="M16" s="373">
        <v>0</v>
      </c>
      <c r="N16" s="373">
        <v>0</v>
      </c>
      <c r="O16" s="373">
        <v>0</v>
      </c>
      <c r="P16" s="373">
        <v>0</v>
      </c>
      <c r="Q16" s="373">
        <v>0</v>
      </c>
      <c r="R16" s="373">
        <v>0</v>
      </c>
      <c r="S16" s="373">
        <v>0</v>
      </c>
      <c r="T16" s="373">
        <v>0</v>
      </c>
      <c r="U16" s="373">
        <v>0</v>
      </c>
      <c r="V16" s="373">
        <v>0</v>
      </c>
      <c r="W16" s="373">
        <v>0</v>
      </c>
      <c r="X16" s="373">
        <v>0</v>
      </c>
      <c r="Y16" s="373">
        <v>0</v>
      </c>
      <c r="Z16" s="373">
        <v>0</v>
      </c>
      <c r="AA16" s="373">
        <v>0</v>
      </c>
      <c r="AB16" s="373">
        <v>0</v>
      </c>
      <c r="AC16" s="373">
        <v>0</v>
      </c>
      <c r="AD16" s="373">
        <v>0</v>
      </c>
      <c r="AE16" s="373">
        <v>0</v>
      </c>
      <c r="AF16" s="374"/>
      <c r="AG16" s="375" t="s">
        <v>97</v>
      </c>
      <c r="AH16" s="56">
        <v>0</v>
      </c>
      <c r="AI16" s="56">
        <v>0</v>
      </c>
    </row>
    <row r="17" spans="1:41">
      <c r="A17" s="57" t="s">
        <v>98</v>
      </c>
      <c r="B17" s="376">
        <v>3524.0258923317201</v>
      </c>
      <c r="C17" s="376">
        <v>3640.3432480952501</v>
      </c>
      <c r="D17" s="376">
        <v>3730.2960363556299</v>
      </c>
      <c r="E17" s="376">
        <v>3768.3871597010402</v>
      </c>
      <c r="F17" s="376">
        <v>7164.5479391080198</v>
      </c>
      <c r="G17" s="376">
        <v>7457.5609493531101</v>
      </c>
      <c r="H17" s="376">
        <v>6500.5840260844298</v>
      </c>
      <c r="I17" s="376">
        <v>5879.8317563053897</v>
      </c>
      <c r="J17" s="376">
        <v>5608.74917033167</v>
      </c>
      <c r="K17" s="376">
        <v>5124.7190365712004</v>
      </c>
      <c r="L17" s="376">
        <v>4900.5501821133503</v>
      </c>
      <c r="M17" s="376">
        <v>4839.9399044394604</v>
      </c>
      <c r="N17" s="376">
        <v>4670.5194938812901</v>
      </c>
      <c r="O17" s="376">
        <v>4713.9445468152298</v>
      </c>
      <c r="P17" s="376">
        <v>4649.2728302646101</v>
      </c>
      <c r="Q17" s="376">
        <v>4585.0838737730901</v>
      </c>
      <c r="R17" s="376">
        <v>4473.6828008697603</v>
      </c>
      <c r="S17" s="376">
        <v>4538.7378164121201</v>
      </c>
      <c r="T17" s="376">
        <v>4506.31200736562</v>
      </c>
      <c r="U17" s="376">
        <v>4838.9388331521995</v>
      </c>
      <c r="V17" s="376">
        <v>4711.5129891449096</v>
      </c>
      <c r="W17" s="376">
        <v>4618.97708734972</v>
      </c>
      <c r="X17" s="376">
        <v>4726.15479117617</v>
      </c>
      <c r="Y17" s="376">
        <v>4472.3149351427501</v>
      </c>
      <c r="Z17" s="376">
        <v>4715.5332707714497</v>
      </c>
      <c r="AA17" s="376">
        <v>4701.9542268863997</v>
      </c>
      <c r="AB17" s="376">
        <v>4607.1355997307101</v>
      </c>
      <c r="AC17" s="376">
        <v>4375.9003046276102</v>
      </c>
      <c r="AD17" s="376">
        <v>4464.1118851267802</v>
      </c>
      <c r="AE17" s="376">
        <v>4543.6896134726103</v>
      </c>
      <c r="AF17" s="380"/>
      <c r="AG17" s="381" t="s">
        <v>98</v>
      </c>
      <c r="AH17" s="378">
        <v>0.28934626256852097</v>
      </c>
      <c r="AI17" s="378">
        <v>1.78261052575663E-2</v>
      </c>
    </row>
    <row r="18" spans="1:41">
      <c r="A18" s="55" t="s">
        <v>99</v>
      </c>
      <c r="B18" s="373">
        <v>14.442323281253399</v>
      </c>
      <c r="C18" s="373">
        <v>13.528738663279</v>
      </c>
      <c r="D18" s="373">
        <v>11.6167920840685</v>
      </c>
      <c r="E18" s="373">
        <v>7.6248202230850497</v>
      </c>
      <c r="F18" s="373">
        <v>9.6483418943853003</v>
      </c>
      <c r="G18" s="373">
        <v>8.6725984738223705</v>
      </c>
      <c r="H18" s="373">
        <v>9.5304388733851102</v>
      </c>
      <c r="I18" s="373">
        <v>9.8034774041111401</v>
      </c>
      <c r="J18" s="373">
        <v>8.0712331818087701</v>
      </c>
      <c r="K18" s="373">
        <v>8.1309366517300603</v>
      </c>
      <c r="L18" s="373">
        <v>8.9975314143961693</v>
      </c>
      <c r="M18" s="373">
        <v>7.5268045786744597</v>
      </c>
      <c r="N18" s="373">
        <v>5.8544718750711899</v>
      </c>
      <c r="O18" s="373">
        <v>5.6611431371872598</v>
      </c>
      <c r="P18" s="373">
        <v>7.1997284319277997</v>
      </c>
      <c r="Q18" s="373">
        <v>7.6324667263193202</v>
      </c>
      <c r="R18" s="373">
        <v>6.49485545993881</v>
      </c>
      <c r="S18" s="373">
        <v>8.6285483045317992</v>
      </c>
      <c r="T18" s="373">
        <v>8.1068723516616004</v>
      </c>
      <c r="U18" s="373">
        <v>8.3048233920075205</v>
      </c>
      <c r="V18" s="373">
        <v>5.3094747704023701</v>
      </c>
      <c r="W18" s="373">
        <v>4.7448651047422903</v>
      </c>
      <c r="X18" s="373">
        <v>4.4703881710795201</v>
      </c>
      <c r="Y18" s="373">
        <v>3.9730852758883701</v>
      </c>
      <c r="Z18" s="373">
        <v>4.3340161684907503</v>
      </c>
      <c r="AA18" s="373">
        <v>4.7529322361938897</v>
      </c>
      <c r="AB18" s="373">
        <v>5.3390553412030499</v>
      </c>
      <c r="AC18" s="373">
        <v>5.3129864983211004</v>
      </c>
      <c r="AD18" s="373">
        <v>4.2443847424808903</v>
      </c>
      <c r="AE18" s="373">
        <v>3.2702136221488902</v>
      </c>
      <c r="AF18" s="374"/>
      <c r="AG18" s="375" t="s">
        <v>99</v>
      </c>
      <c r="AH18" s="56">
        <v>-0.77356734380861403</v>
      </c>
      <c r="AI18" s="56">
        <v>-0.229519984506068</v>
      </c>
    </row>
    <row r="19" spans="1:41">
      <c r="M19" s="58" t="s">
        <v>100</v>
      </c>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row>
    <row r="20" spans="1:41">
      <c r="M20" s="58" t="s">
        <v>101</v>
      </c>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row>
    <row r="22" spans="1:41" ht="18">
      <c r="A22" s="490" t="s">
        <v>102</v>
      </c>
      <c r="B22" s="490"/>
      <c r="C22" s="490"/>
      <c r="D22" s="490"/>
      <c r="E22" s="490"/>
      <c r="F22" s="490"/>
      <c r="G22" s="490"/>
      <c r="H22" s="490"/>
      <c r="I22" s="490"/>
    </row>
    <row r="23" spans="1:41" ht="15">
      <c r="B23" s="59"/>
      <c r="C23" s="60"/>
      <c r="D23" s="60"/>
      <c r="E23" s="60"/>
      <c r="F23" s="60"/>
      <c r="G23" s="60"/>
      <c r="H23" s="60"/>
      <c r="I23" s="60"/>
    </row>
    <row r="24" spans="1:41" ht="15" customHeight="1">
      <c r="B24" s="61"/>
      <c r="C24" s="491" t="s">
        <v>103</v>
      </c>
      <c r="D24" s="491"/>
      <c r="E24" s="491"/>
      <c r="F24" s="491"/>
      <c r="G24" s="491"/>
      <c r="H24" s="62"/>
    </row>
    <row r="25" spans="1:41" ht="47.25" customHeight="1">
      <c r="B25" s="492" t="s">
        <v>104</v>
      </c>
      <c r="C25" s="63" t="s">
        <v>105</v>
      </c>
      <c r="D25" s="63" t="s">
        <v>106</v>
      </c>
      <c r="E25" s="63" t="s">
        <v>107</v>
      </c>
      <c r="F25" s="64" t="s">
        <v>108</v>
      </c>
      <c r="G25" s="63" t="s">
        <v>109</v>
      </c>
      <c r="H25" s="63" t="s">
        <v>110</v>
      </c>
    </row>
    <row r="26" spans="1:41">
      <c r="B26" s="492"/>
      <c r="C26" s="65" t="s">
        <v>111</v>
      </c>
      <c r="D26" s="65" t="s">
        <v>112</v>
      </c>
      <c r="E26" s="65" t="s">
        <v>113</v>
      </c>
      <c r="F26" s="66" t="s">
        <v>114</v>
      </c>
      <c r="G26" s="65" t="s">
        <v>115</v>
      </c>
      <c r="H26" s="65" t="s">
        <v>116</v>
      </c>
    </row>
    <row r="27" spans="1:41">
      <c r="B27" s="67" t="s">
        <v>117</v>
      </c>
      <c r="C27" s="68">
        <v>1</v>
      </c>
      <c r="D27" s="68">
        <v>1</v>
      </c>
      <c r="E27" s="68">
        <v>1</v>
      </c>
      <c r="F27" s="52">
        <v>1</v>
      </c>
      <c r="G27" s="68">
        <v>1</v>
      </c>
      <c r="H27" s="68">
        <v>1</v>
      </c>
    </row>
    <row r="28" spans="1:41" ht="15" customHeight="1">
      <c r="B28" s="67" t="s">
        <v>118</v>
      </c>
      <c r="C28" s="69">
        <v>21</v>
      </c>
      <c r="D28" s="69">
        <v>21</v>
      </c>
      <c r="E28" s="69">
        <v>23</v>
      </c>
      <c r="F28" s="70">
        <v>25</v>
      </c>
      <c r="G28" s="69">
        <v>28</v>
      </c>
      <c r="H28" s="493" t="s">
        <v>119</v>
      </c>
    </row>
    <row r="29" spans="1:41">
      <c r="B29" s="67" t="s">
        <v>120</v>
      </c>
      <c r="C29" s="69">
        <v>290</v>
      </c>
      <c r="D29" s="69">
        <v>310</v>
      </c>
      <c r="E29" s="69">
        <v>296</v>
      </c>
      <c r="F29" s="70">
        <v>298</v>
      </c>
      <c r="G29" s="69">
        <v>265</v>
      </c>
      <c r="H29" s="493"/>
    </row>
    <row r="30" spans="1:41" ht="24">
      <c r="B30" s="67" t="s">
        <v>121</v>
      </c>
      <c r="C30" s="69" t="s">
        <v>122</v>
      </c>
      <c r="D30" s="69" t="s">
        <v>123</v>
      </c>
      <c r="E30" s="69" t="s">
        <v>124</v>
      </c>
      <c r="F30" s="70" t="s">
        <v>125</v>
      </c>
      <c r="G30" s="69" t="s">
        <v>126</v>
      </c>
      <c r="H30" s="493"/>
    </row>
    <row r="31" spans="1:41" ht="24">
      <c r="B31" s="67" t="s">
        <v>127</v>
      </c>
      <c r="C31" s="69" t="s">
        <v>128</v>
      </c>
      <c r="D31" s="71" t="s">
        <v>129</v>
      </c>
      <c r="E31" s="69" t="s">
        <v>130</v>
      </c>
      <c r="F31" s="70" t="s">
        <v>131</v>
      </c>
      <c r="G31" s="69" t="s">
        <v>132</v>
      </c>
      <c r="H31" s="493"/>
    </row>
    <row r="32" spans="1:41">
      <c r="B32" s="67" t="s">
        <v>133</v>
      </c>
      <c r="C32" s="69" t="s">
        <v>128</v>
      </c>
      <c r="D32" s="72">
        <v>23900</v>
      </c>
      <c r="E32" s="72">
        <v>22200</v>
      </c>
      <c r="F32" s="73">
        <v>22800</v>
      </c>
      <c r="G32" s="69" t="s">
        <v>134</v>
      </c>
      <c r="H32" s="493"/>
    </row>
    <row r="33" spans="2:8">
      <c r="B33" s="67" t="s">
        <v>135</v>
      </c>
      <c r="C33" s="69" t="s">
        <v>128</v>
      </c>
      <c r="D33" s="69" t="s">
        <v>128</v>
      </c>
      <c r="E33" s="69" t="s">
        <v>128</v>
      </c>
      <c r="F33" s="73">
        <v>17200</v>
      </c>
      <c r="G33" s="69" t="s">
        <v>136</v>
      </c>
      <c r="H33" s="493"/>
    </row>
    <row r="34" spans="2:8" ht="72">
      <c r="B34" s="70" t="s">
        <v>137</v>
      </c>
      <c r="C34" s="69" t="s">
        <v>138</v>
      </c>
      <c r="D34" s="69" t="s">
        <v>139</v>
      </c>
      <c r="E34" s="69" t="s">
        <v>138</v>
      </c>
      <c r="F34" s="70" t="s">
        <v>140</v>
      </c>
      <c r="G34" s="69" t="s">
        <v>141</v>
      </c>
      <c r="H34" s="493"/>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topLeftCell="A7" zoomScaleNormal="100" workbookViewId="0">
      <selection activeCell="K238" sqref="K238"/>
    </sheetView>
  </sheetViews>
  <sheetFormatPr baseColWidth="10" defaultColWidth="8.88671875" defaultRowHeight="14.4"/>
  <cols>
    <col min="1" max="1" width="20.21875" customWidth="1"/>
    <col min="2" max="6" width="10.44140625" style="22" customWidth="1"/>
    <col min="7" max="7" width="10.44140625" style="144" customWidth="1"/>
    <col min="8" max="9" width="10.44140625" style="22" customWidth="1"/>
    <col min="10" max="1025" width="10.44140625" customWidth="1"/>
  </cols>
  <sheetData>
    <row r="1" spans="1:10" ht="23.4">
      <c r="A1" s="208" t="s">
        <v>342</v>
      </c>
      <c r="B1" s="208"/>
      <c r="C1" s="208"/>
      <c r="D1" s="208"/>
      <c r="E1" s="208"/>
      <c r="F1" s="208"/>
      <c r="G1" s="208"/>
      <c r="H1" s="208"/>
      <c r="I1" s="208"/>
      <c r="J1" s="208"/>
    </row>
    <row r="4" spans="1:10">
      <c r="B4" s="209" t="s">
        <v>343</v>
      </c>
    </row>
    <row r="5" spans="1:10">
      <c r="B5" s="22" t="s">
        <v>344</v>
      </c>
    </row>
    <row r="6" spans="1:10">
      <c r="B6" s="22" t="s">
        <v>345</v>
      </c>
    </row>
    <row r="8" spans="1:10" ht="43.2">
      <c r="A8" s="210"/>
      <c r="B8" s="211" t="s">
        <v>14</v>
      </c>
      <c r="C8" s="211" t="s">
        <v>15</v>
      </c>
      <c r="D8" s="211" t="s">
        <v>16</v>
      </c>
      <c r="E8" s="211" t="s">
        <v>17</v>
      </c>
      <c r="F8" s="211" t="s">
        <v>18</v>
      </c>
      <c r="G8" s="212" t="s">
        <v>19</v>
      </c>
      <c r="H8" s="211" t="s">
        <v>20</v>
      </c>
      <c r="I8" s="211" t="s">
        <v>21</v>
      </c>
      <c r="J8" s="213" t="s">
        <v>23</v>
      </c>
    </row>
    <row r="9" spans="1:10">
      <c r="A9" s="8" t="s">
        <v>24</v>
      </c>
      <c r="B9" s="9">
        <v>0</v>
      </c>
      <c r="C9" s="9">
        <v>0</v>
      </c>
      <c r="D9" s="9">
        <v>0</v>
      </c>
      <c r="E9" s="9">
        <v>0</v>
      </c>
      <c r="F9" s="9">
        <v>482.09045900000007</v>
      </c>
      <c r="G9" s="10">
        <v>100.8234812907593</v>
      </c>
      <c r="H9" s="9">
        <v>0</v>
      </c>
      <c r="I9" s="9">
        <v>0</v>
      </c>
      <c r="J9" s="9">
        <v>582.91394029075934</v>
      </c>
    </row>
    <row r="10" spans="1:10">
      <c r="A10" s="8" t="s">
        <v>25</v>
      </c>
      <c r="B10" s="9">
        <v>0</v>
      </c>
      <c r="C10" s="9">
        <v>0</v>
      </c>
      <c r="D10" s="9">
        <v>0</v>
      </c>
      <c r="E10" s="9">
        <v>0</v>
      </c>
      <c r="F10" s="9">
        <v>430.46645900000004</v>
      </c>
      <c r="G10" s="10">
        <v>0</v>
      </c>
      <c r="H10" s="9">
        <v>0</v>
      </c>
      <c r="I10" s="9">
        <v>0</v>
      </c>
      <c r="J10" s="9">
        <v>430.46645900000004</v>
      </c>
    </row>
    <row r="11" spans="1:10">
      <c r="A11" s="8" t="s">
        <v>26</v>
      </c>
      <c r="B11" s="9">
        <v>0</v>
      </c>
      <c r="C11" s="9">
        <v>0</v>
      </c>
      <c r="D11" s="9">
        <v>0</v>
      </c>
      <c r="E11" s="9">
        <v>0</v>
      </c>
      <c r="F11" s="9">
        <v>0</v>
      </c>
      <c r="G11" s="10">
        <v>0</v>
      </c>
      <c r="H11" s="9">
        <v>0</v>
      </c>
      <c r="I11" s="9">
        <v>0</v>
      </c>
      <c r="J11" s="9">
        <v>0</v>
      </c>
    </row>
    <row r="12" spans="1:10">
      <c r="A12" s="8" t="s">
        <v>27</v>
      </c>
      <c r="B12" s="9">
        <v>0</v>
      </c>
      <c r="C12" s="9">
        <v>0</v>
      </c>
      <c r="D12" s="9">
        <v>0</v>
      </c>
      <c r="E12" s="9">
        <v>0</v>
      </c>
      <c r="F12" s="9">
        <v>51.624000000000002</v>
      </c>
      <c r="G12" s="10">
        <v>0</v>
      </c>
      <c r="H12" s="9">
        <v>0</v>
      </c>
      <c r="I12" s="9">
        <v>0</v>
      </c>
      <c r="J12" s="9">
        <v>51.624000000000002</v>
      </c>
    </row>
    <row r="13" spans="1:10">
      <c r="A13" s="8" t="s">
        <v>28</v>
      </c>
      <c r="B13" s="9">
        <v>0</v>
      </c>
      <c r="C13" s="9">
        <v>0</v>
      </c>
      <c r="D13" s="9">
        <v>2667.7011922192</v>
      </c>
      <c r="E13" s="9">
        <v>0</v>
      </c>
      <c r="F13" s="9">
        <v>0</v>
      </c>
      <c r="G13" s="10">
        <v>0</v>
      </c>
      <c r="H13" s="9">
        <v>0</v>
      </c>
      <c r="I13" s="9">
        <v>0</v>
      </c>
      <c r="J13" s="9">
        <v>2667.7011922192</v>
      </c>
    </row>
    <row r="14" spans="1:10">
      <c r="A14" s="8" t="s">
        <v>29</v>
      </c>
      <c r="B14" s="9">
        <v>0</v>
      </c>
      <c r="C14" s="9">
        <v>0</v>
      </c>
      <c r="D14" s="9">
        <v>-30.220398306</v>
      </c>
      <c r="E14" s="9">
        <v>0</v>
      </c>
      <c r="F14" s="9">
        <v>0</v>
      </c>
      <c r="G14" s="10">
        <v>0</v>
      </c>
      <c r="H14" s="9">
        <v>0</v>
      </c>
      <c r="I14" s="9">
        <v>0</v>
      </c>
      <c r="J14" s="9">
        <v>-30.220398306</v>
      </c>
    </row>
    <row r="15" spans="1:10">
      <c r="A15" s="8" t="s">
        <v>30</v>
      </c>
      <c r="B15" s="9">
        <v>0</v>
      </c>
      <c r="C15" s="9">
        <v>0</v>
      </c>
      <c r="D15" s="9">
        <v>0</v>
      </c>
      <c r="E15" s="9">
        <v>0</v>
      </c>
      <c r="F15" s="9">
        <v>0</v>
      </c>
      <c r="G15" s="10">
        <v>0</v>
      </c>
      <c r="H15" s="9">
        <v>0</v>
      </c>
      <c r="I15" s="9">
        <v>0</v>
      </c>
      <c r="J15" s="9">
        <v>0</v>
      </c>
    </row>
    <row r="16" spans="1:10">
      <c r="A16" s="8" t="s">
        <v>31</v>
      </c>
      <c r="B16" s="9">
        <v>0</v>
      </c>
      <c r="C16" s="9">
        <v>0</v>
      </c>
      <c r="D16" s="9">
        <v>-265.99826032234688</v>
      </c>
      <c r="E16" s="9">
        <v>0</v>
      </c>
      <c r="F16" s="9">
        <v>0</v>
      </c>
      <c r="G16" s="10">
        <v>0</v>
      </c>
      <c r="H16" s="9">
        <v>0</v>
      </c>
      <c r="I16" s="9">
        <v>0</v>
      </c>
      <c r="J16" s="9">
        <v>-265.99826032234688</v>
      </c>
    </row>
    <row r="17" spans="1:10">
      <c r="A17" s="8" t="s">
        <v>32</v>
      </c>
      <c r="B17" s="9">
        <v>0</v>
      </c>
      <c r="C17" s="9">
        <v>0</v>
      </c>
      <c r="D17" s="9">
        <v>45.77178079799998</v>
      </c>
      <c r="E17" s="9">
        <v>0</v>
      </c>
      <c r="F17" s="9">
        <v>0</v>
      </c>
      <c r="G17" s="10">
        <v>0</v>
      </c>
      <c r="H17" s="9">
        <v>0</v>
      </c>
      <c r="I17" s="9">
        <v>0</v>
      </c>
      <c r="J17" s="9">
        <v>45.77178079799998</v>
      </c>
    </row>
    <row r="18" spans="1:10">
      <c r="A18" s="12" t="s">
        <v>33</v>
      </c>
      <c r="B18" s="13">
        <v>0</v>
      </c>
      <c r="C18" s="13">
        <v>0</v>
      </c>
      <c r="D18" s="13">
        <v>2417.2543143888529</v>
      </c>
      <c r="E18" s="13">
        <v>0</v>
      </c>
      <c r="F18" s="13">
        <v>482.09045900000007</v>
      </c>
      <c r="G18" s="14">
        <v>100.8234812907593</v>
      </c>
      <c r="H18" s="13">
        <v>0</v>
      </c>
      <c r="I18" s="13">
        <v>0</v>
      </c>
      <c r="J18" s="13">
        <v>3000.1682546796123</v>
      </c>
    </row>
    <row r="19" spans="1:10">
      <c r="A19" s="8" t="s">
        <v>34</v>
      </c>
      <c r="B19" s="9">
        <v>0</v>
      </c>
      <c r="C19" s="9">
        <v>0</v>
      </c>
      <c r="D19" s="9">
        <v>-361.10185815729301</v>
      </c>
      <c r="E19" s="9">
        <v>0</v>
      </c>
      <c r="F19" s="9">
        <v>0</v>
      </c>
      <c r="G19" s="10">
        <v>0</v>
      </c>
      <c r="H19" s="9">
        <v>-40.748121368675008</v>
      </c>
      <c r="I19" s="9">
        <v>0</v>
      </c>
      <c r="J19" s="9">
        <v>-401.84997952596802</v>
      </c>
    </row>
    <row r="20" spans="1:10">
      <c r="A20" s="8" t="s">
        <v>35</v>
      </c>
      <c r="B20" s="9">
        <v>0</v>
      </c>
      <c r="C20" s="9">
        <v>0</v>
      </c>
      <c r="D20" s="9">
        <v>1502.2846772165001</v>
      </c>
      <c r="E20" s="9">
        <v>0</v>
      </c>
      <c r="F20" s="9">
        <v>430.46645900000004</v>
      </c>
      <c r="G20" s="10">
        <v>65.400000000000006</v>
      </c>
      <c r="H20" s="9">
        <v>-877.53328944000009</v>
      </c>
      <c r="I20" s="9">
        <v>0</v>
      </c>
      <c r="J20" s="9">
        <v>1120.6178467765001</v>
      </c>
    </row>
    <row r="21" spans="1:10">
      <c r="A21" s="8" t="s">
        <v>36</v>
      </c>
      <c r="B21" s="9">
        <v>0</v>
      </c>
      <c r="C21" s="9">
        <v>0</v>
      </c>
      <c r="D21" s="9">
        <v>0</v>
      </c>
      <c r="E21" s="9">
        <v>0</v>
      </c>
      <c r="F21" s="9">
        <v>0</v>
      </c>
      <c r="G21" s="10">
        <v>0</v>
      </c>
      <c r="H21" s="9">
        <v>0</v>
      </c>
      <c r="I21" s="9">
        <v>0</v>
      </c>
      <c r="J21" s="9">
        <v>0</v>
      </c>
    </row>
    <row r="22" spans="1:10">
      <c r="A22" s="8" t="s">
        <v>37</v>
      </c>
      <c r="B22" s="9">
        <v>0</v>
      </c>
      <c r="C22" s="9">
        <v>0</v>
      </c>
      <c r="D22" s="9">
        <v>0</v>
      </c>
      <c r="E22" s="9">
        <v>0</v>
      </c>
      <c r="F22" s="9">
        <v>0</v>
      </c>
      <c r="G22" s="10">
        <v>0</v>
      </c>
      <c r="H22" s="9">
        <v>0</v>
      </c>
      <c r="I22" s="9">
        <v>0</v>
      </c>
      <c r="J22" s="9">
        <v>0</v>
      </c>
    </row>
    <row r="23" spans="1:10">
      <c r="A23" s="8" t="s">
        <v>38</v>
      </c>
      <c r="B23" s="9">
        <v>0</v>
      </c>
      <c r="C23" s="9">
        <v>0</v>
      </c>
      <c r="D23" s="9">
        <v>0</v>
      </c>
      <c r="E23" s="9">
        <v>0</v>
      </c>
      <c r="F23" s="9">
        <v>0</v>
      </c>
      <c r="G23" s="10">
        <v>0</v>
      </c>
      <c r="H23" s="9">
        <v>11.226067287297417</v>
      </c>
      <c r="I23" s="9">
        <v>0</v>
      </c>
      <c r="J23" s="9">
        <v>11.226067287297417</v>
      </c>
    </row>
    <row r="24" spans="1:10">
      <c r="A24" s="8" t="s">
        <v>39</v>
      </c>
      <c r="B24" s="9">
        <v>0</v>
      </c>
      <c r="C24" s="9">
        <v>0</v>
      </c>
      <c r="D24" s="9">
        <v>0</v>
      </c>
      <c r="E24" s="9">
        <v>0</v>
      </c>
      <c r="F24" s="9">
        <v>0</v>
      </c>
      <c r="G24" s="10">
        <v>0</v>
      </c>
      <c r="H24" s="9">
        <v>87.430946527361314</v>
      </c>
      <c r="I24" s="9">
        <v>0</v>
      </c>
      <c r="J24" s="9">
        <v>87.430946527361314</v>
      </c>
    </row>
    <row r="25" spans="1:10">
      <c r="A25" s="12" t="s">
        <v>40</v>
      </c>
      <c r="B25" s="13">
        <v>0</v>
      </c>
      <c r="C25" s="13">
        <v>0</v>
      </c>
      <c r="D25" s="13">
        <v>1141.1828190592071</v>
      </c>
      <c r="E25" s="13">
        <v>0</v>
      </c>
      <c r="F25" s="13">
        <v>430.46645900000004</v>
      </c>
      <c r="G25" s="14">
        <v>65.400000000000006</v>
      </c>
      <c r="H25" s="13">
        <v>-819.62439699401637</v>
      </c>
      <c r="I25" s="13">
        <v>0</v>
      </c>
      <c r="J25" s="13">
        <v>817.42488106519079</v>
      </c>
    </row>
    <row r="26" spans="1:10">
      <c r="A26" s="8" t="s">
        <v>41</v>
      </c>
      <c r="B26" s="9">
        <v>0</v>
      </c>
      <c r="C26" s="9">
        <v>0</v>
      </c>
      <c r="D26" s="9">
        <v>1.6523245685572212</v>
      </c>
      <c r="E26" s="9">
        <v>0</v>
      </c>
      <c r="F26" s="9">
        <v>0</v>
      </c>
      <c r="G26" s="10">
        <v>0</v>
      </c>
      <c r="H26" s="9">
        <v>32.759784431793697</v>
      </c>
      <c r="I26" s="9">
        <v>0</v>
      </c>
      <c r="J26" s="9">
        <v>34.412109000350917</v>
      </c>
    </row>
    <row r="27" spans="1:10">
      <c r="A27" s="8" t="s">
        <v>42</v>
      </c>
      <c r="B27" s="9">
        <v>0</v>
      </c>
      <c r="C27" s="9">
        <v>0</v>
      </c>
      <c r="D27" s="9">
        <v>1100.461441585699</v>
      </c>
      <c r="E27" s="9">
        <v>0</v>
      </c>
      <c r="F27" s="9">
        <v>0</v>
      </c>
      <c r="G27" s="10">
        <v>0</v>
      </c>
      <c r="H27" s="9">
        <v>0</v>
      </c>
      <c r="I27" s="9">
        <v>0</v>
      </c>
      <c r="J27" s="9">
        <v>1100.461441585699</v>
      </c>
    </row>
    <row r="28" spans="1:10">
      <c r="A28" s="8" t="s">
        <v>43</v>
      </c>
      <c r="B28" s="9">
        <v>0</v>
      </c>
      <c r="C28" s="9">
        <v>0</v>
      </c>
      <c r="D28" s="9">
        <v>66.392949999999999</v>
      </c>
      <c r="E28" s="9">
        <v>0</v>
      </c>
      <c r="F28" s="9">
        <v>0</v>
      </c>
      <c r="G28" s="10">
        <v>22.28601076</v>
      </c>
      <c r="H28" s="9">
        <v>320.80598600000002</v>
      </c>
      <c r="I28" s="9">
        <v>0</v>
      </c>
      <c r="J28" s="9">
        <v>409.48494676000001</v>
      </c>
    </row>
    <row r="29" spans="1:10">
      <c r="A29" s="8" t="s">
        <v>44</v>
      </c>
      <c r="B29" s="9">
        <v>0</v>
      </c>
      <c r="C29" s="9">
        <v>0</v>
      </c>
      <c r="D29" s="9">
        <v>0</v>
      </c>
      <c r="E29" s="9">
        <v>0</v>
      </c>
      <c r="F29" s="9">
        <v>0</v>
      </c>
      <c r="G29" s="10">
        <v>0.29805364000000001</v>
      </c>
      <c r="H29" s="9">
        <v>465.37188429951698</v>
      </c>
      <c r="I29" s="9">
        <v>0</v>
      </c>
      <c r="J29" s="9">
        <v>465.66993793951696</v>
      </c>
    </row>
    <row r="30" spans="1:10">
      <c r="A30" s="8" t="s">
        <v>4</v>
      </c>
      <c r="B30" s="9">
        <v>0</v>
      </c>
      <c r="C30" s="9">
        <v>0</v>
      </c>
      <c r="D30" s="9">
        <v>45.036322347189625</v>
      </c>
      <c r="E30" s="9">
        <v>0</v>
      </c>
      <c r="F30" s="9">
        <v>0</v>
      </c>
      <c r="G30" s="10">
        <v>12.839416890759299</v>
      </c>
      <c r="H30" s="9">
        <v>0.68674226270566097</v>
      </c>
      <c r="I30" s="9">
        <v>0</v>
      </c>
      <c r="J30" s="9">
        <v>58.562481500654584</v>
      </c>
    </row>
    <row r="31" spans="1:10">
      <c r="A31" s="16" t="s">
        <v>45</v>
      </c>
      <c r="B31" s="17">
        <v>0</v>
      </c>
      <c r="C31" s="17">
        <v>0</v>
      </c>
      <c r="D31" s="17">
        <v>1213.5430385014458</v>
      </c>
      <c r="E31" s="17">
        <v>0</v>
      </c>
      <c r="F31" s="17">
        <v>0</v>
      </c>
      <c r="G31" s="18">
        <v>35.423481290759298</v>
      </c>
      <c r="H31" s="17">
        <v>819.62439699401637</v>
      </c>
      <c r="I31" s="17">
        <v>0</v>
      </c>
      <c r="J31" s="17">
        <v>2068.5909167862214</v>
      </c>
    </row>
    <row r="32" spans="1:10">
      <c r="A32" s="16" t="s">
        <v>46</v>
      </c>
      <c r="B32" s="17">
        <v>0</v>
      </c>
      <c r="C32" s="17">
        <v>0</v>
      </c>
      <c r="D32" s="17">
        <v>62.528456828200007</v>
      </c>
      <c r="E32" s="17">
        <v>0</v>
      </c>
      <c r="F32" s="17">
        <v>0</v>
      </c>
      <c r="G32" s="18">
        <v>0</v>
      </c>
      <c r="H32" s="17">
        <v>0</v>
      </c>
      <c r="I32" s="17">
        <v>0</v>
      </c>
      <c r="J32" s="17">
        <v>62.528456828200007</v>
      </c>
    </row>
    <row r="33" spans="1:10">
      <c r="A33" s="12" t="s">
        <v>47</v>
      </c>
      <c r="B33" s="13">
        <v>0</v>
      </c>
      <c r="C33" s="13">
        <v>0</v>
      </c>
      <c r="D33" s="13">
        <v>1276.0714953296458</v>
      </c>
      <c r="E33" s="13">
        <v>0</v>
      </c>
      <c r="F33" s="13">
        <v>0</v>
      </c>
      <c r="G33" s="14">
        <v>35.423481290759298</v>
      </c>
      <c r="H33" s="13">
        <v>819.62439699401637</v>
      </c>
      <c r="I33" s="13">
        <v>0</v>
      </c>
      <c r="J33" s="13">
        <v>2131.1193736144214</v>
      </c>
    </row>
    <row r="34" spans="1:10">
      <c r="A34" s="8" t="s">
        <v>346</v>
      </c>
      <c r="B34" s="8"/>
      <c r="C34" s="8"/>
      <c r="D34" s="8"/>
      <c r="E34" s="8"/>
      <c r="F34" s="8"/>
      <c r="G34" s="214"/>
      <c r="H34" s="8"/>
      <c r="I34" s="8"/>
      <c r="J34" s="8"/>
    </row>
    <row r="35" spans="1:10">
      <c r="A35" s="8"/>
      <c r="B35" s="8"/>
      <c r="C35" s="8"/>
      <c r="D35" s="8"/>
      <c r="E35" s="8"/>
      <c r="F35" s="8"/>
      <c r="G35" s="214"/>
      <c r="H35" s="8"/>
      <c r="I35" s="8"/>
      <c r="J35" s="8"/>
    </row>
    <row r="36" spans="1:10">
      <c r="A36" s="8"/>
      <c r="B36" s="8" t="s">
        <v>347</v>
      </c>
      <c r="C36" s="8"/>
      <c r="D36" s="8"/>
      <c r="E36" s="8"/>
      <c r="F36" s="8"/>
      <c r="G36" s="214"/>
      <c r="H36" s="8"/>
      <c r="I36" s="8"/>
      <c r="J36" s="8"/>
    </row>
    <row r="37" spans="1:10">
      <c r="A37" s="8"/>
      <c r="B37" s="8" t="s">
        <v>344</v>
      </c>
      <c r="C37" s="8"/>
      <c r="D37" s="8"/>
      <c r="E37" s="8"/>
      <c r="F37" s="8"/>
      <c r="G37" s="214"/>
      <c r="H37" s="8"/>
      <c r="I37" s="8"/>
      <c r="J37" s="8"/>
    </row>
    <row r="38" spans="1:10">
      <c r="A38" s="8"/>
      <c r="B38" s="8" t="s">
        <v>345</v>
      </c>
      <c r="C38" s="8"/>
      <c r="D38" s="8"/>
      <c r="E38" s="8"/>
      <c r="F38" s="8"/>
      <c r="G38" s="214"/>
      <c r="H38" s="8"/>
      <c r="I38" s="8"/>
      <c r="J38" s="8"/>
    </row>
    <row r="39" spans="1:10">
      <c r="A39" s="8"/>
      <c r="B39" s="8"/>
      <c r="C39" s="8"/>
      <c r="D39" s="8"/>
      <c r="E39" s="8"/>
      <c r="F39" s="8"/>
      <c r="G39" s="214"/>
      <c r="H39" s="8"/>
      <c r="I39" s="8"/>
      <c r="J39" s="8"/>
    </row>
    <row r="40" spans="1:10" ht="43.2">
      <c r="A40" s="12"/>
      <c r="B40" s="211" t="s">
        <v>14</v>
      </c>
      <c r="C40" s="211" t="s">
        <v>15</v>
      </c>
      <c r="D40" s="211" t="s">
        <v>16</v>
      </c>
      <c r="E40" s="211" t="s">
        <v>17</v>
      </c>
      <c r="F40" s="211" t="s">
        <v>18</v>
      </c>
      <c r="G40" s="212" t="s">
        <v>19</v>
      </c>
      <c r="H40" s="211" t="s">
        <v>20</v>
      </c>
      <c r="I40" s="211" t="s">
        <v>21</v>
      </c>
      <c r="J40" s="211" t="s">
        <v>23</v>
      </c>
    </row>
    <row r="41" spans="1:10">
      <c r="A41" s="8" t="s">
        <v>24</v>
      </c>
      <c r="B41" s="9">
        <v>0</v>
      </c>
      <c r="C41" s="9">
        <v>0</v>
      </c>
      <c r="D41" s="9">
        <v>0</v>
      </c>
      <c r="E41" s="9">
        <v>0</v>
      </c>
      <c r="F41" s="9">
        <v>457.24691900000005</v>
      </c>
      <c r="G41" s="10">
        <v>122.44755464800002</v>
      </c>
      <c r="H41" s="9">
        <v>0</v>
      </c>
      <c r="I41" s="9">
        <v>0</v>
      </c>
      <c r="J41" s="9">
        <v>579.6944736480001</v>
      </c>
    </row>
    <row r="42" spans="1:10">
      <c r="A42" s="8" t="s">
        <v>25</v>
      </c>
      <c r="B42" s="9">
        <v>0</v>
      </c>
      <c r="C42" s="9">
        <v>0</v>
      </c>
      <c r="D42" s="9">
        <v>0</v>
      </c>
      <c r="E42" s="9">
        <v>0</v>
      </c>
      <c r="F42" s="9">
        <v>408.88991900000002</v>
      </c>
      <c r="G42" s="10">
        <v>0</v>
      </c>
      <c r="H42" s="9">
        <v>0</v>
      </c>
      <c r="I42" s="9">
        <v>0</v>
      </c>
      <c r="J42" s="9">
        <v>408.88991900000002</v>
      </c>
    </row>
    <row r="43" spans="1:10">
      <c r="A43" s="8" t="s">
        <v>26</v>
      </c>
      <c r="B43" s="9">
        <v>0</v>
      </c>
      <c r="C43" s="9">
        <v>0</v>
      </c>
      <c r="D43" s="9">
        <v>0</v>
      </c>
      <c r="E43" s="9">
        <v>0</v>
      </c>
      <c r="F43" s="9">
        <v>0</v>
      </c>
      <c r="G43" s="10">
        <v>0</v>
      </c>
      <c r="H43" s="9">
        <v>0</v>
      </c>
      <c r="I43" s="9">
        <v>0</v>
      </c>
      <c r="J43" s="9">
        <v>0</v>
      </c>
    </row>
    <row r="44" spans="1:10">
      <c r="A44" s="8" t="s">
        <v>27</v>
      </c>
      <c r="B44" s="9">
        <v>0</v>
      </c>
      <c r="C44" s="9">
        <v>0</v>
      </c>
      <c r="D44" s="9">
        <v>0</v>
      </c>
      <c r="E44" s="9">
        <v>0</v>
      </c>
      <c r="F44" s="9">
        <v>48.357000000000006</v>
      </c>
      <c r="G44" s="10">
        <v>0</v>
      </c>
      <c r="H44" s="9">
        <v>0</v>
      </c>
      <c r="I44" s="9">
        <v>0</v>
      </c>
      <c r="J44" s="9">
        <v>48.357000000000006</v>
      </c>
    </row>
    <row r="45" spans="1:10">
      <c r="A45" s="8" t="s">
        <v>28</v>
      </c>
      <c r="B45" s="9">
        <v>0</v>
      </c>
      <c r="C45" s="9">
        <v>0</v>
      </c>
      <c r="D45" s="9">
        <v>3616.9300000000003</v>
      </c>
      <c r="E45" s="9">
        <v>0</v>
      </c>
      <c r="F45" s="9">
        <v>0</v>
      </c>
      <c r="G45" s="10">
        <v>0</v>
      </c>
      <c r="H45" s="9">
        <v>0</v>
      </c>
      <c r="I45" s="9">
        <v>0</v>
      </c>
      <c r="J45" s="9">
        <v>3616.9300000000003</v>
      </c>
    </row>
    <row r="46" spans="1:10">
      <c r="A46" s="8" t="s">
        <v>29</v>
      </c>
      <c r="B46" s="9">
        <v>0</v>
      </c>
      <c r="C46" s="9">
        <v>0</v>
      </c>
      <c r="D46" s="9">
        <v>-11.63</v>
      </c>
      <c r="E46" s="9">
        <v>0</v>
      </c>
      <c r="F46" s="9">
        <v>0</v>
      </c>
      <c r="G46" s="10">
        <v>0</v>
      </c>
      <c r="H46" s="9">
        <v>0</v>
      </c>
      <c r="I46" s="9">
        <v>0</v>
      </c>
      <c r="J46" s="9">
        <v>-11.63</v>
      </c>
    </row>
    <row r="47" spans="1:10">
      <c r="A47" s="8" t="s">
        <v>30</v>
      </c>
      <c r="B47" s="9">
        <v>0</v>
      </c>
      <c r="C47" s="9">
        <v>0</v>
      </c>
      <c r="D47" s="9">
        <v>0</v>
      </c>
      <c r="E47" s="9">
        <v>0</v>
      </c>
      <c r="F47" s="9">
        <v>0</v>
      </c>
      <c r="G47" s="10">
        <v>0</v>
      </c>
      <c r="H47" s="9">
        <v>0</v>
      </c>
      <c r="I47" s="9">
        <v>0</v>
      </c>
      <c r="J47" s="9">
        <v>0</v>
      </c>
    </row>
    <row r="48" spans="1:10">
      <c r="A48" s="8" t="s">
        <v>31</v>
      </c>
      <c r="B48" s="9">
        <v>0</v>
      </c>
      <c r="C48" s="9">
        <v>0</v>
      </c>
      <c r="D48" s="9">
        <v>-416.73688888888893</v>
      </c>
      <c r="E48" s="9">
        <v>0</v>
      </c>
      <c r="F48" s="9">
        <v>0</v>
      </c>
      <c r="G48" s="10">
        <v>0</v>
      </c>
      <c r="H48" s="9">
        <v>0</v>
      </c>
      <c r="I48" s="9">
        <v>0</v>
      </c>
      <c r="J48" s="9">
        <v>-416.73688888888893</v>
      </c>
    </row>
    <row r="49" spans="1:10">
      <c r="A49" s="8" t="s">
        <v>32</v>
      </c>
      <c r="B49" s="9">
        <v>0</v>
      </c>
      <c r="C49" s="9">
        <v>0</v>
      </c>
      <c r="D49" s="9">
        <v>81.410000000000011</v>
      </c>
      <c r="E49" s="9">
        <v>0</v>
      </c>
      <c r="F49" s="9">
        <v>0</v>
      </c>
      <c r="G49" s="10">
        <v>0</v>
      </c>
      <c r="H49" s="9">
        <v>0</v>
      </c>
      <c r="I49" s="9">
        <v>0</v>
      </c>
      <c r="J49" s="9">
        <v>81.410000000000011</v>
      </c>
    </row>
    <row r="50" spans="1:10">
      <c r="A50" s="12" t="s">
        <v>33</v>
      </c>
      <c r="B50" s="13">
        <v>0</v>
      </c>
      <c r="C50" s="13">
        <v>0</v>
      </c>
      <c r="D50" s="13">
        <v>3269.9731111111109</v>
      </c>
      <c r="E50" s="13">
        <v>0</v>
      </c>
      <c r="F50" s="13">
        <v>457.24691900000005</v>
      </c>
      <c r="G50" s="14">
        <v>122.44755464800002</v>
      </c>
      <c r="H50" s="13">
        <v>0</v>
      </c>
      <c r="I50" s="13">
        <v>0</v>
      </c>
      <c r="J50" s="13">
        <v>3849.6675847591109</v>
      </c>
    </row>
    <row r="51" spans="1:10">
      <c r="A51" s="8" t="s">
        <v>34</v>
      </c>
      <c r="B51" s="9">
        <v>0</v>
      </c>
      <c r="C51" s="9">
        <v>0</v>
      </c>
      <c r="D51" s="9">
        <v>239.5007695360276</v>
      </c>
      <c r="E51" s="9">
        <v>0</v>
      </c>
      <c r="F51" s="9">
        <v>0</v>
      </c>
      <c r="G51" s="10">
        <v>0</v>
      </c>
      <c r="H51" s="9">
        <v>-11.070475826039427</v>
      </c>
      <c r="I51" s="9">
        <v>0</v>
      </c>
      <c r="J51" s="9">
        <v>217.67252667309313</v>
      </c>
    </row>
    <row r="52" spans="1:10">
      <c r="A52" s="8" t="s">
        <v>35</v>
      </c>
      <c r="B52" s="9">
        <v>0</v>
      </c>
      <c r="C52" s="9">
        <v>0</v>
      </c>
      <c r="D52" s="9">
        <v>1554.4706318000001</v>
      </c>
      <c r="E52" s="9">
        <v>0</v>
      </c>
      <c r="F52" s="9">
        <v>457.24691900000005</v>
      </c>
      <c r="G52" s="10">
        <v>88.164000000000001</v>
      </c>
      <c r="H52" s="9">
        <v>-905.54299986000001</v>
      </c>
      <c r="I52" s="9">
        <v>0</v>
      </c>
      <c r="J52" s="9">
        <v>1194.3385509399998</v>
      </c>
    </row>
    <row r="53" spans="1:10">
      <c r="A53" s="8" t="s">
        <v>36</v>
      </c>
      <c r="B53" s="9">
        <v>0</v>
      </c>
      <c r="C53" s="9">
        <v>0</v>
      </c>
      <c r="D53" s="9">
        <v>0</v>
      </c>
      <c r="E53" s="9">
        <v>0</v>
      </c>
      <c r="F53" s="9">
        <v>0</v>
      </c>
      <c r="G53" s="10">
        <v>0</v>
      </c>
      <c r="H53" s="9">
        <v>0</v>
      </c>
      <c r="I53" s="9">
        <v>0</v>
      </c>
      <c r="J53" s="9">
        <v>0</v>
      </c>
    </row>
    <row r="54" spans="1:10">
      <c r="A54" s="8" t="s">
        <v>37</v>
      </c>
      <c r="B54" s="9">
        <v>0</v>
      </c>
      <c r="C54" s="9">
        <v>0</v>
      </c>
      <c r="D54" s="9">
        <v>0</v>
      </c>
      <c r="E54" s="9">
        <v>0</v>
      </c>
      <c r="F54" s="9">
        <v>0</v>
      </c>
      <c r="G54" s="10">
        <v>0</v>
      </c>
      <c r="H54" s="9">
        <v>0</v>
      </c>
      <c r="I54" s="9">
        <v>0</v>
      </c>
      <c r="J54" s="9">
        <v>0</v>
      </c>
    </row>
    <row r="55" spans="1:10">
      <c r="A55" s="8" t="s">
        <v>38</v>
      </c>
      <c r="B55" s="9">
        <v>0</v>
      </c>
      <c r="C55" s="9">
        <v>0</v>
      </c>
      <c r="D55" s="9">
        <v>0</v>
      </c>
      <c r="E55" s="9">
        <v>0</v>
      </c>
      <c r="F55" s="9">
        <v>0</v>
      </c>
      <c r="G55" s="10">
        <v>0</v>
      </c>
      <c r="H55" s="9">
        <v>9.8664748772150972</v>
      </c>
      <c r="I55" s="9">
        <v>0</v>
      </c>
      <c r="J55" s="9">
        <v>9.8664748772150972</v>
      </c>
    </row>
    <row r="56" spans="1:10">
      <c r="A56" s="8" t="s">
        <v>39</v>
      </c>
      <c r="B56" s="9">
        <v>0</v>
      </c>
      <c r="C56" s="9">
        <v>0</v>
      </c>
      <c r="D56" s="9">
        <v>0</v>
      </c>
      <c r="E56" s="9">
        <v>0</v>
      </c>
      <c r="F56" s="9">
        <v>0</v>
      </c>
      <c r="G56" s="10">
        <v>0</v>
      </c>
      <c r="H56" s="9">
        <v>87.960464592556775</v>
      </c>
      <c r="I56" s="9">
        <v>0</v>
      </c>
      <c r="J56" s="9">
        <v>98.718231629451964</v>
      </c>
    </row>
    <row r="57" spans="1:10">
      <c r="A57" s="12" t="s">
        <v>40</v>
      </c>
      <c r="B57" s="13">
        <v>0</v>
      </c>
      <c r="C57" s="13">
        <v>0</v>
      </c>
      <c r="D57" s="13">
        <v>1793.9714013360276</v>
      </c>
      <c r="E57" s="13">
        <v>0</v>
      </c>
      <c r="F57" s="13">
        <v>457.24691900000005</v>
      </c>
      <c r="G57" s="14">
        <v>88.164000000000001</v>
      </c>
      <c r="H57" s="13">
        <v>-818.78653621626768</v>
      </c>
      <c r="I57" s="13">
        <v>0</v>
      </c>
      <c r="J57" s="13">
        <v>1520.5957841197601</v>
      </c>
    </row>
    <row r="58" spans="1:10">
      <c r="A58" s="8" t="s">
        <v>41</v>
      </c>
      <c r="B58" s="9">
        <v>0</v>
      </c>
      <c r="C58" s="9">
        <v>0</v>
      </c>
      <c r="D58" s="9">
        <v>12.845083333333335</v>
      </c>
      <c r="E58" s="9">
        <v>0</v>
      </c>
      <c r="F58" s="9">
        <v>0</v>
      </c>
      <c r="G58" s="10">
        <v>0.99948917799999903</v>
      </c>
      <c r="H58" s="9">
        <v>32.7460097065753</v>
      </c>
      <c r="I58" s="9">
        <v>0</v>
      </c>
      <c r="J58" s="9">
        <v>46.590582217908633</v>
      </c>
    </row>
    <row r="59" spans="1:10">
      <c r="A59" s="8" t="s">
        <v>42</v>
      </c>
      <c r="B59" s="9">
        <v>0</v>
      </c>
      <c r="C59" s="9">
        <v>0</v>
      </c>
      <c r="D59" s="9">
        <v>1266.3962916666669</v>
      </c>
      <c r="E59" s="9">
        <v>0</v>
      </c>
      <c r="F59" s="9">
        <v>0</v>
      </c>
      <c r="G59" s="10">
        <v>0</v>
      </c>
      <c r="H59" s="9">
        <v>0</v>
      </c>
      <c r="I59" s="9">
        <v>0</v>
      </c>
      <c r="J59" s="9">
        <v>1266.3962916666669</v>
      </c>
    </row>
    <row r="60" spans="1:10">
      <c r="A60" s="8" t="s">
        <v>43</v>
      </c>
      <c r="B60" s="9">
        <v>0</v>
      </c>
      <c r="C60" s="9">
        <v>0</v>
      </c>
      <c r="D60" s="9">
        <v>65.570700000000002</v>
      </c>
      <c r="E60" s="9">
        <v>0</v>
      </c>
      <c r="F60" s="9">
        <v>0</v>
      </c>
      <c r="G60" s="10">
        <v>20.531695039999999</v>
      </c>
      <c r="H60" s="9">
        <v>308.74838399999999</v>
      </c>
      <c r="I60" s="9">
        <v>0</v>
      </c>
      <c r="J60" s="9">
        <v>329.28007904000003</v>
      </c>
    </row>
    <row r="61" spans="1:10">
      <c r="A61" s="8" t="s">
        <v>44</v>
      </c>
      <c r="B61" s="9">
        <v>0</v>
      </c>
      <c r="C61" s="9">
        <v>0</v>
      </c>
      <c r="D61" s="9">
        <v>0</v>
      </c>
      <c r="E61" s="9">
        <v>0</v>
      </c>
      <c r="F61" s="9">
        <v>0</v>
      </c>
      <c r="G61" s="10">
        <v>0.29905381999999997</v>
      </c>
      <c r="H61" s="9">
        <v>476.73808516024604</v>
      </c>
      <c r="I61" s="9">
        <v>0</v>
      </c>
      <c r="J61" s="9">
        <v>542.60783898024613</v>
      </c>
    </row>
    <row r="62" spans="1:10">
      <c r="A62" s="8" t="s">
        <v>4</v>
      </c>
      <c r="B62" s="9">
        <v>0</v>
      </c>
      <c r="C62" s="9">
        <v>0</v>
      </c>
      <c r="D62" s="9">
        <v>64.653666666666666</v>
      </c>
      <c r="E62" s="9">
        <v>0</v>
      </c>
      <c r="F62" s="9">
        <v>0</v>
      </c>
      <c r="G62" s="10">
        <v>12.45331661</v>
      </c>
      <c r="H62" s="9">
        <v>0.55405734944624696</v>
      </c>
      <c r="I62" s="9">
        <v>0</v>
      </c>
      <c r="J62" s="9">
        <v>77.661040626112921</v>
      </c>
    </row>
    <row r="63" spans="1:10">
      <c r="A63" s="16" t="s">
        <v>45</v>
      </c>
      <c r="B63" s="17">
        <v>0</v>
      </c>
      <c r="C63" s="17">
        <v>0</v>
      </c>
      <c r="D63" s="17">
        <v>1409.4657416666669</v>
      </c>
      <c r="E63" s="17">
        <v>0</v>
      </c>
      <c r="F63" s="17">
        <v>0</v>
      </c>
      <c r="G63" s="18">
        <v>34.283554647999999</v>
      </c>
      <c r="H63" s="17">
        <v>818.78653621626756</v>
      </c>
      <c r="I63" s="17">
        <v>0</v>
      </c>
      <c r="J63" s="17">
        <v>2262.5358325309344</v>
      </c>
    </row>
    <row r="64" spans="1:10">
      <c r="A64" s="16" t="s">
        <v>46</v>
      </c>
      <c r="B64" s="17">
        <v>0</v>
      </c>
      <c r="C64" s="17">
        <v>0</v>
      </c>
      <c r="D64" s="17">
        <v>66.535968108416995</v>
      </c>
      <c r="E64" s="17">
        <v>0</v>
      </c>
      <c r="F64" s="17">
        <v>0</v>
      </c>
      <c r="G64" s="18">
        <v>0</v>
      </c>
      <c r="H64" s="17">
        <v>0</v>
      </c>
      <c r="I64" s="17">
        <v>0</v>
      </c>
      <c r="J64" s="17">
        <v>66.535968108416995</v>
      </c>
    </row>
    <row r="65" spans="1:10">
      <c r="A65" s="12" t="s">
        <v>47</v>
      </c>
      <c r="B65" s="13">
        <v>0</v>
      </c>
      <c r="C65" s="13">
        <v>0</v>
      </c>
      <c r="D65" s="13">
        <v>1476.0017097750838</v>
      </c>
      <c r="E65" s="13">
        <v>0</v>
      </c>
      <c r="F65" s="13">
        <v>0</v>
      </c>
      <c r="G65" s="14">
        <v>34.283554647999999</v>
      </c>
      <c r="H65" s="13">
        <v>818.78653621626756</v>
      </c>
      <c r="I65" s="13">
        <v>0</v>
      </c>
      <c r="J65" s="13">
        <v>2329.0718006393513</v>
      </c>
    </row>
    <row r="66" spans="1:10">
      <c r="A66" s="8" t="s">
        <v>346</v>
      </c>
      <c r="B66" s="8"/>
      <c r="C66" s="8"/>
      <c r="D66" s="8"/>
      <c r="E66" s="8"/>
      <c r="F66" s="8"/>
      <c r="G66" s="214"/>
      <c r="H66" s="8"/>
      <c r="I66" s="8"/>
      <c r="J66" s="8"/>
    </row>
    <row r="67" spans="1:10">
      <c r="A67" s="8"/>
      <c r="B67" s="8"/>
      <c r="C67" s="8"/>
      <c r="D67" s="8"/>
      <c r="E67" s="8"/>
      <c r="F67" s="8"/>
      <c r="G67" s="214"/>
      <c r="H67" s="8"/>
      <c r="I67" s="8"/>
      <c r="J67" s="8"/>
    </row>
    <row r="68" spans="1:10">
      <c r="A68" s="8"/>
      <c r="B68" s="8" t="s">
        <v>348</v>
      </c>
      <c r="C68" s="8"/>
      <c r="D68" s="8"/>
      <c r="E68" s="8"/>
      <c r="F68" s="8"/>
      <c r="G68" s="214"/>
      <c r="H68" s="8"/>
      <c r="I68" s="8"/>
      <c r="J68" s="8"/>
    </row>
    <row r="69" spans="1:10">
      <c r="A69" s="8"/>
      <c r="B69" s="8" t="s">
        <v>344</v>
      </c>
      <c r="C69" s="8"/>
      <c r="D69" s="8"/>
      <c r="E69" s="8"/>
      <c r="F69" s="8"/>
      <c r="G69" s="214"/>
      <c r="H69" s="8"/>
      <c r="I69" s="8"/>
      <c r="J69" s="8"/>
    </row>
    <row r="70" spans="1:10">
      <c r="A70" s="8"/>
      <c r="B70" s="8" t="s">
        <v>345</v>
      </c>
      <c r="C70" s="8"/>
      <c r="D70" s="8"/>
      <c r="E70" s="8"/>
      <c r="F70" s="8"/>
      <c r="G70" s="214"/>
      <c r="H70" s="8"/>
      <c r="I70" s="8"/>
      <c r="J70" s="8"/>
    </row>
    <row r="71" spans="1:10">
      <c r="A71" s="8"/>
      <c r="B71" s="8"/>
      <c r="C71" s="8"/>
      <c r="D71" s="8"/>
      <c r="E71" s="8"/>
      <c r="F71" s="8"/>
      <c r="G71" s="214"/>
      <c r="H71" s="8"/>
      <c r="I71" s="8"/>
      <c r="J71" s="8"/>
    </row>
    <row r="72" spans="1:10" ht="43.2">
      <c r="A72" s="12"/>
      <c r="B72" s="211" t="s">
        <v>14</v>
      </c>
      <c r="C72" s="211" t="s">
        <v>15</v>
      </c>
      <c r="D72" s="211" t="s">
        <v>16</v>
      </c>
      <c r="E72" s="211" t="s">
        <v>17</v>
      </c>
      <c r="F72" s="211" t="s">
        <v>18</v>
      </c>
      <c r="G72" s="212" t="s">
        <v>19</v>
      </c>
      <c r="H72" s="211" t="s">
        <v>20</v>
      </c>
      <c r="I72" s="211" t="s">
        <v>21</v>
      </c>
      <c r="J72" s="211" t="s">
        <v>23</v>
      </c>
    </row>
    <row r="73" spans="1:10">
      <c r="A73" s="8" t="s">
        <v>24</v>
      </c>
      <c r="B73" s="9">
        <v>0</v>
      </c>
      <c r="C73" s="9">
        <v>0</v>
      </c>
      <c r="D73" s="9">
        <v>0</v>
      </c>
      <c r="E73" s="9">
        <v>0</v>
      </c>
      <c r="F73" s="9">
        <v>593.83000000000015</v>
      </c>
      <c r="G73" s="10">
        <v>117.798766038</v>
      </c>
      <c r="H73" s="9">
        <v>0</v>
      </c>
      <c r="I73" s="9">
        <v>0</v>
      </c>
      <c r="J73" s="9">
        <v>711.62876603800009</v>
      </c>
    </row>
    <row r="74" spans="1:10">
      <c r="A74" s="8" t="s">
        <v>25</v>
      </c>
      <c r="B74" s="9">
        <v>0</v>
      </c>
      <c r="C74" s="9">
        <v>0</v>
      </c>
      <c r="D74" s="9">
        <v>0</v>
      </c>
      <c r="E74" s="9">
        <v>0</v>
      </c>
      <c r="F74" s="9">
        <v>544.63600000000008</v>
      </c>
      <c r="G74" s="10">
        <v>0</v>
      </c>
      <c r="H74" s="9">
        <v>0</v>
      </c>
      <c r="I74" s="9">
        <v>0</v>
      </c>
      <c r="J74" s="9">
        <v>544.63600000000008</v>
      </c>
    </row>
    <row r="75" spans="1:10">
      <c r="A75" s="8" t="s">
        <v>26</v>
      </c>
      <c r="B75" s="9">
        <v>0</v>
      </c>
      <c r="C75" s="9">
        <v>0</v>
      </c>
      <c r="D75" s="9">
        <v>0</v>
      </c>
      <c r="E75" s="9">
        <v>0</v>
      </c>
      <c r="F75" s="9">
        <v>0</v>
      </c>
      <c r="G75" s="10">
        <v>0</v>
      </c>
      <c r="H75" s="9">
        <v>0</v>
      </c>
      <c r="I75" s="9">
        <v>0</v>
      </c>
      <c r="J75" s="9">
        <v>0</v>
      </c>
    </row>
    <row r="76" spans="1:10">
      <c r="A76" s="8" t="s">
        <v>27</v>
      </c>
      <c r="B76" s="9">
        <v>0</v>
      </c>
      <c r="C76" s="9">
        <v>0</v>
      </c>
      <c r="D76" s="9">
        <v>0</v>
      </c>
      <c r="E76" s="9">
        <v>0</v>
      </c>
      <c r="F76" s="9">
        <v>49.193999999999996</v>
      </c>
      <c r="G76" s="10">
        <v>0</v>
      </c>
      <c r="H76" s="9">
        <v>0</v>
      </c>
      <c r="I76" s="9">
        <v>0</v>
      </c>
      <c r="J76" s="9">
        <v>49.193999999999996</v>
      </c>
    </row>
    <row r="77" spans="1:10">
      <c r="A77" s="8" t="s">
        <v>28</v>
      </c>
      <c r="B77" s="9">
        <v>0</v>
      </c>
      <c r="C77" s="9">
        <v>0</v>
      </c>
      <c r="D77" s="9">
        <v>2796.1852319663089</v>
      </c>
      <c r="E77" s="9">
        <v>0</v>
      </c>
      <c r="F77" s="9">
        <v>0</v>
      </c>
      <c r="G77" s="10">
        <v>0</v>
      </c>
      <c r="H77" s="9">
        <v>0</v>
      </c>
      <c r="I77" s="9">
        <v>0</v>
      </c>
      <c r="J77" s="9">
        <v>2796.1852319663089</v>
      </c>
    </row>
    <row r="78" spans="1:10">
      <c r="A78" s="8" t="s">
        <v>29</v>
      </c>
      <c r="B78" s="9">
        <v>0</v>
      </c>
      <c r="C78" s="9">
        <v>0</v>
      </c>
      <c r="D78" s="9">
        <v>-15.373001574846</v>
      </c>
      <c r="E78" s="9">
        <v>0</v>
      </c>
      <c r="F78" s="9">
        <v>0</v>
      </c>
      <c r="G78" s="10">
        <v>0</v>
      </c>
      <c r="H78" s="9">
        <v>0</v>
      </c>
      <c r="I78" s="9">
        <v>0</v>
      </c>
      <c r="J78" s="9">
        <v>-15.373001574846</v>
      </c>
    </row>
    <row r="79" spans="1:10">
      <c r="A79" s="8" t="s">
        <v>30</v>
      </c>
      <c r="B79" s="9">
        <v>0</v>
      </c>
      <c r="C79" s="9">
        <v>0</v>
      </c>
      <c r="D79" s="9">
        <v>-6.461104650000002</v>
      </c>
      <c r="E79" s="9">
        <v>0</v>
      </c>
      <c r="F79" s="9">
        <v>0</v>
      </c>
      <c r="G79" s="10">
        <v>0</v>
      </c>
      <c r="H79" s="9">
        <v>0</v>
      </c>
      <c r="I79" s="9">
        <v>0</v>
      </c>
      <c r="J79" s="9">
        <v>-6.461104650000002</v>
      </c>
    </row>
    <row r="80" spans="1:10">
      <c r="A80" s="8" t="s">
        <v>31</v>
      </c>
      <c r="B80" s="9">
        <v>0</v>
      </c>
      <c r="C80" s="9">
        <v>0</v>
      </c>
      <c r="D80" s="9">
        <v>-416.53540474000005</v>
      </c>
      <c r="E80" s="9">
        <v>0</v>
      </c>
      <c r="F80" s="9">
        <v>0</v>
      </c>
      <c r="G80" s="10">
        <v>0</v>
      </c>
      <c r="H80" s="9">
        <v>0</v>
      </c>
      <c r="I80" s="9">
        <v>0</v>
      </c>
      <c r="J80" s="9">
        <v>-416.53540474000005</v>
      </c>
    </row>
    <row r="81" spans="1:10">
      <c r="A81" s="8" t="s">
        <v>32</v>
      </c>
      <c r="B81" s="9">
        <v>0</v>
      </c>
      <c r="C81" s="9">
        <v>0</v>
      </c>
      <c r="D81" s="9">
        <v>108.04998251061599</v>
      </c>
      <c r="E81" s="9">
        <v>0</v>
      </c>
      <c r="F81" s="9">
        <v>0</v>
      </c>
      <c r="G81" s="10">
        <v>0</v>
      </c>
      <c r="H81" s="9">
        <v>0</v>
      </c>
      <c r="I81" s="9">
        <v>0</v>
      </c>
      <c r="J81" s="9">
        <v>108.04998251061599</v>
      </c>
    </row>
    <row r="82" spans="1:10">
      <c r="A82" s="12" t="s">
        <v>33</v>
      </c>
      <c r="B82" s="13">
        <v>0</v>
      </c>
      <c r="C82" s="13">
        <v>0</v>
      </c>
      <c r="D82" s="13">
        <v>2465.8657035120787</v>
      </c>
      <c r="E82" s="13">
        <v>0</v>
      </c>
      <c r="F82" s="13">
        <v>593.83000000000015</v>
      </c>
      <c r="G82" s="14">
        <v>117.798766038</v>
      </c>
      <c r="H82" s="13">
        <v>0</v>
      </c>
      <c r="I82" s="13">
        <v>0</v>
      </c>
      <c r="J82" s="13">
        <v>3177.4944695500785</v>
      </c>
    </row>
    <row r="83" spans="1:10">
      <c r="A83" s="8" t="s">
        <v>34</v>
      </c>
      <c r="B83" s="9">
        <v>0</v>
      </c>
      <c r="C83" s="9">
        <v>0</v>
      </c>
      <c r="D83" s="9">
        <v>-140.41132365725346</v>
      </c>
      <c r="E83" s="9">
        <v>0</v>
      </c>
      <c r="F83" s="9">
        <v>0</v>
      </c>
      <c r="G83" s="10">
        <v>0</v>
      </c>
      <c r="H83" s="9">
        <v>-17.021511075672738</v>
      </c>
      <c r="I83" s="9">
        <v>0</v>
      </c>
      <c r="J83" s="9">
        <v>-157.43283473292621</v>
      </c>
    </row>
    <row r="84" spans="1:10">
      <c r="A84" s="8" t="s">
        <v>35</v>
      </c>
      <c r="B84" s="9">
        <v>0</v>
      </c>
      <c r="C84" s="9">
        <v>0</v>
      </c>
      <c r="D84" s="9">
        <v>925.81195465976703</v>
      </c>
      <c r="E84" s="9">
        <v>0</v>
      </c>
      <c r="F84" s="9">
        <v>593.83000000000015</v>
      </c>
      <c r="G84" s="10">
        <v>85.993161000000001</v>
      </c>
      <c r="H84" s="9">
        <v>-898.30712160000007</v>
      </c>
      <c r="I84" s="9">
        <v>0</v>
      </c>
      <c r="J84" s="9">
        <v>707.32799405976687</v>
      </c>
    </row>
    <row r="85" spans="1:10">
      <c r="A85" s="8" t="s">
        <v>36</v>
      </c>
      <c r="B85" s="9">
        <v>0</v>
      </c>
      <c r="C85" s="9">
        <v>0</v>
      </c>
      <c r="D85" s="9">
        <v>0</v>
      </c>
      <c r="E85" s="9">
        <v>0</v>
      </c>
      <c r="F85" s="9">
        <v>0</v>
      </c>
      <c r="G85" s="10">
        <v>0</v>
      </c>
      <c r="H85" s="9">
        <v>0</v>
      </c>
      <c r="I85" s="9">
        <v>0</v>
      </c>
      <c r="J85" s="9">
        <v>0</v>
      </c>
    </row>
    <row r="86" spans="1:10">
      <c r="A86" s="8" t="s">
        <v>37</v>
      </c>
      <c r="B86" s="9">
        <v>0</v>
      </c>
      <c r="C86" s="9">
        <v>0</v>
      </c>
      <c r="D86" s="9">
        <v>0</v>
      </c>
      <c r="E86" s="9">
        <v>0</v>
      </c>
      <c r="F86" s="9">
        <v>0</v>
      </c>
      <c r="G86" s="10">
        <v>0</v>
      </c>
      <c r="H86" s="9">
        <v>0</v>
      </c>
      <c r="I86" s="9">
        <v>0</v>
      </c>
      <c r="J86" s="9">
        <v>0</v>
      </c>
    </row>
    <row r="87" spans="1:10">
      <c r="A87" s="8" t="s">
        <v>38</v>
      </c>
      <c r="B87" s="9">
        <v>0</v>
      </c>
      <c r="C87" s="9">
        <v>0</v>
      </c>
      <c r="D87" s="9">
        <v>0</v>
      </c>
      <c r="E87" s="9">
        <v>0</v>
      </c>
      <c r="F87" s="9">
        <v>0</v>
      </c>
      <c r="G87" s="10">
        <v>0</v>
      </c>
      <c r="H87" s="9">
        <v>10.238657870026827</v>
      </c>
      <c r="I87" s="9">
        <v>0</v>
      </c>
      <c r="J87" s="9">
        <v>10.238657870026827</v>
      </c>
    </row>
    <row r="88" spans="1:10">
      <c r="A88" s="8" t="s">
        <v>39</v>
      </c>
      <c r="B88" s="9">
        <v>0</v>
      </c>
      <c r="C88" s="9">
        <v>0</v>
      </c>
      <c r="D88" s="9">
        <v>0</v>
      </c>
      <c r="E88" s="9">
        <v>0</v>
      </c>
      <c r="F88" s="9">
        <v>0</v>
      </c>
      <c r="G88" s="10">
        <v>0</v>
      </c>
      <c r="H88" s="9">
        <v>97.842924560153989</v>
      </c>
      <c r="I88" s="9">
        <v>0</v>
      </c>
      <c r="J88" s="9">
        <v>97.842924560153989</v>
      </c>
    </row>
    <row r="89" spans="1:10">
      <c r="A89" s="12" t="s">
        <v>40</v>
      </c>
      <c r="B89" s="13">
        <v>0</v>
      </c>
      <c r="C89" s="13">
        <v>0</v>
      </c>
      <c r="D89" s="13">
        <v>785.40063100251359</v>
      </c>
      <c r="E89" s="13">
        <v>0</v>
      </c>
      <c r="F89" s="13">
        <v>593.83000000000015</v>
      </c>
      <c r="G89" s="14">
        <v>85.993161000000001</v>
      </c>
      <c r="H89" s="13">
        <v>-807.24705024549201</v>
      </c>
      <c r="I89" s="13">
        <v>0</v>
      </c>
      <c r="J89" s="13">
        <v>657.9767417570215</v>
      </c>
    </row>
    <row r="90" spans="1:10">
      <c r="A90" s="8" t="s">
        <v>41</v>
      </c>
      <c r="B90" s="9">
        <v>0</v>
      </c>
      <c r="C90" s="9">
        <v>0</v>
      </c>
      <c r="D90" s="9">
        <v>278.66659089180871</v>
      </c>
      <c r="E90" s="9">
        <v>0</v>
      </c>
      <c r="F90" s="9">
        <v>0</v>
      </c>
      <c r="G90" s="10">
        <v>0.99948917799999903</v>
      </c>
      <c r="H90" s="9">
        <v>32.52875297387201</v>
      </c>
      <c r="I90" s="9">
        <v>0</v>
      </c>
      <c r="J90" s="9">
        <v>312.19483304368066</v>
      </c>
    </row>
    <row r="91" spans="1:10">
      <c r="A91" s="8" t="s">
        <v>42</v>
      </c>
      <c r="B91" s="9">
        <v>0</v>
      </c>
      <c r="C91" s="9">
        <v>0</v>
      </c>
      <c r="D91" s="9">
        <v>1211.39754529268</v>
      </c>
      <c r="E91" s="9">
        <v>0</v>
      </c>
      <c r="F91" s="9">
        <v>0</v>
      </c>
      <c r="G91" s="10">
        <v>0</v>
      </c>
      <c r="H91" s="9">
        <v>0</v>
      </c>
      <c r="I91" s="9">
        <v>0</v>
      </c>
      <c r="J91" s="9">
        <v>1211.39754529268</v>
      </c>
    </row>
    <row r="92" spans="1:10">
      <c r="A92" s="8" t="s">
        <v>43</v>
      </c>
      <c r="B92" s="9">
        <v>0</v>
      </c>
      <c r="C92" s="9">
        <v>0</v>
      </c>
      <c r="D92" s="9">
        <v>62.657341198660006</v>
      </c>
      <c r="E92" s="9">
        <v>0</v>
      </c>
      <c r="F92" s="9">
        <v>0</v>
      </c>
      <c r="G92" s="10">
        <v>18.580343859999999</v>
      </c>
      <c r="H92" s="9">
        <v>309.63457</v>
      </c>
      <c r="I92" s="9">
        <v>0</v>
      </c>
      <c r="J92" s="9">
        <v>390.87225505865996</v>
      </c>
    </row>
    <row r="93" spans="1:10">
      <c r="A93" s="8" t="s">
        <v>44</v>
      </c>
      <c r="B93" s="9">
        <v>0</v>
      </c>
      <c r="C93" s="9">
        <v>0</v>
      </c>
      <c r="D93" s="9">
        <v>0</v>
      </c>
      <c r="E93" s="9">
        <v>0</v>
      </c>
      <c r="F93" s="9">
        <v>0</v>
      </c>
      <c r="G93" s="10">
        <v>0.11101997999999999</v>
      </c>
      <c r="H93" s="9">
        <v>463.96518306356108</v>
      </c>
      <c r="I93" s="9">
        <v>0</v>
      </c>
      <c r="J93" s="9">
        <v>464.07620304356112</v>
      </c>
    </row>
    <row r="94" spans="1:10">
      <c r="A94" s="8" t="s">
        <v>4</v>
      </c>
      <c r="B94" s="9">
        <v>0</v>
      </c>
      <c r="C94" s="9">
        <v>0</v>
      </c>
      <c r="D94" s="9">
        <v>61.207627017999997</v>
      </c>
      <c r="E94" s="9">
        <v>0</v>
      </c>
      <c r="F94" s="9">
        <v>0</v>
      </c>
      <c r="G94" s="10">
        <v>12.114752019999999</v>
      </c>
      <c r="H94" s="9">
        <v>1.1185442080588599</v>
      </c>
      <c r="I94" s="9">
        <v>0</v>
      </c>
      <c r="J94" s="9">
        <v>74.440923246058858</v>
      </c>
    </row>
    <row r="95" spans="1:10">
      <c r="A95" s="16" t="s">
        <v>45</v>
      </c>
      <c r="B95" s="17">
        <v>0</v>
      </c>
      <c r="C95" s="17">
        <v>0</v>
      </c>
      <c r="D95" s="17">
        <v>1613.9291044011488</v>
      </c>
      <c r="E95" s="17">
        <v>0</v>
      </c>
      <c r="F95" s="17">
        <v>0</v>
      </c>
      <c r="G95" s="18">
        <v>31.805605037999996</v>
      </c>
      <c r="H95" s="17">
        <v>807.24705024549201</v>
      </c>
      <c r="I95" s="17">
        <v>0</v>
      </c>
      <c r="J95" s="17">
        <v>2452.9817596846406</v>
      </c>
    </row>
    <row r="96" spans="1:10">
      <c r="A96" s="16" t="s">
        <v>46</v>
      </c>
      <c r="B96" s="17">
        <v>0</v>
      </c>
      <c r="C96" s="17">
        <v>0</v>
      </c>
      <c r="D96" s="17">
        <v>66.535968108417009</v>
      </c>
      <c r="E96" s="17">
        <v>0</v>
      </c>
      <c r="F96" s="17">
        <v>0</v>
      </c>
      <c r="G96" s="18">
        <v>0</v>
      </c>
      <c r="H96" s="17">
        <v>0</v>
      </c>
      <c r="I96" s="17">
        <v>0</v>
      </c>
      <c r="J96" s="17">
        <v>66.535968108417009</v>
      </c>
    </row>
    <row r="97" spans="1:10">
      <c r="A97" s="12" t="s">
        <v>47</v>
      </c>
      <c r="B97" s="13">
        <v>0</v>
      </c>
      <c r="C97" s="13">
        <v>0</v>
      </c>
      <c r="D97" s="13">
        <v>1680.4650725095657</v>
      </c>
      <c r="E97" s="13">
        <v>0</v>
      </c>
      <c r="F97" s="13">
        <v>0</v>
      </c>
      <c r="G97" s="14">
        <v>31.805605037999996</v>
      </c>
      <c r="H97" s="13">
        <v>807.24705024549201</v>
      </c>
      <c r="I97" s="13">
        <v>0</v>
      </c>
      <c r="J97" s="13">
        <v>2519.5177277930575</v>
      </c>
    </row>
    <row r="98" spans="1:10">
      <c r="A98" s="8" t="s">
        <v>346</v>
      </c>
      <c r="B98" s="8"/>
      <c r="C98" s="8"/>
      <c r="D98" s="8"/>
      <c r="E98" s="8"/>
      <c r="F98" s="8"/>
      <c r="G98" s="214"/>
      <c r="H98" s="8"/>
      <c r="I98" s="8"/>
      <c r="J98" s="8"/>
    </row>
    <row r="99" spans="1:10">
      <c r="A99" s="8"/>
      <c r="B99" s="8"/>
      <c r="C99" s="8"/>
      <c r="D99" s="8"/>
      <c r="E99" s="8"/>
      <c r="F99" s="8"/>
      <c r="G99" s="214"/>
      <c r="H99" s="8"/>
      <c r="I99" s="8"/>
      <c r="J99" s="8"/>
    </row>
    <row r="100" spans="1:10">
      <c r="A100" s="8"/>
      <c r="B100" s="8" t="s">
        <v>349</v>
      </c>
      <c r="C100" s="8"/>
      <c r="D100" s="8"/>
      <c r="E100" s="8"/>
      <c r="F100" s="8"/>
      <c r="G100" s="214"/>
      <c r="H100" s="8"/>
      <c r="I100" s="8"/>
      <c r="J100" s="8"/>
    </row>
    <row r="101" spans="1:10">
      <c r="A101" s="8"/>
      <c r="B101" s="8" t="s">
        <v>344</v>
      </c>
      <c r="C101" s="8"/>
      <c r="D101" s="8"/>
      <c r="E101" s="8"/>
      <c r="F101" s="8"/>
      <c r="G101" s="214"/>
      <c r="H101" s="8"/>
      <c r="I101" s="8"/>
      <c r="J101" s="8"/>
    </row>
    <row r="102" spans="1:10">
      <c r="A102" s="8"/>
      <c r="B102" s="8" t="s">
        <v>345</v>
      </c>
      <c r="C102" s="8"/>
      <c r="D102" s="8"/>
      <c r="E102" s="8"/>
      <c r="F102" s="8"/>
      <c r="G102" s="214"/>
      <c r="H102" s="8"/>
      <c r="I102" s="8"/>
      <c r="J102" s="8"/>
    </row>
    <row r="103" spans="1:10">
      <c r="A103" s="8"/>
      <c r="B103" s="8"/>
      <c r="C103" s="8"/>
      <c r="D103" s="8"/>
      <c r="E103" s="8"/>
      <c r="F103" s="8"/>
      <c r="G103" s="214"/>
      <c r="H103" s="8"/>
      <c r="I103" s="8"/>
      <c r="J103" s="8"/>
    </row>
    <row r="104" spans="1:10" ht="43.2">
      <c r="A104" s="12"/>
      <c r="B104" s="211" t="s">
        <v>14</v>
      </c>
      <c r="C104" s="211" t="s">
        <v>15</v>
      </c>
      <c r="D104" s="211" t="s">
        <v>16</v>
      </c>
      <c r="E104" s="211" t="s">
        <v>17</v>
      </c>
      <c r="F104" s="211" t="s">
        <v>18</v>
      </c>
      <c r="G104" s="212" t="s">
        <v>19</v>
      </c>
      <c r="H104" s="211" t="s">
        <v>20</v>
      </c>
      <c r="I104" s="211" t="s">
        <v>21</v>
      </c>
      <c r="J104" s="211" t="s">
        <v>23</v>
      </c>
    </row>
    <row r="105" spans="1:10">
      <c r="A105" s="8" t="s">
        <v>24</v>
      </c>
      <c r="B105" s="9">
        <v>0</v>
      </c>
      <c r="C105" s="9">
        <v>0</v>
      </c>
      <c r="D105" s="9">
        <v>0</v>
      </c>
      <c r="E105" s="9">
        <v>0</v>
      </c>
      <c r="F105" s="9">
        <v>624.84300000000007</v>
      </c>
      <c r="G105" s="10">
        <v>103.35849426</v>
      </c>
      <c r="H105" s="9">
        <v>0</v>
      </c>
      <c r="I105" s="9">
        <v>0</v>
      </c>
      <c r="J105" s="9">
        <v>728.20149426</v>
      </c>
    </row>
    <row r="106" spans="1:10">
      <c r="A106" s="8" t="s">
        <v>25</v>
      </c>
      <c r="B106" s="9">
        <v>0</v>
      </c>
      <c r="C106" s="9">
        <v>0</v>
      </c>
      <c r="D106" s="9">
        <v>0</v>
      </c>
      <c r="E106" s="9">
        <v>0</v>
      </c>
      <c r="F106" s="9">
        <v>571.68700000000001</v>
      </c>
      <c r="G106" s="10">
        <v>0</v>
      </c>
      <c r="H106" s="9">
        <v>0</v>
      </c>
      <c r="I106" s="9">
        <v>0</v>
      </c>
      <c r="J106" s="9">
        <v>571.68700000000001</v>
      </c>
    </row>
    <row r="107" spans="1:10">
      <c r="A107" s="8" t="s">
        <v>26</v>
      </c>
      <c r="B107" s="9">
        <v>0</v>
      </c>
      <c r="C107" s="9">
        <v>0</v>
      </c>
      <c r="D107" s="9">
        <v>0</v>
      </c>
      <c r="E107" s="9">
        <v>0</v>
      </c>
      <c r="F107" s="9">
        <v>0</v>
      </c>
      <c r="G107" s="10">
        <v>0</v>
      </c>
      <c r="H107" s="9">
        <v>0</v>
      </c>
      <c r="I107" s="9">
        <v>0</v>
      </c>
      <c r="J107" s="9">
        <v>0</v>
      </c>
    </row>
    <row r="108" spans="1:10">
      <c r="A108" s="8" t="s">
        <v>27</v>
      </c>
      <c r="B108" s="9">
        <v>0</v>
      </c>
      <c r="C108" s="9">
        <v>0</v>
      </c>
      <c r="D108" s="9">
        <v>0</v>
      </c>
      <c r="E108" s="9">
        <v>0</v>
      </c>
      <c r="F108" s="9">
        <v>53.156000000000006</v>
      </c>
      <c r="G108" s="10">
        <v>0</v>
      </c>
      <c r="H108" s="9">
        <v>0</v>
      </c>
      <c r="I108" s="9">
        <v>0</v>
      </c>
      <c r="J108" s="9">
        <v>53.156000000000006</v>
      </c>
    </row>
    <row r="109" spans="1:10">
      <c r="A109" s="8" t="s">
        <v>28</v>
      </c>
      <c r="B109" s="9">
        <v>0</v>
      </c>
      <c r="C109" s="9">
        <v>0</v>
      </c>
      <c r="D109" s="9">
        <v>2276.3258813596476</v>
      </c>
      <c r="E109" s="9">
        <v>0</v>
      </c>
      <c r="F109" s="9">
        <v>0</v>
      </c>
      <c r="G109" s="10">
        <v>0</v>
      </c>
      <c r="H109" s="9">
        <v>0</v>
      </c>
      <c r="I109" s="9">
        <v>0</v>
      </c>
      <c r="J109" s="9">
        <v>2276.3258813596476</v>
      </c>
    </row>
    <row r="110" spans="1:10">
      <c r="A110" s="8" t="s">
        <v>29</v>
      </c>
      <c r="B110" s="9">
        <v>0</v>
      </c>
      <c r="C110" s="9">
        <v>0</v>
      </c>
      <c r="D110" s="9">
        <v>-2.1134536256666743</v>
      </c>
      <c r="E110" s="9">
        <v>0</v>
      </c>
      <c r="F110" s="9">
        <v>0</v>
      </c>
      <c r="G110" s="10">
        <v>0</v>
      </c>
      <c r="H110" s="9">
        <v>0</v>
      </c>
      <c r="I110" s="9">
        <v>0</v>
      </c>
      <c r="J110" s="9">
        <v>-2.1134536256666743</v>
      </c>
    </row>
    <row r="111" spans="1:10">
      <c r="A111" s="8" t="s">
        <v>30</v>
      </c>
      <c r="B111" s="9">
        <v>0</v>
      </c>
      <c r="C111" s="9">
        <v>0</v>
      </c>
      <c r="D111" s="9">
        <v>-5.7180337839154394</v>
      </c>
      <c r="E111" s="9">
        <v>0</v>
      </c>
      <c r="F111" s="9">
        <v>0</v>
      </c>
      <c r="G111" s="10">
        <v>0</v>
      </c>
      <c r="H111" s="9">
        <v>0</v>
      </c>
      <c r="I111" s="9">
        <v>0</v>
      </c>
      <c r="J111" s="9">
        <v>-5.7180337839154394</v>
      </c>
    </row>
    <row r="112" spans="1:10">
      <c r="A112" s="8" t="s">
        <v>31</v>
      </c>
      <c r="B112" s="9">
        <v>0</v>
      </c>
      <c r="C112" s="9">
        <v>0</v>
      </c>
      <c r="D112" s="9">
        <v>-368.63100747024896</v>
      </c>
      <c r="E112" s="9">
        <v>0</v>
      </c>
      <c r="F112" s="9">
        <v>0</v>
      </c>
      <c r="G112" s="10">
        <v>0</v>
      </c>
      <c r="H112" s="9">
        <v>0</v>
      </c>
      <c r="I112" s="9">
        <v>0</v>
      </c>
      <c r="J112" s="9">
        <v>-368.63100747024896</v>
      </c>
    </row>
    <row r="113" spans="1:10">
      <c r="A113" s="8" t="s">
        <v>32</v>
      </c>
      <c r="B113" s="9">
        <v>0</v>
      </c>
      <c r="C113" s="9">
        <v>0</v>
      </c>
      <c r="D113" s="9">
        <v>415.27974771621297</v>
      </c>
      <c r="E113" s="9">
        <v>0</v>
      </c>
      <c r="F113" s="9">
        <v>0</v>
      </c>
      <c r="G113" s="10">
        <v>0</v>
      </c>
      <c r="H113" s="9">
        <v>0</v>
      </c>
      <c r="I113" s="9">
        <v>0</v>
      </c>
      <c r="J113" s="9">
        <v>415.27974771621297</v>
      </c>
    </row>
    <row r="114" spans="1:10">
      <c r="A114" s="12" t="s">
        <v>33</v>
      </c>
      <c r="B114" s="13">
        <v>0</v>
      </c>
      <c r="C114" s="13">
        <v>0</v>
      </c>
      <c r="D114" s="13">
        <v>2315.1431341960292</v>
      </c>
      <c r="E114" s="13">
        <v>0</v>
      </c>
      <c r="F114" s="13">
        <v>624.84300000000007</v>
      </c>
      <c r="G114" s="14">
        <v>103.35849426</v>
      </c>
      <c r="H114" s="13">
        <v>0</v>
      </c>
      <c r="I114" s="13">
        <v>0</v>
      </c>
      <c r="J114" s="13">
        <v>3043.3446284560296</v>
      </c>
    </row>
    <row r="115" spans="1:10">
      <c r="A115" s="8" t="s">
        <v>34</v>
      </c>
      <c r="B115" s="9">
        <v>0</v>
      </c>
      <c r="C115" s="9">
        <v>0</v>
      </c>
      <c r="D115" s="9">
        <v>-451.4294781302392</v>
      </c>
      <c r="E115" s="9">
        <v>0</v>
      </c>
      <c r="F115" s="9">
        <v>0</v>
      </c>
      <c r="G115" s="10">
        <v>0</v>
      </c>
      <c r="H115" s="9">
        <v>43.017978048476571</v>
      </c>
      <c r="I115" s="9">
        <v>0</v>
      </c>
      <c r="J115" s="9">
        <v>-648.91530257809131</v>
      </c>
    </row>
    <row r="116" spans="1:10">
      <c r="A116" s="8" t="s">
        <v>35</v>
      </c>
      <c r="B116" s="9">
        <v>0</v>
      </c>
      <c r="C116" s="9">
        <v>0</v>
      </c>
      <c r="D116" s="9">
        <v>1035.4762255987275</v>
      </c>
      <c r="E116" s="9">
        <v>0</v>
      </c>
      <c r="F116" s="9">
        <v>624.84300000000007</v>
      </c>
      <c r="G116" s="10">
        <v>75</v>
      </c>
      <c r="H116" s="9">
        <v>-948.52229829999999</v>
      </c>
      <c r="I116" s="9">
        <v>0</v>
      </c>
      <c r="J116" s="9">
        <v>786.79692729872738</v>
      </c>
    </row>
    <row r="117" spans="1:10">
      <c r="A117" s="8" t="s">
        <v>36</v>
      </c>
      <c r="B117" s="9">
        <v>0</v>
      </c>
      <c r="C117" s="9">
        <v>0</v>
      </c>
      <c r="D117" s="9">
        <v>0</v>
      </c>
      <c r="E117" s="9">
        <v>0</v>
      </c>
      <c r="F117" s="9">
        <v>0</v>
      </c>
      <c r="G117" s="10">
        <v>0</v>
      </c>
      <c r="H117" s="9">
        <v>0</v>
      </c>
      <c r="I117" s="9">
        <v>0</v>
      </c>
      <c r="J117" s="9">
        <v>0</v>
      </c>
    </row>
    <row r="118" spans="1:10">
      <c r="A118" s="8" t="s">
        <v>37</v>
      </c>
      <c r="B118" s="9">
        <v>0</v>
      </c>
      <c r="C118" s="9">
        <v>0</v>
      </c>
      <c r="D118" s="9">
        <v>0</v>
      </c>
      <c r="E118" s="9">
        <v>0</v>
      </c>
      <c r="F118" s="9">
        <v>0</v>
      </c>
      <c r="G118" s="10">
        <v>0</v>
      </c>
      <c r="H118" s="9">
        <v>0</v>
      </c>
      <c r="I118" s="9">
        <v>0</v>
      </c>
      <c r="J118" s="9">
        <v>0</v>
      </c>
    </row>
    <row r="119" spans="1:10">
      <c r="A119" s="8" t="s">
        <v>38</v>
      </c>
      <c r="B119" s="9">
        <v>0</v>
      </c>
      <c r="C119" s="9">
        <v>0</v>
      </c>
      <c r="D119" s="9">
        <v>0</v>
      </c>
      <c r="E119" s="9">
        <v>0</v>
      </c>
      <c r="F119" s="9">
        <v>0</v>
      </c>
      <c r="G119" s="10">
        <v>0</v>
      </c>
      <c r="H119" s="9">
        <v>3.5456734964080083</v>
      </c>
      <c r="I119" s="9">
        <v>0</v>
      </c>
      <c r="J119" s="9">
        <v>3.5456734964080083</v>
      </c>
    </row>
    <row r="120" spans="1:10">
      <c r="A120" s="8" t="s">
        <v>39</v>
      </c>
      <c r="B120" s="9">
        <v>0</v>
      </c>
      <c r="C120" s="9">
        <v>0</v>
      </c>
      <c r="D120" s="9">
        <v>0</v>
      </c>
      <c r="E120" s="9">
        <v>0</v>
      </c>
      <c r="F120" s="9">
        <v>0</v>
      </c>
      <c r="G120" s="10">
        <v>0</v>
      </c>
      <c r="H120" s="9">
        <v>105.28285714285714</v>
      </c>
      <c r="I120" s="9">
        <v>0</v>
      </c>
      <c r="J120" s="9">
        <v>105.28285714285714</v>
      </c>
    </row>
    <row r="121" spans="1:10">
      <c r="A121" s="12" t="s">
        <v>40</v>
      </c>
      <c r="B121" s="13">
        <v>0</v>
      </c>
      <c r="C121" s="13">
        <v>0</v>
      </c>
      <c r="D121" s="13">
        <v>584.04674746848832</v>
      </c>
      <c r="E121" s="13">
        <v>0</v>
      </c>
      <c r="F121" s="13">
        <v>624.84300000000007</v>
      </c>
      <c r="G121" s="14">
        <v>75</v>
      </c>
      <c r="H121" s="13">
        <v>-796.67578961225831</v>
      </c>
      <c r="I121" s="13">
        <v>0</v>
      </c>
      <c r="J121" s="13">
        <v>246.71015535990119</v>
      </c>
    </row>
    <row r="122" spans="1:10">
      <c r="A122" s="8" t="s">
        <v>41</v>
      </c>
      <c r="B122" s="9">
        <v>0</v>
      </c>
      <c r="C122" s="9">
        <v>0</v>
      </c>
      <c r="D122" s="9">
        <v>330.48781691371818</v>
      </c>
      <c r="E122" s="9">
        <v>0</v>
      </c>
      <c r="F122" s="9">
        <v>0</v>
      </c>
      <c r="G122" s="10">
        <v>0</v>
      </c>
      <c r="H122" s="9">
        <v>28.378087238884291</v>
      </c>
      <c r="I122" s="9">
        <v>0</v>
      </c>
      <c r="J122" s="9">
        <v>358.86590415260247</v>
      </c>
    </row>
    <row r="123" spans="1:10">
      <c r="A123" s="8" t="s">
        <v>42</v>
      </c>
      <c r="B123" s="9">
        <v>0</v>
      </c>
      <c r="C123" s="9">
        <v>0</v>
      </c>
      <c r="D123" s="9">
        <v>1210.2806741024381</v>
      </c>
      <c r="E123" s="9">
        <v>0</v>
      </c>
      <c r="F123" s="9">
        <v>0</v>
      </c>
      <c r="G123" s="10">
        <v>0</v>
      </c>
      <c r="H123" s="9">
        <v>0</v>
      </c>
      <c r="I123" s="9">
        <v>0</v>
      </c>
      <c r="J123" s="9">
        <v>1047.6581678807327</v>
      </c>
    </row>
    <row r="124" spans="1:10">
      <c r="A124" s="8" t="s">
        <v>43</v>
      </c>
      <c r="B124" s="9">
        <v>0</v>
      </c>
      <c r="C124" s="9">
        <v>0</v>
      </c>
      <c r="D124" s="9">
        <v>73.76494529226882</v>
      </c>
      <c r="E124" s="9">
        <v>0</v>
      </c>
      <c r="F124" s="9">
        <v>0</v>
      </c>
      <c r="G124" s="10">
        <v>16.379947860000001</v>
      </c>
      <c r="H124" s="9">
        <v>301.19931849593047</v>
      </c>
      <c r="I124" s="9">
        <v>0</v>
      </c>
      <c r="J124" s="9">
        <v>391.34421164819935</v>
      </c>
    </row>
    <row r="125" spans="1:10">
      <c r="A125" s="8" t="s">
        <v>44</v>
      </c>
      <c r="B125" s="9">
        <v>0</v>
      </c>
      <c r="C125" s="9">
        <v>0</v>
      </c>
      <c r="D125" s="9">
        <v>0</v>
      </c>
      <c r="E125" s="9">
        <v>0</v>
      </c>
      <c r="F125" s="9">
        <v>0</v>
      </c>
      <c r="G125" s="10">
        <v>0.11202016000000001</v>
      </c>
      <c r="H125" s="9">
        <v>466.22596280759814</v>
      </c>
      <c r="I125" s="9">
        <v>0</v>
      </c>
      <c r="J125" s="9">
        <v>466.33798296759818</v>
      </c>
    </row>
    <row r="126" spans="1:10">
      <c r="A126" s="8" t="s">
        <v>4</v>
      </c>
      <c r="B126" s="9">
        <v>0</v>
      </c>
      <c r="C126" s="9">
        <v>0</v>
      </c>
      <c r="D126" s="9">
        <v>59.020361929064443</v>
      </c>
      <c r="E126" s="9">
        <v>0</v>
      </c>
      <c r="F126" s="9">
        <v>0</v>
      </c>
      <c r="G126" s="10">
        <v>11.866526239999999</v>
      </c>
      <c r="H126" s="9">
        <v>0.87242106984540335</v>
      </c>
      <c r="I126" s="9">
        <v>0</v>
      </c>
      <c r="J126" s="9">
        <v>-55.87725097140526</v>
      </c>
    </row>
    <row r="127" spans="1:10">
      <c r="A127" s="16" t="s">
        <v>45</v>
      </c>
      <c r="B127" s="17">
        <v>0</v>
      </c>
      <c r="C127" s="17">
        <v>0</v>
      </c>
      <c r="D127" s="17">
        <v>1673.5537982374894</v>
      </c>
      <c r="E127" s="17">
        <v>0</v>
      </c>
      <c r="F127" s="17">
        <v>0</v>
      </c>
      <c r="G127" s="18">
        <v>28.358494260000001</v>
      </c>
      <c r="H127" s="17">
        <v>796.67578961225831</v>
      </c>
      <c r="I127" s="17">
        <v>0</v>
      </c>
      <c r="J127" s="17">
        <v>2208.3290156777275</v>
      </c>
    </row>
    <row r="128" spans="1:10">
      <c r="A128" s="16" t="s">
        <v>46</v>
      </c>
      <c r="B128" s="17">
        <v>0</v>
      </c>
      <c r="C128" s="17">
        <v>0</v>
      </c>
      <c r="D128" s="17">
        <v>57.542588490051344</v>
      </c>
      <c r="E128" s="17">
        <v>0</v>
      </c>
      <c r="F128" s="17">
        <v>0</v>
      </c>
      <c r="G128" s="18">
        <v>0</v>
      </c>
      <c r="H128" s="17">
        <v>0</v>
      </c>
      <c r="I128" s="17">
        <v>0</v>
      </c>
      <c r="J128" s="17">
        <v>57.542588490051344</v>
      </c>
    </row>
    <row r="129" spans="1:10">
      <c r="A129" s="12" t="s">
        <v>47</v>
      </c>
      <c r="B129" s="13">
        <v>0</v>
      </c>
      <c r="C129" s="13">
        <v>0</v>
      </c>
      <c r="D129" s="13">
        <v>1731.0963867275409</v>
      </c>
      <c r="E129" s="13">
        <v>0</v>
      </c>
      <c r="F129" s="13">
        <v>0</v>
      </c>
      <c r="G129" s="14">
        <v>28.358494260000001</v>
      </c>
      <c r="H129" s="13">
        <v>796.67578961225831</v>
      </c>
      <c r="I129" s="13">
        <v>0</v>
      </c>
      <c r="J129" s="13">
        <v>2265.871604167779</v>
      </c>
    </row>
    <row r="130" spans="1:10">
      <c r="A130" s="8" t="s">
        <v>346</v>
      </c>
      <c r="B130" s="8"/>
      <c r="C130" s="8"/>
      <c r="D130" s="8"/>
      <c r="E130" s="8"/>
      <c r="F130" s="8"/>
      <c r="G130" s="214"/>
      <c r="H130" s="8"/>
      <c r="I130" s="8"/>
      <c r="J130" s="8"/>
    </row>
    <row r="131" spans="1:10">
      <c r="A131" s="8"/>
      <c r="B131" s="8"/>
      <c r="C131" s="8"/>
      <c r="D131" s="8"/>
      <c r="E131" s="8"/>
      <c r="F131" s="8"/>
      <c r="G131" s="214"/>
      <c r="H131" s="8"/>
      <c r="I131" s="8"/>
      <c r="J131" s="8"/>
    </row>
    <row r="132" spans="1:10">
      <c r="A132" s="8"/>
      <c r="B132" s="8" t="s">
        <v>350</v>
      </c>
      <c r="C132" s="8"/>
      <c r="D132" s="8"/>
      <c r="E132" s="8"/>
      <c r="F132" s="8"/>
      <c r="G132" s="214"/>
      <c r="H132" s="8"/>
      <c r="I132" s="8"/>
      <c r="J132" s="8"/>
    </row>
    <row r="133" spans="1:10">
      <c r="A133" s="8"/>
      <c r="B133" s="8" t="s">
        <v>344</v>
      </c>
      <c r="C133" s="8"/>
      <c r="D133" s="8"/>
      <c r="E133" s="8"/>
      <c r="F133" s="8"/>
      <c r="G133" s="214"/>
      <c r="H133" s="8"/>
      <c r="I133" s="8"/>
      <c r="J133" s="8"/>
    </row>
    <row r="134" spans="1:10">
      <c r="A134" s="8"/>
      <c r="B134" s="8" t="s">
        <v>345</v>
      </c>
      <c r="C134" s="8"/>
      <c r="D134" s="8"/>
      <c r="E134" s="8"/>
      <c r="F134" s="8"/>
      <c r="G134" s="214"/>
      <c r="H134" s="8"/>
      <c r="I134" s="8"/>
      <c r="J134" s="8"/>
    </row>
    <row r="135" spans="1:10">
      <c r="A135" s="8"/>
      <c r="B135" s="8"/>
      <c r="C135" s="8"/>
      <c r="D135" s="8"/>
      <c r="E135" s="8"/>
      <c r="F135" s="8"/>
      <c r="G135" s="214"/>
      <c r="H135" s="8"/>
      <c r="I135" s="8"/>
      <c r="J135" s="8"/>
    </row>
    <row r="136" spans="1:10" ht="43.2">
      <c r="A136" s="12"/>
      <c r="B136" s="211" t="s">
        <v>14</v>
      </c>
      <c r="C136" s="211" t="s">
        <v>15</v>
      </c>
      <c r="D136" s="211" t="s">
        <v>16</v>
      </c>
      <c r="E136" s="211" t="s">
        <v>17</v>
      </c>
      <c r="F136" s="211" t="s">
        <v>18</v>
      </c>
      <c r="G136" s="212" t="s">
        <v>19</v>
      </c>
      <c r="H136" s="211" t="s">
        <v>20</v>
      </c>
      <c r="I136" s="211" t="s">
        <v>21</v>
      </c>
      <c r="J136" s="211" t="s">
        <v>23</v>
      </c>
    </row>
    <row r="137" spans="1:10">
      <c r="A137" s="8" t="s">
        <v>24</v>
      </c>
      <c r="B137" s="9">
        <v>0</v>
      </c>
      <c r="C137" s="9">
        <v>0</v>
      </c>
      <c r="D137" s="9">
        <v>0</v>
      </c>
      <c r="E137" s="9">
        <v>0</v>
      </c>
      <c r="F137" s="9">
        <v>496.70700000000011</v>
      </c>
      <c r="G137" s="10">
        <v>100.34620064000001</v>
      </c>
      <c r="H137" s="9">
        <v>0</v>
      </c>
      <c r="I137" s="9">
        <v>0</v>
      </c>
      <c r="J137" s="9">
        <v>597.05320064000011</v>
      </c>
    </row>
    <row r="138" spans="1:10">
      <c r="A138" s="8" t="s">
        <v>25</v>
      </c>
      <c r="B138" s="9">
        <v>0</v>
      </c>
      <c r="C138" s="9">
        <v>0</v>
      </c>
      <c r="D138" s="9">
        <v>0</v>
      </c>
      <c r="E138" s="9">
        <v>0</v>
      </c>
      <c r="F138" s="9">
        <v>442.52400000000011</v>
      </c>
      <c r="G138" s="10">
        <v>0</v>
      </c>
      <c r="H138" s="9">
        <v>0</v>
      </c>
      <c r="I138" s="9">
        <v>0</v>
      </c>
      <c r="J138" s="9">
        <v>442.52400000000011</v>
      </c>
    </row>
    <row r="139" spans="1:10">
      <c r="A139" s="8" t="s">
        <v>26</v>
      </c>
      <c r="B139" s="9">
        <v>0</v>
      </c>
      <c r="C139" s="9">
        <v>0</v>
      </c>
      <c r="D139" s="9">
        <v>0</v>
      </c>
      <c r="E139" s="9">
        <v>0</v>
      </c>
      <c r="F139" s="9">
        <v>0</v>
      </c>
      <c r="G139" s="10">
        <v>0</v>
      </c>
      <c r="H139" s="9">
        <v>0</v>
      </c>
      <c r="I139" s="9">
        <v>0</v>
      </c>
      <c r="J139" s="9">
        <v>0</v>
      </c>
    </row>
    <row r="140" spans="1:10">
      <c r="A140" s="8" t="s">
        <v>27</v>
      </c>
      <c r="B140" s="9">
        <v>0</v>
      </c>
      <c r="C140" s="9">
        <v>0</v>
      </c>
      <c r="D140" s="9">
        <v>0</v>
      </c>
      <c r="E140" s="9">
        <v>0</v>
      </c>
      <c r="F140" s="9">
        <v>54.183000000000007</v>
      </c>
      <c r="G140" s="10">
        <v>0</v>
      </c>
      <c r="H140" s="9">
        <v>0</v>
      </c>
      <c r="I140" s="9">
        <v>0</v>
      </c>
      <c r="J140" s="9">
        <v>54.183000000000007</v>
      </c>
    </row>
    <row r="141" spans="1:10">
      <c r="A141" s="8" t="s">
        <v>28</v>
      </c>
      <c r="B141" s="9">
        <v>0</v>
      </c>
      <c r="C141" s="9">
        <v>0</v>
      </c>
      <c r="D141" s="9">
        <v>2089.3755837964068</v>
      </c>
      <c r="E141" s="9">
        <v>0</v>
      </c>
      <c r="F141" s="9">
        <v>0</v>
      </c>
      <c r="G141" s="10">
        <v>0</v>
      </c>
      <c r="H141" s="9">
        <v>0</v>
      </c>
      <c r="I141" s="9">
        <v>0</v>
      </c>
      <c r="J141" s="9">
        <v>2089.3755837964068</v>
      </c>
    </row>
    <row r="142" spans="1:10">
      <c r="A142" s="8" t="s">
        <v>29</v>
      </c>
      <c r="B142" s="9">
        <v>0</v>
      </c>
      <c r="C142" s="9">
        <v>0</v>
      </c>
      <c r="D142" s="9">
        <v>-3.727226013851396</v>
      </c>
      <c r="E142" s="9">
        <v>0</v>
      </c>
      <c r="F142" s="9">
        <v>0</v>
      </c>
      <c r="G142" s="10">
        <v>0</v>
      </c>
      <c r="H142" s="9">
        <v>0</v>
      </c>
      <c r="I142" s="9">
        <v>0</v>
      </c>
      <c r="J142" s="9">
        <v>-3.727226013851396</v>
      </c>
    </row>
    <row r="143" spans="1:10">
      <c r="A143" s="8" t="s">
        <v>30</v>
      </c>
      <c r="B143" s="9">
        <v>0</v>
      </c>
      <c r="C143" s="9">
        <v>0</v>
      </c>
      <c r="D143" s="9">
        <v>-5.4884544872584966</v>
      </c>
      <c r="E143" s="9">
        <v>0</v>
      </c>
      <c r="F143" s="9">
        <v>0</v>
      </c>
      <c r="G143" s="10">
        <v>0</v>
      </c>
      <c r="H143" s="9">
        <v>0</v>
      </c>
      <c r="I143" s="9">
        <v>0</v>
      </c>
      <c r="J143" s="9">
        <v>-5.4884544872584966</v>
      </c>
    </row>
    <row r="144" spans="1:10">
      <c r="A144" s="8" t="s">
        <v>31</v>
      </c>
      <c r="B144" s="9">
        <v>0</v>
      </c>
      <c r="C144" s="9">
        <v>0</v>
      </c>
      <c r="D144" s="9">
        <v>-353.83045703296057</v>
      </c>
      <c r="E144" s="9">
        <v>0</v>
      </c>
      <c r="F144" s="9">
        <v>0</v>
      </c>
      <c r="G144" s="10">
        <v>0</v>
      </c>
      <c r="H144" s="9">
        <v>0</v>
      </c>
      <c r="I144" s="9">
        <v>0</v>
      </c>
      <c r="J144" s="9">
        <v>-353.83045703296057</v>
      </c>
    </row>
    <row r="145" spans="1:10">
      <c r="A145" s="8" t="s">
        <v>32</v>
      </c>
      <c r="B145" s="9">
        <v>0</v>
      </c>
      <c r="C145" s="9">
        <v>0</v>
      </c>
      <c r="D145" s="9">
        <v>391.07059849708645</v>
      </c>
      <c r="E145" s="9">
        <v>0</v>
      </c>
      <c r="F145" s="9">
        <v>0</v>
      </c>
      <c r="G145" s="10">
        <v>0</v>
      </c>
      <c r="H145" s="9">
        <v>0</v>
      </c>
      <c r="I145" s="9">
        <v>0</v>
      </c>
      <c r="J145" s="9">
        <v>391.07059849708645</v>
      </c>
    </row>
    <row r="146" spans="1:10">
      <c r="A146" s="12" t="s">
        <v>33</v>
      </c>
      <c r="B146" s="13">
        <v>0</v>
      </c>
      <c r="C146" s="13">
        <v>0</v>
      </c>
      <c r="D146" s="13">
        <v>2117.4000447594226</v>
      </c>
      <c r="E146" s="13">
        <v>0</v>
      </c>
      <c r="F146" s="13">
        <v>496.70700000000011</v>
      </c>
      <c r="G146" s="14">
        <v>100.34620064000001</v>
      </c>
      <c r="H146" s="13">
        <v>0</v>
      </c>
      <c r="I146" s="13">
        <v>0</v>
      </c>
      <c r="J146" s="13">
        <v>2714.4532453994229</v>
      </c>
    </row>
    <row r="147" spans="1:10">
      <c r="A147" s="8" t="s">
        <v>34</v>
      </c>
      <c r="B147" s="9">
        <v>0</v>
      </c>
      <c r="C147" s="9">
        <v>0</v>
      </c>
      <c r="D147" s="9">
        <v>-430.72465022974848</v>
      </c>
      <c r="E147" s="9">
        <v>0</v>
      </c>
      <c r="F147" s="9">
        <v>0</v>
      </c>
      <c r="G147" s="10">
        <v>0</v>
      </c>
      <c r="H147" s="9">
        <v>-59.936262776721705</v>
      </c>
      <c r="I147" s="9">
        <v>0</v>
      </c>
      <c r="J147" s="9">
        <v>-511.95395154240191</v>
      </c>
    </row>
    <row r="148" spans="1:10">
      <c r="A148" s="8" t="s">
        <v>35</v>
      </c>
      <c r="B148" s="9">
        <v>0</v>
      </c>
      <c r="C148" s="9">
        <v>0</v>
      </c>
      <c r="D148" s="9">
        <v>1023.6485857370139</v>
      </c>
      <c r="E148" s="9">
        <v>0</v>
      </c>
      <c r="F148" s="9">
        <v>496.70700000000011</v>
      </c>
      <c r="G148" s="10">
        <v>75</v>
      </c>
      <c r="H148" s="9">
        <v>-838.5794562000001</v>
      </c>
      <c r="I148" s="9">
        <v>0</v>
      </c>
      <c r="J148" s="9">
        <v>756.77612953701396</v>
      </c>
    </row>
    <row r="149" spans="1:10">
      <c r="A149" s="8" t="s">
        <v>36</v>
      </c>
      <c r="B149" s="9">
        <v>0</v>
      </c>
      <c r="C149" s="9">
        <v>0</v>
      </c>
      <c r="D149" s="9">
        <v>0</v>
      </c>
      <c r="E149" s="9">
        <v>0</v>
      </c>
      <c r="F149" s="9">
        <v>0</v>
      </c>
      <c r="G149" s="10">
        <v>0</v>
      </c>
      <c r="H149" s="9">
        <v>0</v>
      </c>
      <c r="I149" s="9">
        <v>0</v>
      </c>
      <c r="J149" s="9">
        <v>0</v>
      </c>
    </row>
    <row r="150" spans="1:10">
      <c r="A150" s="8" t="s">
        <v>37</v>
      </c>
      <c r="B150" s="9">
        <v>0</v>
      </c>
      <c r="C150" s="9">
        <v>0</v>
      </c>
      <c r="D150" s="9">
        <v>0</v>
      </c>
      <c r="E150" s="9">
        <v>0</v>
      </c>
      <c r="F150" s="9">
        <v>0</v>
      </c>
      <c r="G150" s="10">
        <v>0</v>
      </c>
      <c r="H150" s="9">
        <v>0</v>
      </c>
      <c r="I150" s="9">
        <v>0</v>
      </c>
      <c r="J150" s="9">
        <v>0</v>
      </c>
    </row>
    <row r="151" spans="1:10">
      <c r="A151" s="8" t="s">
        <v>38</v>
      </c>
      <c r="B151" s="9">
        <v>0</v>
      </c>
      <c r="C151" s="9">
        <v>0</v>
      </c>
      <c r="D151" s="9">
        <v>0</v>
      </c>
      <c r="E151" s="9">
        <v>0</v>
      </c>
      <c r="F151" s="9">
        <v>0</v>
      </c>
      <c r="G151" s="10">
        <v>0</v>
      </c>
      <c r="H151" s="9">
        <v>3.3934136737350542</v>
      </c>
      <c r="I151" s="9">
        <v>0</v>
      </c>
      <c r="J151" s="9">
        <v>3.3934136737350542</v>
      </c>
    </row>
    <row r="152" spans="1:10">
      <c r="A152" s="8" t="s">
        <v>39</v>
      </c>
      <c r="B152" s="9">
        <v>0</v>
      </c>
      <c r="C152" s="9">
        <v>0</v>
      </c>
      <c r="D152" s="9">
        <v>0</v>
      </c>
      <c r="E152" s="9">
        <v>0</v>
      </c>
      <c r="F152" s="9">
        <v>0</v>
      </c>
      <c r="G152" s="10">
        <v>0</v>
      </c>
      <c r="H152" s="9">
        <v>103.8</v>
      </c>
      <c r="I152" s="9">
        <v>0</v>
      </c>
      <c r="J152" s="9">
        <v>103.8</v>
      </c>
    </row>
    <row r="153" spans="1:10">
      <c r="A153" s="12" t="s">
        <v>40</v>
      </c>
      <c r="B153" s="13">
        <v>0</v>
      </c>
      <c r="C153" s="13">
        <v>0</v>
      </c>
      <c r="D153" s="13">
        <v>592.92393550726547</v>
      </c>
      <c r="E153" s="13">
        <v>0</v>
      </c>
      <c r="F153" s="13">
        <v>496.70700000000011</v>
      </c>
      <c r="G153" s="14">
        <v>75</v>
      </c>
      <c r="H153" s="13">
        <v>-791.32230530298682</v>
      </c>
      <c r="I153" s="13">
        <v>0</v>
      </c>
      <c r="J153" s="13">
        <v>352.0155916683471</v>
      </c>
    </row>
    <row r="154" spans="1:10">
      <c r="A154" s="8" t="s">
        <v>41</v>
      </c>
      <c r="B154" s="9">
        <v>0</v>
      </c>
      <c r="C154" s="9">
        <v>0</v>
      </c>
      <c r="D154" s="9">
        <v>122.71193249219682</v>
      </c>
      <c r="E154" s="9">
        <v>0</v>
      </c>
      <c r="F154" s="9">
        <v>0</v>
      </c>
      <c r="G154" s="10">
        <v>0</v>
      </c>
      <c r="H154" s="9">
        <v>30.609548145425428</v>
      </c>
      <c r="I154" s="9">
        <v>0</v>
      </c>
      <c r="J154" s="9">
        <v>153.32148063762224</v>
      </c>
    </row>
    <row r="155" spans="1:10">
      <c r="A155" s="8" t="s">
        <v>42</v>
      </c>
      <c r="B155" s="9">
        <v>0</v>
      </c>
      <c r="C155" s="9">
        <v>0</v>
      </c>
      <c r="D155" s="9">
        <v>1209.1638029121962</v>
      </c>
      <c r="E155" s="9">
        <v>0</v>
      </c>
      <c r="F155" s="9">
        <v>0</v>
      </c>
      <c r="G155" s="10">
        <v>0</v>
      </c>
      <c r="H155" s="9">
        <v>0</v>
      </c>
      <c r="I155" s="9">
        <v>0</v>
      </c>
      <c r="J155" s="9">
        <v>1209.1638029121962</v>
      </c>
    </row>
    <row r="156" spans="1:10">
      <c r="A156" s="8" t="s">
        <v>43</v>
      </c>
      <c r="B156" s="9">
        <v>0</v>
      </c>
      <c r="C156" s="9">
        <v>0</v>
      </c>
      <c r="D156" s="9">
        <v>59.371641308725607</v>
      </c>
      <c r="E156" s="9">
        <v>0</v>
      </c>
      <c r="F156" s="9">
        <v>0</v>
      </c>
      <c r="G156" s="10">
        <v>13.519433059999999</v>
      </c>
      <c r="H156" s="9">
        <v>312.26673755808133</v>
      </c>
      <c r="I156" s="9">
        <v>0</v>
      </c>
      <c r="J156" s="9">
        <v>385.15781192680691</v>
      </c>
    </row>
    <row r="157" spans="1:10">
      <c r="A157" s="8" t="s">
        <v>44</v>
      </c>
      <c r="B157" s="9">
        <v>0</v>
      </c>
      <c r="C157" s="9">
        <v>0</v>
      </c>
      <c r="D157" s="9">
        <v>0</v>
      </c>
      <c r="E157" s="9">
        <v>0</v>
      </c>
      <c r="F157" s="9">
        <v>0</v>
      </c>
      <c r="G157" s="10">
        <v>2.9005220000000002E-2</v>
      </c>
      <c r="H157" s="9">
        <v>447.4854929048438</v>
      </c>
      <c r="I157" s="9">
        <v>0</v>
      </c>
      <c r="J157" s="9">
        <v>447.51449812484378</v>
      </c>
    </row>
    <row r="158" spans="1:10">
      <c r="A158" s="8" t="s">
        <v>4</v>
      </c>
      <c r="B158" s="9">
        <v>0</v>
      </c>
      <c r="C158" s="9">
        <v>0</v>
      </c>
      <c r="D158" s="9">
        <v>56.911259134639486</v>
      </c>
      <c r="E158" s="9">
        <v>0</v>
      </c>
      <c r="F158" s="9">
        <v>0</v>
      </c>
      <c r="G158" s="10">
        <v>11.79776236</v>
      </c>
      <c r="H158" s="9">
        <v>0.96052669463628371</v>
      </c>
      <c r="I158" s="9">
        <v>0</v>
      </c>
      <c r="J158" s="9">
        <v>39.711309043876611</v>
      </c>
    </row>
    <row r="159" spans="1:10">
      <c r="A159" s="16" t="s">
        <v>45</v>
      </c>
      <c r="B159" s="17">
        <v>0</v>
      </c>
      <c r="C159" s="17">
        <v>0</v>
      </c>
      <c r="D159" s="17">
        <v>1448.1586358477582</v>
      </c>
      <c r="E159" s="17">
        <v>0</v>
      </c>
      <c r="F159" s="17">
        <v>0</v>
      </c>
      <c r="G159" s="18">
        <v>25.346200639999999</v>
      </c>
      <c r="H159" s="17">
        <v>791.32230530298682</v>
      </c>
      <c r="I159" s="17">
        <v>0</v>
      </c>
      <c r="J159" s="17">
        <v>2234.8689026453458</v>
      </c>
    </row>
    <row r="160" spans="1:10">
      <c r="A160" s="16" t="s">
        <v>46</v>
      </c>
      <c r="B160" s="17">
        <v>0</v>
      </c>
      <c r="C160" s="17">
        <v>0</v>
      </c>
      <c r="D160" s="17">
        <v>76.317473404399081</v>
      </c>
      <c r="E160" s="17">
        <v>0</v>
      </c>
      <c r="F160" s="17">
        <v>0</v>
      </c>
      <c r="G160" s="18">
        <v>0</v>
      </c>
      <c r="H160" s="17">
        <v>0</v>
      </c>
      <c r="I160" s="17">
        <v>0</v>
      </c>
      <c r="J160" s="17">
        <v>76.317473404399081</v>
      </c>
    </row>
    <row r="161" spans="1:10">
      <c r="A161" s="12" t="s">
        <v>47</v>
      </c>
      <c r="B161" s="13">
        <v>0</v>
      </c>
      <c r="C161" s="13">
        <v>0</v>
      </c>
      <c r="D161" s="13">
        <v>1524.4761092521574</v>
      </c>
      <c r="E161" s="13">
        <v>0</v>
      </c>
      <c r="F161" s="13">
        <v>0</v>
      </c>
      <c r="G161" s="14">
        <v>25.346200639999999</v>
      </c>
      <c r="H161" s="13">
        <v>791.32230530298682</v>
      </c>
      <c r="I161" s="13">
        <v>0</v>
      </c>
      <c r="J161" s="13">
        <v>2311.1863760497449</v>
      </c>
    </row>
    <row r="162" spans="1:10">
      <c r="A162" s="8" t="s">
        <v>346</v>
      </c>
      <c r="B162" s="8"/>
      <c r="C162" s="8"/>
      <c r="D162" s="8"/>
      <c r="E162" s="8"/>
      <c r="F162" s="8"/>
      <c r="G162" s="214"/>
      <c r="H162" s="8"/>
      <c r="I162" s="8"/>
      <c r="J162" s="8"/>
    </row>
    <row r="163" spans="1:10">
      <c r="A163" s="8"/>
      <c r="B163" s="8"/>
      <c r="C163" s="8"/>
      <c r="D163" s="8"/>
      <c r="E163" s="8"/>
      <c r="F163" s="8"/>
      <c r="G163" s="214"/>
      <c r="H163" s="8"/>
      <c r="I163" s="8"/>
      <c r="J163" s="8"/>
    </row>
    <row r="164" spans="1:10">
      <c r="A164" s="8"/>
      <c r="B164" s="8" t="s">
        <v>351</v>
      </c>
      <c r="C164" s="8"/>
      <c r="D164" s="8"/>
      <c r="E164" s="8"/>
      <c r="F164" s="8"/>
      <c r="G164" s="214"/>
      <c r="H164" s="8"/>
      <c r="I164" s="8"/>
      <c r="J164" s="8"/>
    </row>
    <row r="165" spans="1:10">
      <c r="A165" s="8"/>
      <c r="B165" s="8" t="s">
        <v>344</v>
      </c>
      <c r="C165" s="8"/>
      <c r="D165" s="8"/>
      <c r="E165" s="8"/>
      <c r="F165" s="8"/>
      <c r="G165" s="214"/>
      <c r="H165" s="8"/>
      <c r="I165" s="8"/>
      <c r="J165" s="8"/>
    </row>
    <row r="166" spans="1:10">
      <c r="A166" s="8"/>
      <c r="B166" s="8" t="s">
        <v>345</v>
      </c>
      <c r="C166" s="8"/>
      <c r="D166" s="8"/>
      <c r="E166" s="8"/>
      <c r="F166" s="8"/>
      <c r="G166" s="214"/>
      <c r="H166" s="8"/>
      <c r="I166" s="8"/>
      <c r="J166" s="8"/>
    </row>
    <row r="167" spans="1:10">
      <c r="A167" s="8"/>
      <c r="B167" s="8"/>
      <c r="C167" s="8"/>
      <c r="D167" s="8"/>
      <c r="E167" s="8"/>
      <c r="F167" s="8"/>
      <c r="G167" s="214"/>
      <c r="H167" s="8"/>
      <c r="I167" s="8"/>
      <c r="J167" s="8"/>
    </row>
    <row r="168" spans="1:10" ht="43.2">
      <c r="A168" s="12"/>
      <c r="B168" s="211" t="s">
        <v>14</v>
      </c>
      <c r="C168" s="211" t="s">
        <v>15</v>
      </c>
      <c r="D168" s="211" t="s">
        <v>16</v>
      </c>
      <c r="E168" s="211" t="s">
        <v>17</v>
      </c>
      <c r="F168" s="211" t="s">
        <v>18</v>
      </c>
      <c r="G168" s="212" t="s">
        <v>19</v>
      </c>
      <c r="H168" s="211" t="s">
        <v>20</v>
      </c>
      <c r="I168" s="211" t="s">
        <v>21</v>
      </c>
      <c r="J168" s="211" t="s">
        <v>23</v>
      </c>
    </row>
    <row r="169" spans="1:10">
      <c r="A169" s="8" t="s">
        <v>24</v>
      </c>
      <c r="B169" s="359">
        <v>0</v>
      </c>
      <c r="C169" s="359">
        <v>0</v>
      </c>
      <c r="D169" s="359">
        <v>0</v>
      </c>
      <c r="E169" s="359">
        <v>0</v>
      </c>
      <c r="F169" s="359">
        <v>547.40700000000004</v>
      </c>
      <c r="G169" s="359">
        <v>97.538453419999996</v>
      </c>
      <c r="H169" s="359">
        <v>0</v>
      </c>
      <c r="I169" s="359">
        <v>0</v>
      </c>
      <c r="J169" s="359">
        <v>644.94545342000004</v>
      </c>
    </row>
    <row r="170" spans="1:10">
      <c r="A170" s="8" t="s">
        <v>25</v>
      </c>
      <c r="B170" s="359">
        <v>0</v>
      </c>
      <c r="C170" s="359">
        <v>0</v>
      </c>
      <c r="D170" s="359">
        <v>0</v>
      </c>
      <c r="E170" s="359">
        <v>0</v>
      </c>
      <c r="F170" s="359">
        <v>493.28300000000007</v>
      </c>
      <c r="G170" s="359">
        <v>0</v>
      </c>
      <c r="H170" s="359">
        <v>0</v>
      </c>
      <c r="I170" s="359">
        <v>0</v>
      </c>
      <c r="J170" s="359">
        <v>493.28300000000007</v>
      </c>
    </row>
    <row r="171" spans="1:10">
      <c r="A171" s="8" t="s">
        <v>26</v>
      </c>
      <c r="B171" s="359">
        <v>0</v>
      </c>
      <c r="C171" s="359">
        <v>0</v>
      </c>
      <c r="D171" s="359">
        <v>0</v>
      </c>
      <c r="E171" s="359">
        <v>0</v>
      </c>
      <c r="F171" s="359">
        <v>0</v>
      </c>
      <c r="G171" s="359">
        <v>0</v>
      </c>
      <c r="H171" s="359">
        <v>0</v>
      </c>
      <c r="I171" s="359">
        <v>0</v>
      </c>
      <c r="J171" s="359">
        <v>0</v>
      </c>
    </row>
    <row r="172" spans="1:10">
      <c r="A172" s="8" t="s">
        <v>27</v>
      </c>
      <c r="B172" s="359">
        <v>0</v>
      </c>
      <c r="C172" s="359">
        <v>0</v>
      </c>
      <c r="D172" s="359">
        <v>0</v>
      </c>
      <c r="E172" s="359">
        <v>0</v>
      </c>
      <c r="F172" s="359">
        <v>54.124000000000002</v>
      </c>
      <c r="G172" s="359">
        <v>0</v>
      </c>
      <c r="H172" s="359">
        <v>0</v>
      </c>
      <c r="I172" s="359">
        <v>0</v>
      </c>
      <c r="J172" s="359">
        <v>54.124000000000002</v>
      </c>
    </row>
    <row r="173" spans="1:10">
      <c r="A173" s="8" t="s">
        <v>28</v>
      </c>
      <c r="B173" s="359">
        <v>0</v>
      </c>
      <c r="C173" s="359">
        <v>0</v>
      </c>
      <c r="D173" s="359">
        <v>2104.9970834883425</v>
      </c>
      <c r="E173" s="359">
        <v>0</v>
      </c>
      <c r="F173" s="359">
        <v>0</v>
      </c>
      <c r="G173" s="359">
        <v>0</v>
      </c>
      <c r="H173" s="359">
        <v>0</v>
      </c>
      <c r="I173" s="359">
        <v>0</v>
      </c>
      <c r="J173" s="359">
        <v>2104.9970834883425</v>
      </c>
    </row>
    <row r="174" spans="1:10">
      <c r="A174" s="8" t="s">
        <v>29</v>
      </c>
      <c r="B174" s="359">
        <v>0</v>
      </c>
      <c r="C174" s="359">
        <v>0</v>
      </c>
      <c r="D174" s="359">
        <v>-7.8038794665013613</v>
      </c>
      <c r="E174" s="359">
        <v>0</v>
      </c>
      <c r="F174" s="359">
        <v>0</v>
      </c>
      <c r="G174" s="359">
        <v>0</v>
      </c>
      <c r="H174" s="359">
        <v>0</v>
      </c>
      <c r="I174" s="359">
        <v>0</v>
      </c>
      <c r="J174" s="359">
        <v>-7.8038794665013613</v>
      </c>
    </row>
    <row r="175" spans="1:10">
      <c r="A175" s="8" t="s">
        <v>30</v>
      </c>
      <c r="B175" s="359">
        <v>0</v>
      </c>
      <c r="C175" s="359">
        <v>0</v>
      </c>
      <c r="D175" s="359">
        <v>-5.1919203186769893</v>
      </c>
      <c r="E175" s="359">
        <v>0</v>
      </c>
      <c r="F175" s="359">
        <v>0</v>
      </c>
      <c r="G175" s="359">
        <v>0</v>
      </c>
      <c r="H175" s="359">
        <v>0</v>
      </c>
      <c r="I175" s="359">
        <v>0</v>
      </c>
      <c r="J175" s="359">
        <v>-5.1919203186769893</v>
      </c>
    </row>
    <row r="176" spans="1:10">
      <c r="A176" s="8" t="s">
        <v>31</v>
      </c>
      <c r="B176" s="359">
        <v>0</v>
      </c>
      <c r="C176" s="359">
        <v>0</v>
      </c>
      <c r="D176" s="359">
        <v>-334.71345048063091</v>
      </c>
      <c r="E176" s="359">
        <v>0</v>
      </c>
      <c r="F176" s="359">
        <v>0</v>
      </c>
      <c r="G176" s="359">
        <v>0</v>
      </c>
      <c r="H176" s="359">
        <v>0</v>
      </c>
      <c r="I176" s="359">
        <v>0</v>
      </c>
      <c r="J176" s="359">
        <v>-334.71345048063091</v>
      </c>
    </row>
    <row r="177" spans="1:10">
      <c r="A177" s="8" t="s">
        <v>32</v>
      </c>
      <c r="B177" s="359">
        <v>0</v>
      </c>
      <c r="C177" s="359">
        <v>0</v>
      </c>
      <c r="D177" s="359">
        <v>118.42933125886628</v>
      </c>
      <c r="E177" s="359">
        <v>0</v>
      </c>
      <c r="F177" s="359">
        <v>0</v>
      </c>
      <c r="G177" s="359">
        <v>0</v>
      </c>
      <c r="H177" s="359">
        <v>0</v>
      </c>
      <c r="I177" s="359">
        <v>0</v>
      </c>
      <c r="J177" s="359">
        <v>118.42933125886628</v>
      </c>
    </row>
    <row r="178" spans="1:10">
      <c r="A178" s="12" t="s">
        <v>33</v>
      </c>
      <c r="B178" s="358">
        <v>0</v>
      </c>
      <c r="C178" s="358">
        <v>0</v>
      </c>
      <c r="D178" s="358">
        <v>1875.7171644813995</v>
      </c>
      <c r="E178" s="358">
        <v>0</v>
      </c>
      <c r="F178" s="358">
        <v>547.40700000000004</v>
      </c>
      <c r="G178" s="358">
        <v>97.538453419999996</v>
      </c>
      <c r="H178" s="358">
        <v>0</v>
      </c>
      <c r="I178" s="358">
        <v>0</v>
      </c>
      <c r="J178" s="358">
        <v>2520.6626179013992</v>
      </c>
    </row>
    <row r="179" spans="1:10">
      <c r="A179" s="8" t="s">
        <v>34</v>
      </c>
      <c r="B179" s="359">
        <v>0</v>
      </c>
      <c r="C179" s="359">
        <v>0</v>
      </c>
      <c r="D179" s="359">
        <v>-755.4806186319239</v>
      </c>
      <c r="E179" s="359">
        <v>0</v>
      </c>
      <c r="F179" s="359">
        <v>0</v>
      </c>
      <c r="G179" s="359">
        <v>0</v>
      </c>
      <c r="H179" s="359">
        <v>-43.970725662324625</v>
      </c>
      <c r="I179" s="359">
        <v>0</v>
      </c>
      <c r="J179" s="359">
        <v>-799.45134429424843</v>
      </c>
    </row>
    <row r="180" spans="1:10">
      <c r="A180" s="8" t="s">
        <v>35</v>
      </c>
      <c r="B180" s="359">
        <v>0</v>
      </c>
      <c r="C180" s="359">
        <v>0</v>
      </c>
      <c r="D180" s="359">
        <v>1117.8891599922094</v>
      </c>
      <c r="E180" s="359">
        <v>0</v>
      </c>
      <c r="F180" s="359">
        <v>547.40700000000004</v>
      </c>
      <c r="G180" s="359">
        <v>75</v>
      </c>
      <c r="H180" s="359">
        <v>-844.21448550000002</v>
      </c>
      <c r="I180" s="359">
        <v>0</v>
      </c>
      <c r="J180" s="359">
        <v>896.08167449220957</v>
      </c>
    </row>
    <row r="181" spans="1:10">
      <c r="A181" s="8" t="s">
        <v>36</v>
      </c>
      <c r="B181" s="359">
        <v>0</v>
      </c>
      <c r="C181" s="359">
        <v>0</v>
      </c>
      <c r="D181" s="359">
        <v>0</v>
      </c>
      <c r="E181" s="359">
        <v>0</v>
      </c>
      <c r="F181" s="359">
        <v>0</v>
      </c>
      <c r="G181" s="359">
        <v>0</v>
      </c>
      <c r="H181" s="359">
        <v>0</v>
      </c>
      <c r="I181" s="359">
        <v>0</v>
      </c>
      <c r="J181" s="359">
        <v>0</v>
      </c>
    </row>
    <row r="182" spans="1:10">
      <c r="A182" s="8" t="s">
        <v>37</v>
      </c>
      <c r="B182" s="359">
        <v>0</v>
      </c>
      <c r="C182" s="359">
        <v>0</v>
      </c>
      <c r="D182" s="359">
        <v>0</v>
      </c>
      <c r="E182" s="359">
        <v>0</v>
      </c>
      <c r="F182" s="359">
        <v>0</v>
      </c>
      <c r="G182" s="359">
        <v>0</v>
      </c>
      <c r="H182" s="359">
        <v>0</v>
      </c>
      <c r="I182" s="359">
        <v>0</v>
      </c>
      <c r="J182" s="359">
        <v>0</v>
      </c>
    </row>
    <row r="183" spans="1:10">
      <c r="A183" s="8" t="s">
        <v>38</v>
      </c>
      <c r="B183" s="359">
        <v>0</v>
      </c>
      <c r="C183" s="359">
        <v>0</v>
      </c>
      <c r="D183" s="359">
        <v>0</v>
      </c>
      <c r="E183" s="359">
        <v>0</v>
      </c>
      <c r="F183" s="359">
        <v>0</v>
      </c>
      <c r="G183" s="359">
        <v>0</v>
      </c>
      <c r="H183" s="359">
        <v>5.412817416254196</v>
      </c>
      <c r="I183" s="359">
        <v>0</v>
      </c>
      <c r="J183" s="359">
        <v>5.412817416254196</v>
      </c>
    </row>
    <row r="184" spans="1:10">
      <c r="A184" s="8" t="s">
        <v>39</v>
      </c>
      <c r="B184" s="359">
        <v>0</v>
      </c>
      <c r="C184" s="359">
        <v>0</v>
      </c>
      <c r="D184" s="359">
        <v>0</v>
      </c>
      <c r="E184" s="359">
        <v>0</v>
      </c>
      <c r="F184" s="359">
        <v>0</v>
      </c>
      <c r="G184" s="359">
        <v>0</v>
      </c>
      <c r="H184" s="357">
        <v>104.24565469293165</v>
      </c>
      <c r="I184" s="359">
        <v>0</v>
      </c>
      <c r="J184" s="359">
        <v>104.24565469293165</v>
      </c>
    </row>
    <row r="185" spans="1:10">
      <c r="A185" s="12" t="s">
        <v>40</v>
      </c>
      <c r="B185" s="358">
        <v>0</v>
      </c>
      <c r="C185" s="358">
        <v>0</v>
      </c>
      <c r="D185" s="358">
        <v>362.40854136028554</v>
      </c>
      <c r="E185" s="358">
        <v>0</v>
      </c>
      <c r="F185" s="358">
        <v>547.40700000000004</v>
      </c>
      <c r="G185" s="358">
        <v>75</v>
      </c>
      <c r="H185" s="358">
        <v>-778.52673905313884</v>
      </c>
      <c r="I185" s="358">
        <v>0</v>
      </c>
      <c r="J185" s="358">
        <v>206.28880230714699</v>
      </c>
    </row>
    <row r="186" spans="1:10">
      <c r="A186" s="8" t="s">
        <v>41</v>
      </c>
      <c r="B186" s="359">
        <v>0</v>
      </c>
      <c r="C186" s="359">
        <v>0</v>
      </c>
      <c r="D186" s="359">
        <v>249.846852269669</v>
      </c>
      <c r="E186" s="359">
        <v>0</v>
      </c>
      <c r="F186" s="359">
        <v>0</v>
      </c>
      <c r="G186" s="359">
        <v>0</v>
      </c>
      <c r="H186" s="357">
        <v>36.556036510882585</v>
      </c>
      <c r="I186" s="359">
        <v>0</v>
      </c>
      <c r="J186" s="359">
        <v>286.40288878055162</v>
      </c>
    </row>
    <row r="187" spans="1:10">
      <c r="A187" s="8" t="s">
        <v>42</v>
      </c>
      <c r="B187" s="359">
        <v>0</v>
      </c>
      <c r="C187" s="359">
        <v>0</v>
      </c>
      <c r="D187" s="359">
        <v>1086.1146381773769</v>
      </c>
      <c r="E187" s="359">
        <v>0</v>
      </c>
      <c r="F187" s="359">
        <v>0</v>
      </c>
      <c r="G187" s="359">
        <v>0</v>
      </c>
      <c r="H187" s="357">
        <v>0</v>
      </c>
      <c r="I187" s="359">
        <v>0</v>
      </c>
      <c r="J187" s="359">
        <v>1086.1146381773769</v>
      </c>
    </row>
    <row r="188" spans="1:10">
      <c r="A188" s="8" t="s">
        <v>43</v>
      </c>
      <c r="B188" s="359">
        <v>0</v>
      </c>
      <c r="C188" s="359">
        <v>0</v>
      </c>
      <c r="D188" s="359">
        <v>56.177310024759116</v>
      </c>
      <c r="E188" s="359">
        <v>0</v>
      </c>
      <c r="F188" s="359">
        <v>0</v>
      </c>
      <c r="G188" s="359">
        <v>10.800943820000001</v>
      </c>
      <c r="H188" s="357">
        <v>275.73908415125925</v>
      </c>
      <c r="I188" s="359">
        <v>0</v>
      </c>
      <c r="J188" s="359">
        <v>342.71733799601844</v>
      </c>
    </row>
    <row r="189" spans="1:10">
      <c r="A189" s="8" t="s">
        <v>44</v>
      </c>
      <c r="B189" s="359">
        <v>0</v>
      </c>
      <c r="C189" s="359">
        <v>0</v>
      </c>
      <c r="D189" s="359">
        <v>0</v>
      </c>
      <c r="E189" s="359">
        <v>0</v>
      </c>
      <c r="F189" s="359">
        <v>0</v>
      </c>
      <c r="G189" s="359">
        <v>2.9005220000000002E-2</v>
      </c>
      <c r="H189" s="357">
        <v>465.09848418747418</v>
      </c>
      <c r="I189" s="359">
        <v>0</v>
      </c>
      <c r="J189" s="359">
        <v>465.12748940747417</v>
      </c>
    </row>
    <row r="190" spans="1:10">
      <c r="A190" s="8" t="s">
        <v>4</v>
      </c>
      <c r="B190" s="359">
        <v>0</v>
      </c>
      <c r="C190" s="359">
        <v>0</v>
      </c>
      <c r="D190" s="359">
        <v>54.877525491674454</v>
      </c>
      <c r="E190" s="359">
        <v>0</v>
      </c>
      <c r="F190" s="359">
        <v>0</v>
      </c>
      <c r="G190" s="359">
        <v>11.708504380000003</v>
      </c>
      <c r="H190" s="357">
        <v>1.1331342035228085</v>
      </c>
      <c r="I190" s="359">
        <v>0</v>
      </c>
      <c r="J190" s="359">
        <v>67.719164075197256</v>
      </c>
    </row>
    <row r="191" spans="1:10">
      <c r="A191" s="16" t="s">
        <v>45</v>
      </c>
      <c r="B191" s="360">
        <v>0</v>
      </c>
      <c r="C191" s="360">
        <v>0</v>
      </c>
      <c r="D191" s="360">
        <v>1447.0163259634796</v>
      </c>
      <c r="E191" s="360">
        <v>0</v>
      </c>
      <c r="F191" s="360">
        <v>0</v>
      </c>
      <c r="G191" s="360">
        <v>22.538453420000003</v>
      </c>
      <c r="H191" s="360">
        <v>778.52673905313873</v>
      </c>
      <c r="I191" s="360">
        <v>0</v>
      </c>
      <c r="J191" s="360">
        <v>2248.0815184366184</v>
      </c>
    </row>
    <row r="192" spans="1:10">
      <c r="A192" s="16" t="s">
        <v>46</v>
      </c>
      <c r="B192" s="360">
        <v>0</v>
      </c>
      <c r="C192" s="360">
        <v>0</v>
      </c>
      <c r="D192" s="360">
        <v>66.292297157634238</v>
      </c>
      <c r="E192" s="360">
        <v>0</v>
      </c>
      <c r="F192" s="360">
        <v>0</v>
      </c>
      <c r="G192" s="360">
        <v>0</v>
      </c>
      <c r="H192" s="360">
        <v>0</v>
      </c>
      <c r="I192" s="360">
        <v>0</v>
      </c>
      <c r="J192" s="360">
        <v>66.292297157634238</v>
      </c>
    </row>
    <row r="193" spans="1:10">
      <c r="A193" s="12" t="s">
        <v>47</v>
      </c>
      <c r="B193" s="358">
        <v>0</v>
      </c>
      <c r="C193" s="358">
        <v>0</v>
      </c>
      <c r="D193" s="358">
        <v>1513.3086231211139</v>
      </c>
      <c r="E193" s="358">
        <v>0</v>
      </c>
      <c r="F193" s="358">
        <v>0</v>
      </c>
      <c r="G193" s="358">
        <v>22.538453420000003</v>
      </c>
      <c r="H193" s="358">
        <v>778.52673905313873</v>
      </c>
      <c r="I193" s="358">
        <v>0</v>
      </c>
      <c r="J193" s="358">
        <v>2314.3738155942524</v>
      </c>
    </row>
    <row r="194" spans="1:10">
      <c r="A194" s="8" t="s">
        <v>346</v>
      </c>
      <c r="B194" s="8"/>
      <c r="C194" s="8"/>
      <c r="D194" s="8"/>
      <c r="E194" s="8"/>
      <c r="F194" s="8"/>
      <c r="G194" s="214"/>
      <c r="H194" s="8"/>
      <c r="I194" s="8"/>
      <c r="J194" s="8"/>
    </row>
    <row r="195" spans="1:10">
      <c r="A195" s="8"/>
      <c r="B195" s="8"/>
      <c r="C195" s="8"/>
      <c r="D195" s="8"/>
      <c r="E195" s="8"/>
      <c r="F195" s="8"/>
      <c r="G195" s="214"/>
      <c r="H195" s="8"/>
      <c r="I195" s="8"/>
      <c r="J195" s="8"/>
    </row>
    <row r="196" spans="1:10">
      <c r="A196" s="8"/>
      <c r="B196" s="8" t="s">
        <v>352</v>
      </c>
      <c r="C196" s="8"/>
      <c r="D196" s="8"/>
      <c r="E196" s="8"/>
      <c r="F196" s="8"/>
      <c r="G196" s="214"/>
      <c r="H196" s="8"/>
      <c r="I196" s="8"/>
      <c r="J196" s="8"/>
    </row>
    <row r="197" spans="1:10">
      <c r="A197" s="8"/>
      <c r="B197" s="8" t="s">
        <v>344</v>
      </c>
      <c r="C197" s="8"/>
      <c r="D197" s="8"/>
      <c r="E197" s="8"/>
      <c r="F197" s="8"/>
      <c r="G197" s="214"/>
      <c r="H197" s="8"/>
      <c r="I197" s="8"/>
      <c r="J197" s="8"/>
    </row>
    <row r="198" spans="1:10">
      <c r="A198" s="8"/>
      <c r="B198" s="8" t="s">
        <v>345</v>
      </c>
      <c r="C198" s="8"/>
      <c r="D198" s="8"/>
      <c r="E198" s="8"/>
      <c r="F198" s="8"/>
      <c r="G198" s="214"/>
      <c r="H198" s="8"/>
      <c r="I198" s="8"/>
      <c r="J198" s="8"/>
    </row>
    <row r="199" spans="1:10">
      <c r="A199" s="8"/>
      <c r="B199" s="8"/>
      <c r="C199" s="8"/>
      <c r="D199" s="8"/>
      <c r="E199" s="8"/>
      <c r="F199" s="8"/>
      <c r="G199" s="214"/>
      <c r="H199" s="8"/>
      <c r="I199" s="8"/>
      <c r="J199" s="8"/>
    </row>
    <row r="200" spans="1:10" ht="43.2">
      <c r="A200" s="12"/>
      <c r="B200" s="211" t="s">
        <v>14</v>
      </c>
      <c r="C200" s="211" t="s">
        <v>15</v>
      </c>
      <c r="D200" s="211" t="s">
        <v>16</v>
      </c>
      <c r="E200" s="211" t="s">
        <v>17</v>
      </c>
      <c r="F200" s="211" t="s">
        <v>18</v>
      </c>
      <c r="G200" s="212" t="s">
        <v>19</v>
      </c>
      <c r="H200" s="211" t="s">
        <v>20</v>
      </c>
      <c r="I200" s="211" t="s">
        <v>21</v>
      </c>
      <c r="J200" s="211" t="s">
        <v>23</v>
      </c>
    </row>
    <row r="201" spans="1:10">
      <c r="A201" s="8" t="s">
        <v>24</v>
      </c>
      <c r="B201" s="359">
        <v>0</v>
      </c>
      <c r="C201" s="359">
        <v>0</v>
      </c>
      <c r="D201" s="359">
        <v>0</v>
      </c>
      <c r="E201" s="359">
        <v>0</v>
      </c>
      <c r="F201" s="359">
        <v>551.72200000000009</v>
      </c>
      <c r="G201" s="359">
        <v>95.472414259999994</v>
      </c>
      <c r="H201" s="359">
        <v>0</v>
      </c>
      <c r="I201" s="359">
        <v>0</v>
      </c>
      <c r="J201" s="359">
        <v>647.19441426000003</v>
      </c>
    </row>
    <row r="202" spans="1:10">
      <c r="A202" s="8" t="s">
        <v>25</v>
      </c>
      <c r="B202" s="359">
        <v>0</v>
      </c>
      <c r="C202" s="359">
        <v>0</v>
      </c>
      <c r="D202" s="359">
        <v>0</v>
      </c>
      <c r="E202" s="359">
        <v>0</v>
      </c>
      <c r="F202" s="359">
        <v>499.83900000000006</v>
      </c>
      <c r="G202" s="359">
        <v>0</v>
      </c>
      <c r="H202" s="359">
        <v>0</v>
      </c>
      <c r="I202" s="359">
        <v>0</v>
      </c>
      <c r="J202" s="359">
        <v>499.83900000000006</v>
      </c>
    </row>
    <row r="203" spans="1:10">
      <c r="A203" s="8" t="s">
        <v>26</v>
      </c>
      <c r="B203" s="359">
        <v>0</v>
      </c>
      <c r="C203" s="359">
        <v>0</v>
      </c>
      <c r="D203" s="359">
        <v>0</v>
      </c>
      <c r="E203" s="359">
        <v>0</v>
      </c>
      <c r="F203" s="359">
        <v>0</v>
      </c>
      <c r="G203" s="359">
        <v>0</v>
      </c>
      <c r="H203" s="359">
        <v>0</v>
      </c>
      <c r="I203" s="359">
        <v>0</v>
      </c>
      <c r="J203" s="359">
        <v>0</v>
      </c>
    </row>
    <row r="204" spans="1:10">
      <c r="A204" s="8" t="s">
        <v>27</v>
      </c>
      <c r="B204" s="359">
        <v>0</v>
      </c>
      <c r="C204" s="359">
        <v>0</v>
      </c>
      <c r="D204" s="359">
        <v>0</v>
      </c>
      <c r="E204" s="359">
        <v>0</v>
      </c>
      <c r="F204" s="359">
        <v>51.88300000000001</v>
      </c>
      <c r="G204" s="359">
        <v>0</v>
      </c>
      <c r="H204" s="359">
        <v>0</v>
      </c>
      <c r="I204" s="359">
        <v>0</v>
      </c>
      <c r="J204" s="359">
        <v>51.88300000000001</v>
      </c>
    </row>
    <row r="205" spans="1:10">
      <c r="A205" s="8" t="s">
        <v>28</v>
      </c>
      <c r="B205" s="359">
        <v>0</v>
      </c>
      <c r="C205" s="359">
        <v>0</v>
      </c>
      <c r="D205" s="359">
        <v>2069.8487091814868</v>
      </c>
      <c r="E205" s="359">
        <v>0</v>
      </c>
      <c r="F205" s="359">
        <v>0</v>
      </c>
      <c r="G205" s="359">
        <v>0</v>
      </c>
      <c r="H205" s="359">
        <v>0</v>
      </c>
      <c r="I205" s="359">
        <v>0</v>
      </c>
      <c r="J205" s="359">
        <v>2069.8487091814868</v>
      </c>
    </row>
    <row r="206" spans="1:10">
      <c r="A206" s="8" t="s">
        <v>29</v>
      </c>
      <c r="B206" s="359">
        <v>0</v>
      </c>
      <c r="C206" s="359">
        <v>0</v>
      </c>
      <c r="D206" s="359">
        <v>-7.3379762147699354</v>
      </c>
      <c r="E206" s="359">
        <v>0</v>
      </c>
      <c r="F206" s="359">
        <v>0</v>
      </c>
      <c r="G206" s="359">
        <v>0</v>
      </c>
      <c r="H206" s="359">
        <v>0</v>
      </c>
      <c r="I206" s="359">
        <v>0</v>
      </c>
      <c r="J206" s="359">
        <v>-7.3379762147699354</v>
      </c>
    </row>
    <row r="207" spans="1:10">
      <c r="A207" s="8" t="s">
        <v>30</v>
      </c>
      <c r="B207" s="359">
        <v>0</v>
      </c>
      <c r="C207" s="359">
        <v>0</v>
      </c>
      <c r="D207" s="359">
        <v>-5.1919203186769893</v>
      </c>
      <c r="E207" s="359">
        <v>0</v>
      </c>
      <c r="F207" s="359">
        <v>0</v>
      </c>
      <c r="G207" s="359">
        <v>0</v>
      </c>
      <c r="H207" s="359">
        <v>0</v>
      </c>
      <c r="I207" s="359">
        <v>0</v>
      </c>
      <c r="J207" s="359">
        <v>-5.1919203186769893</v>
      </c>
    </row>
    <row r="208" spans="1:10">
      <c r="A208" s="8" t="s">
        <v>31</v>
      </c>
      <c r="B208" s="359">
        <v>0</v>
      </c>
      <c r="C208" s="359">
        <v>0</v>
      </c>
      <c r="D208" s="359">
        <v>-334.71345048063091</v>
      </c>
      <c r="E208" s="359">
        <v>0</v>
      </c>
      <c r="F208" s="359">
        <v>0</v>
      </c>
      <c r="G208" s="359">
        <v>0</v>
      </c>
      <c r="H208" s="359">
        <v>0</v>
      </c>
      <c r="I208" s="359">
        <v>0</v>
      </c>
      <c r="J208" s="359">
        <v>-334.71345048063091</v>
      </c>
    </row>
    <row r="209" spans="1:10">
      <c r="A209" s="8" t="s">
        <v>32</v>
      </c>
      <c r="B209" s="359">
        <v>0</v>
      </c>
      <c r="C209" s="359">
        <v>0</v>
      </c>
      <c r="D209" s="359">
        <v>300.89656943482231</v>
      </c>
      <c r="E209" s="359">
        <v>0</v>
      </c>
      <c r="F209" s="359">
        <v>0</v>
      </c>
      <c r="G209" s="359">
        <v>0</v>
      </c>
      <c r="H209" s="359">
        <v>0</v>
      </c>
      <c r="I209" s="359">
        <v>0</v>
      </c>
      <c r="J209" s="359">
        <v>300.89656943482231</v>
      </c>
    </row>
    <row r="210" spans="1:10">
      <c r="A210" s="12" t="s">
        <v>33</v>
      </c>
      <c r="B210" s="358">
        <v>0</v>
      </c>
      <c r="C210" s="358">
        <v>0</v>
      </c>
      <c r="D210" s="358">
        <v>2023.501931602231</v>
      </c>
      <c r="E210" s="358">
        <v>0</v>
      </c>
      <c r="F210" s="358">
        <v>551.72200000000009</v>
      </c>
      <c r="G210" s="358">
        <v>95.472414259999994</v>
      </c>
      <c r="H210" s="358">
        <v>0</v>
      </c>
      <c r="I210" s="358">
        <v>0</v>
      </c>
      <c r="J210" s="358">
        <v>2670.6963458622308</v>
      </c>
    </row>
    <row r="211" spans="1:10">
      <c r="A211" s="8" t="s">
        <v>34</v>
      </c>
      <c r="B211" s="359">
        <v>0</v>
      </c>
      <c r="C211" s="359">
        <v>0</v>
      </c>
      <c r="D211" s="359">
        <v>-636.03007292555685</v>
      </c>
      <c r="E211" s="359">
        <v>0</v>
      </c>
      <c r="F211" s="359">
        <v>0</v>
      </c>
      <c r="G211" s="359">
        <v>0</v>
      </c>
      <c r="H211" s="359">
        <v>17.207344731790243</v>
      </c>
      <c r="I211" s="359">
        <v>0</v>
      </c>
      <c r="J211" s="359">
        <v>-618.82272819376658</v>
      </c>
    </row>
    <row r="212" spans="1:10">
      <c r="A212" s="8" t="s">
        <v>35</v>
      </c>
      <c r="B212" s="359">
        <v>0</v>
      </c>
      <c r="C212" s="359">
        <v>0</v>
      </c>
      <c r="D212" s="359">
        <v>1098.1096307273795</v>
      </c>
      <c r="E212" s="359">
        <v>0</v>
      </c>
      <c r="F212" s="359">
        <v>551.72200000000009</v>
      </c>
      <c r="G212" s="359">
        <v>75</v>
      </c>
      <c r="H212" s="359">
        <v>-890.63904060000016</v>
      </c>
      <c r="I212" s="359">
        <v>0</v>
      </c>
      <c r="J212" s="359">
        <v>834.19259012737928</v>
      </c>
    </row>
    <row r="213" spans="1:10">
      <c r="A213" s="8" t="s">
        <v>36</v>
      </c>
      <c r="B213" s="359">
        <v>0</v>
      </c>
      <c r="C213" s="359">
        <v>0</v>
      </c>
      <c r="D213" s="359">
        <v>0</v>
      </c>
      <c r="E213" s="359">
        <v>0</v>
      </c>
      <c r="F213" s="359">
        <v>0</v>
      </c>
      <c r="G213" s="359">
        <v>0</v>
      </c>
      <c r="H213" s="359">
        <v>0</v>
      </c>
      <c r="I213" s="359">
        <v>0</v>
      </c>
      <c r="J213" s="359">
        <v>0</v>
      </c>
    </row>
    <row r="214" spans="1:10">
      <c r="A214" s="8" t="s">
        <v>37</v>
      </c>
      <c r="B214" s="359">
        <v>0</v>
      </c>
      <c r="C214" s="359">
        <v>0</v>
      </c>
      <c r="D214" s="359">
        <v>0</v>
      </c>
      <c r="E214" s="359">
        <v>0</v>
      </c>
      <c r="F214" s="359">
        <v>0</v>
      </c>
      <c r="G214" s="359">
        <v>0</v>
      </c>
      <c r="H214" s="359">
        <v>0</v>
      </c>
      <c r="I214" s="359">
        <v>0</v>
      </c>
      <c r="J214" s="359">
        <v>0</v>
      </c>
    </row>
    <row r="215" spans="1:10">
      <c r="A215" s="8" t="s">
        <v>38</v>
      </c>
      <c r="B215" s="359">
        <v>0</v>
      </c>
      <c r="C215" s="359">
        <v>0</v>
      </c>
      <c r="D215" s="359">
        <v>0</v>
      </c>
      <c r="E215" s="359">
        <v>0</v>
      </c>
      <c r="F215" s="359">
        <v>0</v>
      </c>
      <c r="G215" s="359">
        <v>0</v>
      </c>
      <c r="H215" s="359">
        <v>6.8308597016220958</v>
      </c>
      <c r="I215" s="359">
        <v>0</v>
      </c>
      <c r="J215" s="359">
        <v>6.8308597016220958</v>
      </c>
    </row>
    <row r="216" spans="1:10">
      <c r="A216" s="8" t="s">
        <v>39</v>
      </c>
      <c r="B216" s="359">
        <v>0</v>
      </c>
      <c r="C216" s="359">
        <v>0</v>
      </c>
      <c r="D216" s="359">
        <v>0</v>
      </c>
      <c r="E216" s="359">
        <v>0</v>
      </c>
      <c r="F216" s="359">
        <v>0</v>
      </c>
      <c r="G216" s="359">
        <v>0</v>
      </c>
      <c r="H216" s="357">
        <v>102.00000000000001</v>
      </c>
      <c r="I216" s="359">
        <v>0</v>
      </c>
      <c r="J216" s="359">
        <v>102.00000000000001</v>
      </c>
    </row>
    <row r="217" spans="1:10">
      <c r="A217" s="12" t="s">
        <v>40</v>
      </c>
      <c r="B217" s="358">
        <v>0</v>
      </c>
      <c r="C217" s="358">
        <v>0</v>
      </c>
      <c r="D217" s="358">
        <v>462.0795578018226</v>
      </c>
      <c r="E217" s="358">
        <v>0</v>
      </c>
      <c r="F217" s="358">
        <v>551.72200000000009</v>
      </c>
      <c r="G217" s="358">
        <v>75</v>
      </c>
      <c r="H217" s="358">
        <v>-764.60083616658778</v>
      </c>
      <c r="I217" s="358">
        <v>0</v>
      </c>
      <c r="J217" s="358">
        <v>324.2007216352348</v>
      </c>
    </row>
    <row r="218" spans="1:10">
      <c r="A218" s="8" t="s">
        <v>41</v>
      </c>
      <c r="B218" s="359">
        <v>0</v>
      </c>
      <c r="C218" s="359">
        <v>0</v>
      </c>
      <c r="D218" s="359">
        <v>255.93890152955288</v>
      </c>
      <c r="E218" s="359">
        <v>0</v>
      </c>
      <c r="F218" s="359">
        <v>0</v>
      </c>
      <c r="G218" s="359">
        <v>2.3259999999449999E-5</v>
      </c>
      <c r="H218" s="357">
        <v>35.959197107880712</v>
      </c>
      <c r="I218" s="359">
        <v>0</v>
      </c>
      <c r="J218" s="359">
        <v>291.89812189743361</v>
      </c>
    </row>
    <row r="219" spans="1:10">
      <c r="A219" s="8" t="s">
        <v>42</v>
      </c>
      <c r="B219" s="359">
        <v>0</v>
      </c>
      <c r="C219" s="359">
        <v>0</v>
      </c>
      <c r="D219" s="359">
        <v>1112.597516859058</v>
      </c>
      <c r="E219" s="359">
        <v>0</v>
      </c>
      <c r="F219" s="359">
        <v>0</v>
      </c>
      <c r="G219" s="359">
        <v>0</v>
      </c>
      <c r="H219" s="357">
        <v>0</v>
      </c>
      <c r="I219" s="359">
        <v>0</v>
      </c>
      <c r="J219" s="359">
        <v>1112.597516859058</v>
      </c>
    </row>
    <row r="220" spans="1:10">
      <c r="A220" s="8" t="s">
        <v>43</v>
      </c>
      <c r="B220" s="359">
        <v>0</v>
      </c>
      <c r="C220" s="359">
        <v>0</v>
      </c>
      <c r="D220" s="359">
        <v>57.547088898695925</v>
      </c>
      <c r="E220" s="359">
        <v>0</v>
      </c>
      <c r="F220" s="359">
        <v>0</v>
      </c>
      <c r="G220" s="359">
        <v>8.9246061399999999</v>
      </c>
      <c r="H220" s="357">
        <v>268.77132412339802</v>
      </c>
      <c r="I220" s="359">
        <v>0</v>
      </c>
      <c r="J220" s="359">
        <v>335.24301916209396</v>
      </c>
    </row>
    <row r="221" spans="1:10">
      <c r="A221" s="8" t="s">
        <v>44</v>
      </c>
      <c r="B221" s="359">
        <v>0</v>
      </c>
      <c r="C221" s="359">
        <v>0</v>
      </c>
      <c r="D221" s="359">
        <v>0</v>
      </c>
      <c r="E221" s="359">
        <v>0</v>
      </c>
      <c r="F221" s="359">
        <v>0</v>
      </c>
      <c r="G221" s="359">
        <v>2.9005220000000002E-2</v>
      </c>
      <c r="H221" s="357">
        <v>458.81533422503173</v>
      </c>
      <c r="I221" s="359">
        <v>0</v>
      </c>
      <c r="J221" s="359">
        <v>458.84433944503172</v>
      </c>
    </row>
    <row r="222" spans="1:10">
      <c r="A222" s="8" t="s">
        <v>4</v>
      </c>
      <c r="B222" s="359">
        <v>0</v>
      </c>
      <c r="C222" s="359">
        <v>0</v>
      </c>
      <c r="D222" s="359">
        <v>56.215611545266093</v>
      </c>
      <c r="E222" s="359">
        <v>0</v>
      </c>
      <c r="F222" s="359">
        <v>0</v>
      </c>
      <c r="G222" s="359">
        <v>11.51877964</v>
      </c>
      <c r="H222" s="357">
        <v>1.0549807102772233</v>
      </c>
      <c r="I222" s="359">
        <v>0</v>
      </c>
      <c r="J222" s="359">
        <v>68.789371895543312</v>
      </c>
    </row>
    <row r="223" spans="1:10">
      <c r="A223" s="16" t="s">
        <v>45</v>
      </c>
      <c r="B223" s="360">
        <v>0</v>
      </c>
      <c r="C223" s="360">
        <v>0</v>
      </c>
      <c r="D223" s="360">
        <v>1482.2991188325727</v>
      </c>
      <c r="E223" s="360">
        <v>0</v>
      </c>
      <c r="F223" s="360">
        <v>0</v>
      </c>
      <c r="G223" s="360">
        <v>20.472414260000001</v>
      </c>
      <c r="H223" s="360">
        <v>764.60083616658767</v>
      </c>
      <c r="I223" s="360">
        <v>0</v>
      </c>
      <c r="J223" s="360">
        <v>2267.3723692591607</v>
      </c>
    </row>
    <row r="224" spans="1:10">
      <c r="A224" s="16" t="s">
        <v>46</v>
      </c>
      <c r="B224" s="360">
        <v>0</v>
      </c>
      <c r="C224" s="360">
        <v>0</v>
      </c>
      <c r="D224" s="360">
        <v>79.123254967835635</v>
      </c>
      <c r="E224" s="360">
        <v>0</v>
      </c>
      <c r="F224" s="360">
        <v>0</v>
      </c>
      <c r="G224" s="360">
        <v>0</v>
      </c>
      <c r="H224" s="360">
        <v>0</v>
      </c>
      <c r="I224" s="360">
        <v>0</v>
      </c>
      <c r="J224" s="360">
        <v>79.123254967835635</v>
      </c>
    </row>
    <row r="225" spans="1:10">
      <c r="A225" s="12" t="s">
        <v>47</v>
      </c>
      <c r="B225" s="358">
        <v>0</v>
      </c>
      <c r="C225" s="358">
        <v>0</v>
      </c>
      <c r="D225" s="358">
        <v>1561.4223738004084</v>
      </c>
      <c r="E225" s="358">
        <v>0</v>
      </c>
      <c r="F225" s="358">
        <v>0</v>
      </c>
      <c r="G225" s="358">
        <v>20.472414260000001</v>
      </c>
      <c r="H225" s="358">
        <v>764.60083616658767</v>
      </c>
      <c r="I225" s="358">
        <v>0</v>
      </c>
      <c r="J225" s="358">
        <v>2346.4956242269964</v>
      </c>
    </row>
    <row r="226" spans="1:10">
      <c r="A226" s="8" t="s">
        <v>346</v>
      </c>
      <c r="B226" s="8"/>
      <c r="C226" s="8"/>
      <c r="D226" s="8"/>
      <c r="E226" s="8"/>
      <c r="F226" s="8"/>
      <c r="G226" s="214"/>
      <c r="H226" s="8"/>
      <c r="I226" s="8"/>
      <c r="J226" s="8"/>
    </row>
    <row r="228" spans="1:10">
      <c r="B228" s="22" t="s">
        <v>353</v>
      </c>
    </row>
    <row r="229" spans="1:10">
      <c r="B229" s="22" t="s">
        <v>344</v>
      </c>
    </row>
    <row r="230" spans="1:10">
      <c r="B230" s="22" t="s">
        <v>345</v>
      </c>
    </row>
    <row r="232" spans="1:10" ht="43.2">
      <c r="A232" s="361"/>
      <c r="B232" s="362" t="s">
        <v>14</v>
      </c>
      <c r="C232" s="362" t="s">
        <v>15</v>
      </c>
      <c r="D232" s="362" t="s">
        <v>16</v>
      </c>
      <c r="E232" s="362" t="s">
        <v>17</v>
      </c>
      <c r="F232" s="362" t="s">
        <v>18</v>
      </c>
      <c r="G232" s="362" t="s">
        <v>19</v>
      </c>
      <c r="H232" s="362" t="s">
        <v>20</v>
      </c>
      <c r="I232" s="362" t="s">
        <v>21</v>
      </c>
      <c r="J232" s="362" t="s">
        <v>23</v>
      </c>
    </row>
    <row r="233" spans="1:10">
      <c r="A233" s="363" t="s">
        <v>24</v>
      </c>
      <c r="B233" s="359">
        <v>0</v>
      </c>
      <c r="C233" s="359">
        <v>0</v>
      </c>
      <c r="D233" s="359">
        <v>0</v>
      </c>
      <c r="E233" s="359">
        <v>0</v>
      </c>
      <c r="F233" s="359">
        <v>543.70699999999999</v>
      </c>
      <c r="G233" s="359">
        <v>102.22564159027002</v>
      </c>
      <c r="H233" s="359">
        <v>0</v>
      </c>
      <c r="I233" s="359">
        <v>0</v>
      </c>
      <c r="J233" s="359">
        <v>645.93264159027001</v>
      </c>
    </row>
    <row r="234" spans="1:10">
      <c r="A234" s="363" t="s">
        <v>25</v>
      </c>
      <c r="B234" s="359">
        <v>0</v>
      </c>
      <c r="C234" s="359">
        <v>0</v>
      </c>
      <c r="D234" s="359">
        <v>0</v>
      </c>
      <c r="E234" s="359">
        <v>0</v>
      </c>
      <c r="F234" s="359">
        <v>496.76200000000006</v>
      </c>
      <c r="G234" s="359">
        <v>0</v>
      </c>
      <c r="H234" s="359">
        <v>0</v>
      </c>
      <c r="I234" s="359">
        <v>0</v>
      </c>
      <c r="J234" s="359">
        <v>496.76200000000006</v>
      </c>
    </row>
    <row r="235" spans="1:10">
      <c r="A235" s="363" t="s">
        <v>26</v>
      </c>
      <c r="B235" s="359">
        <v>0</v>
      </c>
      <c r="C235" s="359">
        <v>0</v>
      </c>
      <c r="D235" s="359">
        <v>0</v>
      </c>
      <c r="E235" s="359">
        <v>0</v>
      </c>
      <c r="F235" s="359">
        <v>0</v>
      </c>
      <c r="G235" s="359">
        <v>0</v>
      </c>
      <c r="H235" s="359">
        <v>0</v>
      </c>
      <c r="I235" s="359">
        <v>0</v>
      </c>
      <c r="J235" s="359">
        <v>0</v>
      </c>
    </row>
    <row r="236" spans="1:10">
      <c r="A236" s="363" t="s">
        <v>27</v>
      </c>
      <c r="B236" s="359">
        <v>0</v>
      </c>
      <c r="C236" s="359">
        <v>0</v>
      </c>
      <c r="D236" s="359">
        <v>0</v>
      </c>
      <c r="E236" s="359">
        <v>0</v>
      </c>
      <c r="F236" s="359">
        <v>46.945</v>
      </c>
      <c r="G236" s="359">
        <v>0</v>
      </c>
      <c r="H236" s="359">
        <v>0</v>
      </c>
      <c r="I236" s="359">
        <v>0</v>
      </c>
      <c r="J236" s="359">
        <v>46.945</v>
      </c>
    </row>
    <row r="237" spans="1:10">
      <c r="A237" s="363" t="s">
        <v>28</v>
      </c>
      <c r="B237" s="359">
        <v>0</v>
      </c>
      <c r="C237" s="359">
        <v>0</v>
      </c>
      <c r="D237" s="359">
        <v>2147.9562076411657</v>
      </c>
      <c r="E237" s="359">
        <v>0</v>
      </c>
      <c r="F237" s="359">
        <v>0</v>
      </c>
      <c r="G237" s="359">
        <v>0</v>
      </c>
      <c r="H237" s="359">
        <v>0</v>
      </c>
      <c r="I237" s="359">
        <v>0</v>
      </c>
      <c r="J237" s="359">
        <v>2147.9562076411657</v>
      </c>
    </row>
    <row r="238" spans="1:10">
      <c r="A238" s="363" t="s">
        <v>29</v>
      </c>
      <c r="B238" s="359">
        <v>0</v>
      </c>
      <c r="C238" s="359">
        <v>0</v>
      </c>
      <c r="D238" s="359">
        <v>-1.863613006925698</v>
      </c>
      <c r="E238" s="359">
        <v>0</v>
      </c>
      <c r="F238" s="359">
        <v>0</v>
      </c>
      <c r="G238" s="359">
        <v>0</v>
      </c>
      <c r="H238" s="359">
        <v>0</v>
      </c>
      <c r="I238" s="359">
        <v>0</v>
      </c>
      <c r="J238" s="359">
        <v>-1.863613006925698</v>
      </c>
    </row>
    <row r="239" spans="1:10">
      <c r="A239" s="363" t="s">
        <v>30</v>
      </c>
      <c r="B239" s="359">
        <v>0</v>
      </c>
      <c r="C239" s="359">
        <v>0</v>
      </c>
      <c r="D239" s="359">
        <v>-5.2385822085319038</v>
      </c>
      <c r="E239" s="359">
        <v>0</v>
      </c>
      <c r="F239" s="359">
        <v>0</v>
      </c>
      <c r="G239" s="359">
        <v>0</v>
      </c>
      <c r="H239" s="359">
        <v>0</v>
      </c>
      <c r="I239" s="359">
        <v>0</v>
      </c>
      <c r="J239" s="359">
        <v>-5.2385822085319038</v>
      </c>
    </row>
    <row r="240" spans="1:10">
      <c r="A240" s="363" t="s">
        <v>31</v>
      </c>
      <c r="B240" s="359">
        <v>0</v>
      </c>
      <c r="C240" s="359">
        <v>0</v>
      </c>
      <c r="D240" s="359">
        <v>-337.72165576897117</v>
      </c>
      <c r="E240" s="359">
        <v>0</v>
      </c>
      <c r="F240" s="359">
        <v>0</v>
      </c>
      <c r="G240" s="359">
        <v>0</v>
      </c>
      <c r="H240" s="359">
        <v>0</v>
      </c>
      <c r="I240" s="359">
        <v>0</v>
      </c>
      <c r="J240" s="359">
        <v>-337.72165576897117</v>
      </c>
    </row>
    <row r="241" spans="1:10">
      <c r="A241" s="363" t="s">
        <v>32</v>
      </c>
      <c r="B241" s="359">
        <v>0</v>
      </c>
      <c r="C241" s="359">
        <v>0</v>
      </c>
      <c r="D241" s="359">
        <v>432.13449351682755</v>
      </c>
      <c r="E241" s="359">
        <v>0</v>
      </c>
      <c r="F241" s="359">
        <v>0</v>
      </c>
      <c r="G241" s="359">
        <v>0</v>
      </c>
      <c r="H241" s="359">
        <v>0</v>
      </c>
      <c r="I241" s="359">
        <v>0</v>
      </c>
      <c r="J241" s="359">
        <v>432.13449351682755</v>
      </c>
    </row>
    <row r="242" spans="1:10">
      <c r="A242" s="361" t="s">
        <v>33</v>
      </c>
      <c r="B242" s="358">
        <v>0</v>
      </c>
      <c r="C242" s="358">
        <v>0</v>
      </c>
      <c r="D242" s="358">
        <v>2235.2668501735643</v>
      </c>
      <c r="E242" s="358">
        <v>0</v>
      </c>
      <c r="F242" s="358">
        <v>543.70699999999999</v>
      </c>
      <c r="G242" s="358">
        <v>102.22564159027002</v>
      </c>
      <c r="H242" s="358">
        <v>0</v>
      </c>
      <c r="I242" s="358">
        <v>0</v>
      </c>
      <c r="J242" s="358">
        <v>2881.1994917638344</v>
      </c>
    </row>
    <row r="243" spans="1:10">
      <c r="A243" s="363" t="s">
        <v>34</v>
      </c>
      <c r="B243" s="359">
        <v>0</v>
      </c>
      <c r="C243" s="359">
        <v>0</v>
      </c>
      <c r="D243" s="359">
        <v>-275.66033909224058</v>
      </c>
      <c r="E243" s="359">
        <v>0</v>
      </c>
      <c r="F243" s="359">
        <v>0</v>
      </c>
      <c r="G243" s="359">
        <v>0</v>
      </c>
      <c r="H243" s="359">
        <v>16.169226380172208</v>
      </c>
      <c r="I243" s="359">
        <v>0</v>
      </c>
      <c r="J243" s="359">
        <v>-259.49111271206834</v>
      </c>
    </row>
    <row r="244" spans="1:10">
      <c r="A244" s="363" t="s">
        <v>35</v>
      </c>
      <c r="B244" s="359">
        <v>0</v>
      </c>
      <c r="C244" s="359">
        <v>0</v>
      </c>
      <c r="D244" s="359">
        <v>948.90509128406791</v>
      </c>
      <c r="E244" s="359">
        <v>0</v>
      </c>
      <c r="F244" s="359">
        <v>543.70699999999999</v>
      </c>
      <c r="G244" s="359">
        <v>84.000000000000014</v>
      </c>
      <c r="H244" s="359">
        <v>-881.64595759999997</v>
      </c>
      <c r="I244" s="359">
        <v>0</v>
      </c>
      <c r="J244" s="359">
        <v>694.96613368406793</v>
      </c>
    </row>
    <row r="245" spans="1:10">
      <c r="A245" s="363" t="s">
        <v>36</v>
      </c>
      <c r="B245" s="359">
        <v>0</v>
      </c>
      <c r="C245" s="359">
        <v>0</v>
      </c>
      <c r="D245" s="359">
        <v>0</v>
      </c>
      <c r="E245" s="359">
        <v>0</v>
      </c>
      <c r="F245" s="359">
        <v>0</v>
      </c>
      <c r="G245" s="359">
        <v>0</v>
      </c>
      <c r="H245" s="359">
        <v>0</v>
      </c>
      <c r="I245" s="359">
        <v>0</v>
      </c>
      <c r="J245" s="359">
        <v>0</v>
      </c>
    </row>
    <row r="246" spans="1:10">
      <c r="A246" s="363" t="s">
        <v>37</v>
      </c>
      <c r="B246" s="359">
        <v>0</v>
      </c>
      <c r="C246" s="359">
        <v>0</v>
      </c>
      <c r="D246" s="359">
        <v>0</v>
      </c>
      <c r="E246" s="359">
        <v>0</v>
      </c>
      <c r="F246" s="359">
        <v>0</v>
      </c>
      <c r="G246" s="359">
        <v>0</v>
      </c>
      <c r="H246" s="359">
        <v>0</v>
      </c>
      <c r="I246" s="359">
        <v>0</v>
      </c>
      <c r="J246" s="359">
        <v>0</v>
      </c>
    </row>
    <row r="247" spans="1:10">
      <c r="A247" s="363" t="s">
        <v>38</v>
      </c>
      <c r="B247" s="359">
        <v>0</v>
      </c>
      <c r="C247" s="359">
        <v>0</v>
      </c>
      <c r="D247" s="359">
        <v>0</v>
      </c>
      <c r="E247" s="359">
        <v>0</v>
      </c>
      <c r="F247" s="359">
        <v>0</v>
      </c>
      <c r="G247" s="359">
        <v>0</v>
      </c>
      <c r="H247" s="359">
        <v>8.9163333120128865</v>
      </c>
      <c r="I247" s="359">
        <v>0</v>
      </c>
      <c r="J247" s="359">
        <v>8.9163333120128865</v>
      </c>
    </row>
    <row r="248" spans="1:10">
      <c r="A248" s="363" t="s">
        <v>39</v>
      </c>
      <c r="B248" s="359">
        <v>0</v>
      </c>
      <c r="C248" s="359">
        <v>0</v>
      </c>
      <c r="D248" s="359">
        <v>0</v>
      </c>
      <c r="E248" s="359">
        <v>0</v>
      </c>
      <c r="F248" s="359">
        <v>0</v>
      </c>
      <c r="G248" s="359">
        <v>0</v>
      </c>
      <c r="H248" s="357">
        <v>87.000000000000014</v>
      </c>
      <c r="I248" s="359">
        <v>0</v>
      </c>
      <c r="J248" s="359">
        <v>87.000000000000014</v>
      </c>
    </row>
    <row r="249" spans="1:10">
      <c r="A249" s="361" t="s">
        <v>40</v>
      </c>
      <c r="B249" s="358">
        <v>0</v>
      </c>
      <c r="C249" s="358">
        <v>0</v>
      </c>
      <c r="D249" s="358">
        <v>673.24475219182727</v>
      </c>
      <c r="E249" s="358">
        <v>0</v>
      </c>
      <c r="F249" s="358">
        <v>543.70699999999999</v>
      </c>
      <c r="G249" s="358">
        <v>84.000000000000014</v>
      </c>
      <c r="H249" s="358">
        <v>-769.56039790781495</v>
      </c>
      <c r="I249" s="358">
        <v>0</v>
      </c>
      <c r="J249" s="358">
        <v>531.39135428401255</v>
      </c>
    </row>
    <row r="250" spans="1:10">
      <c r="A250" s="363" t="s">
        <v>41</v>
      </c>
      <c r="B250" s="359">
        <v>0</v>
      </c>
      <c r="C250" s="359">
        <v>0</v>
      </c>
      <c r="D250" s="359">
        <v>256.04245198454527</v>
      </c>
      <c r="E250" s="359">
        <v>0</v>
      </c>
      <c r="F250" s="359">
        <v>0</v>
      </c>
      <c r="G250" s="359">
        <v>0</v>
      </c>
      <c r="H250" s="357">
        <v>34.561413888866184</v>
      </c>
      <c r="I250" s="359">
        <v>0</v>
      </c>
      <c r="J250" s="359">
        <v>290.60386587341145</v>
      </c>
    </row>
    <row r="251" spans="1:10">
      <c r="A251" s="363" t="s">
        <v>42</v>
      </c>
      <c r="B251" s="359">
        <v>0</v>
      </c>
      <c r="C251" s="359">
        <v>0</v>
      </c>
      <c r="D251" s="359">
        <v>1113.047663274494</v>
      </c>
      <c r="E251" s="359">
        <v>0</v>
      </c>
      <c r="F251" s="359">
        <v>0</v>
      </c>
      <c r="G251" s="359">
        <v>0</v>
      </c>
      <c r="H251" s="357">
        <v>0</v>
      </c>
      <c r="I251" s="359">
        <v>0</v>
      </c>
      <c r="J251" s="359">
        <v>1113.047663274494</v>
      </c>
    </row>
    <row r="252" spans="1:10">
      <c r="A252" s="363" t="s">
        <v>43</v>
      </c>
      <c r="B252" s="359">
        <v>0</v>
      </c>
      <c r="C252" s="359">
        <v>0</v>
      </c>
      <c r="D252" s="359">
        <v>57.57037190570788</v>
      </c>
      <c r="E252" s="359">
        <v>0</v>
      </c>
      <c r="F252" s="359">
        <v>0</v>
      </c>
      <c r="G252" s="359">
        <v>6.8369498689999997</v>
      </c>
      <c r="H252" s="357">
        <v>266.46157548960679</v>
      </c>
      <c r="I252" s="359">
        <v>0</v>
      </c>
      <c r="J252" s="359">
        <v>330.86889726431468</v>
      </c>
    </row>
    <row r="253" spans="1:10">
      <c r="A253" s="363" t="s">
        <v>44</v>
      </c>
      <c r="B253" s="359">
        <v>0</v>
      </c>
      <c r="C253" s="359">
        <v>0</v>
      </c>
      <c r="D253" s="359">
        <v>0</v>
      </c>
      <c r="E253" s="359">
        <v>0</v>
      </c>
      <c r="F253" s="359">
        <v>0</v>
      </c>
      <c r="G253" s="359">
        <v>2.9623491270000003E-2</v>
      </c>
      <c r="H253" s="357">
        <v>467.48671552583528</v>
      </c>
      <c r="I253" s="359">
        <v>0</v>
      </c>
      <c r="J253" s="359">
        <v>467.51633901710528</v>
      </c>
    </row>
    <row r="254" spans="1:10">
      <c r="A254" s="363" t="s">
        <v>4</v>
      </c>
      <c r="B254" s="359">
        <v>0</v>
      </c>
      <c r="C254" s="359">
        <v>0</v>
      </c>
      <c r="D254" s="359">
        <v>56.238355849154239</v>
      </c>
      <c r="E254" s="359">
        <v>0</v>
      </c>
      <c r="F254" s="359">
        <v>0</v>
      </c>
      <c r="G254" s="359">
        <v>11.35906823</v>
      </c>
      <c r="H254" s="357">
        <v>1.0506930035066269</v>
      </c>
      <c r="I254" s="359">
        <v>0</v>
      </c>
      <c r="J254" s="359">
        <v>68.64811708266086</v>
      </c>
    </row>
    <row r="255" spans="1:10">
      <c r="A255" s="364" t="s">
        <v>45</v>
      </c>
      <c r="B255" s="360">
        <v>0</v>
      </c>
      <c r="C255" s="360">
        <v>0</v>
      </c>
      <c r="D255" s="360">
        <v>1482.8988430139013</v>
      </c>
      <c r="E255" s="360">
        <v>0</v>
      </c>
      <c r="F255" s="360">
        <v>0</v>
      </c>
      <c r="G255" s="360">
        <v>18.225641590270001</v>
      </c>
      <c r="H255" s="360">
        <v>769.56039790781483</v>
      </c>
      <c r="I255" s="360">
        <v>0</v>
      </c>
      <c r="J255" s="360">
        <v>2270.6848825119864</v>
      </c>
    </row>
    <row r="256" spans="1:10">
      <c r="A256" s="364" t="s">
        <v>46</v>
      </c>
      <c r="B256" s="360">
        <v>0</v>
      </c>
      <c r="C256" s="360">
        <v>0</v>
      </c>
      <c r="D256" s="360">
        <v>79.123254967835635</v>
      </c>
      <c r="E256" s="360">
        <v>0</v>
      </c>
      <c r="F256" s="360">
        <v>0</v>
      </c>
      <c r="G256" s="360">
        <v>0</v>
      </c>
      <c r="H256" s="360">
        <v>0</v>
      </c>
      <c r="I256" s="360">
        <v>0</v>
      </c>
      <c r="J256" s="360">
        <v>79.123254967835635</v>
      </c>
    </row>
    <row r="257" spans="1:10">
      <c r="A257" s="361" t="s">
        <v>47</v>
      </c>
      <c r="B257" s="358">
        <v>0</v>
      </c>
      <c r="C257" s="358">
        <v>0</v>
      </c>
      <c r="D257" s="358">
        <v>1562.022097981737</v>
      </c>
      <c r="E257" s="358">
        <v>0</v>
      </c>
      <c r="F257" s="358">
        <v>0</v>
      </c>
      <c r="G257" s="358">
        <v>18.225641590270001</v>
      </c>
      <c r="H257" s="358">
        <v>769.56039790781483</v>
      </c>
      <c r="I257" s="358">
        <v>0</v>
      </c>
      <c r="J257" s="358">
        <v>2349.8081374798221</v>
      </c>
    </row>
    <row r="258" spans="1:10">
      <c r="A258" t="s">
        <v>346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B10" sqref="B10"/>
    </sheetView>
  </sheetViews>
  <sheetFormatPr baseColWidth="10" defaultRowHeight="14.4"/>
  <sheetData>
    <row r="1" spans="1:7">
      <c r="A1" s="430"/>
      <c r="B1" s="430"/>
      <c r="C1" s="430"/>
      <c r="D1" s="430"/>
      <c r="E1" s="430"/>
      <c r="F1" s="430"/>
      <c r="G1" s="430"/>
    </row>
    <row r="2" spans="1:7" ht="18">
      <c r="A2" s="431" t="s">
        <v>491</v>
      </c>
      <c r="B2" s="431"/>
      <c r="C2" s="431"/>
      <c r="D2" s="431"/>
      <c r="E2" s="431"/>
      <c r="F2" s="431"/>
      <c r="G2" s="431"/>
    </row>
    <row r="4" spans="1:7">
      <c r="A4" s="430" t="s">
        <v>488</v>
      </c>
      <c r="B4" s="430"/>
      <c r="C4" s="430"/>
      <c r="D4" s="430"/>
      <c r="E4" s="430"/>
      <c r="F4" s="430"/>
      <c r="G4" s="430"/>
    </row>
    <row r="5" spans="1:7">
      <c r="A5" s="430" t="s">
        <v>494</v>
      </c>
      <c r="B5" s="430"/>
      <c r="C5" s="430"/>
      <c r="D5" s="430"/>
      <c r="E5" s="430"/>
      <c r="F5" s="430"/>
      <c r="G5" s="430"/>
    </row>
    <row r="7" spans="1:7">
      <c r="A7" t="s">
        <v>489</v>
      </c>
    </row>
    <row r="8" spans="1:7">
      <c r="A8" s="320"/>
      <c r="B8" t="s">
        <v>495</v>
      </c>
    </row>
    <row r="9" spans="1:7">
      <c r="A9" s="319"/>
      <c r="B9" t="s">
        <v>496</v>
      </c>
    </row>
    <row r="10" spans="1:7">
      <c r="A10" s="321"/>
      <c r="B10" t="s">
        <v>428</v>
      </c>
    </row>
    <row r="11" spans="1:7">
      <c r="A11" s="416"/>
      <c r="B11" t="s">
        <v>490</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N312"/>
  <sheetViews>
    <sheetView topLeftCell="R1" zoomScale="55" zoomScaleNormal="55" workbookViewId="0">
      <selection activeCell="W6" sqref="W6:AD10"/>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42" t="s">
        <v>0</v>
      </c>
      <c r="C2" s="442"/>
      <c r="D2" s="442"/>
      <c r="E2" s="229"/>
      <c r="I2" s="229"/>
      <c r="Q2" s="229"/>
      <c r="U2" s="229"/>
    </row>
    <row r="3" spans="2:30" ht="18">
      <c r="B3" s="260"/>
      <c r="C3" s="260"/>
      <c r="D3" s="260"/>
      <c r="E3" s="229"/>
      <c r="I3" s="229"/>
      <c r="Q3" s="229"/>
      <c r="U3" s="229"/>
    </row>
    <row r="4" spans="2:30">
      <c r="B4" t="s">
        <v>1</v>
      </c>
      <c r="E4" s="229"/>
      <c r="I4" s="229"/>
      <c r="Q4" s="229"/>
      <c r="Y4" s="229"/>
      <c r="Z4" t="s">
        <v>2</v>
      </c>
      <c r="AB4" s="229"/>
    </row>
    <row r="5" spans="2:30">
      <c r="B5" t="s">
        <v>3</v>
      </c>
      <c r="C5" s="30">
        <v>2019</v>
      </c>
      <c r="D5" s="30">
        <v>2020</v>
      </c>
      <c r="E5" s="30">
        <v>2025</v>
      </c>
      <c r="F5" s="30">
        <v>2030</v>
      </c>
      <c r="G5" s="30">
        <v>2035</v>
      </c>
      <c r="H5" s="30">
        <v>2040</v>
      </c>
      <c r="I5" s="30">
        <v>2045</v>
      </c>
      <c r="J5" s="30">
        <v>2050</v>
      </c>
      <c r="M5" s="444" t="s">
        <v>503</v>
      </c>
      <c r="N5" s="444"/>
      <c r="O5" s="444"/>
      <c r="P5" s="444"/>
      <c r="Q5" s="444"/>
      <c r="R5" s="444"/>
      <c r="S5" s="444"/>
      <c r="V5" t="s">
        <v>3</v>
      </c>
      <c r="W5" s="30">
        <v>2019</v>
      </c>
      <c r="X5" s="30">
        <v>2020</v>
      </c>
      <c r="Y5" s="30">
        <v>2025</v>
      </c>
      <c r="Z5" s="30">
        <v>2030</v>
      </c>
      <c r="AA5" s="30">
        <v>2035</v>
      </c>
      <c r="AB5" s="30">
        <v>2040</v>
      </c>
      <c r="AC5" s="30">
        <v>2045</v>
      </c>
      <c r="AD5" s="30">
        <v>2050</v>
      </c>
    </row>
    <row r="6" spans="2:30">
      <c r="B6" s="2" t="s">
        <v>4</v>
      </c>
      <c r="C6" s="2">
        <f t="shared" ref="C6:G6" si="0">C7+C8</f>
        <v>79.131</v>
      </c>
      <c r="D6" s="2">
        <f t="shared" si="0"/>
        <v>79.442895218522381</v>
      </c>
      <c r="E6" s="2">
        <f t="shared" si="0"/>
        <v>80.99211496357961</v>
      </c>
      <c r="F6" s="2">
        <f t="shared" si="0"/>
        <v>82.524240796045788</v>
      </c>
      <c r="G6" s="2">
        <f t="shared" si="0"/>
        <v>84.039272715920902</v>
      </c>
      <c r="H6" s="2">
        <f>H7+H8</f>
        <v>85.537210723204993</v>
      </c>
      <c r="I6" s="2">
        <f>I7+I8</f>
        <v>87.018054817898019</v>
      </c>
      <c r="J6" s="2">
        <f>J7+J8</f>
        <v>88.481804999999994</v>
      </c>
      <c r="M6" s="444"/>
      <c r="N6" s="444"/>
      <c r="O6" s="444"/>
      <c r="P6" s="444"/>
      <c r="Q6" s="444"/>
      <c r="R6" s="444"/>
      <c r="S6" s="444"/>
      <c r="V6" s="2" t="s">
        <v>4</v>
      </c>
      <c r="W6" s="2">
        <f t="shared" ref="W6:AD6" si="1">W7+W8</f>
        <v>79.131</v>
      </c>
      <c r="X6" s="2">
        <f t="shared" si="1"/>
        <v>87.404133418314245</v>
      </c>
      <c r="Y6" s="2">
        <f t="shared" si="1"/>
        <v>126.75802563995836</v>
      </c>
      <c r="Z6" s="2">
        <f t="shared" si="1"/>
        <v>162.75895974505727</v>
      </c>
      <c r="AA6" s="2">
        <f t="shared" si="1"/>
        <v>195.40693573361082</v>
      </c>
      <c r="AB6" s="2">
        <f t="shared" si="1"/>
        <v>224.70195360561914</v>
      </c>
      <c r="AC6" s="2">
        <f t="shared" si="1"/>
        <v>250.64401336108222</v>
      </c>
      <c r="AD6" s="2">
        <f t="shared" si="1"/>
        <v>273.233115</v>
      </c>
    </row>
    <row r="7" spans="2:30">
      <c r="B7" s="2" t="s">
        <v>5</v>
      </c>
      <c r="C7" s="2">
        <f>Agriculture!D19</f>
        <v>43.805999999999997</v>
      </c>
      <c r="D7" s="2">
        <f>Agriculture!G19</f>
        <v>43.946967799167538</v>
      </c>
      <c r="E7" s="2">
        <f>Agriculture!J19</f>
        <v>44.641550447450577</v>
      </c>
      <c r="F7" s="2">
        <f>Agriculture!M19</f>
        <v>45.319039183142557</v>
      </c>
      <c r="G7" s="2">
        <f>Agriculture!P19</f>
        <v>45.979434006243487</v>
      </c>
      <c r="H7" s="2">
        <f>Agriculture!S19</f>
        <v>46.622734916753373</v>
      </c>
      <c r="I7" s="2">
        <f>Agriculture!V19</f>
        <v>47.248941914672208</v>
      </c>
      <c r="J7" s="2">
        <f>Agriculture!Y19</f>
        <v>47.858054999999993</v>
      </c>
      <c r="M7" s="444"/>
      <c r="N7" s="444"/>
      <c r="O7" s="444"/>
      <c r="P7" s="444"/>
      <c r="Q7" s="444"/>
      <c r="R7" s="444"/>
      <c r="S7" s="444"/>
      <c r="V7" s="2" t="s">
        <v>5</v>
      </c>
      <c r="W7" s="2">
        <f>Agriculture!D35</f>
        <v>43.805999999999997</v>
      </c>
      <c r="X7" s="2">
        <f>Agriculture!G35</f>
        <v>48.154235525494272</v>
      </c>
      <c r="Y7" s="2">
        <f>Agriculture!J35</f>
        <v>68.076620853277817</v>
      </c>
      <c r="Z7" s="2">
        <f>Agriculture!M35</f>
        <v>84.967685681581699</v>
      </c>
      <c r="AA7" s="2">
        <f>Agriculture!P35</f>
        <v>98.82743001040582</v>
      </c>
      <c r="AB7" s="2">
        <f>Agriculture!S35</f>
        <v>109.65585383975025</v>
      </c>
      <c r="AC7" s="2">
        <f>Agriculture!V35</f>
        <v>117.45295716961498</v>
      </c>
      <c r="AD7" s="2">
        <f>Agriculture!Y35</f>
        <v>122.21873999999998</v>
      </c>
    </row>
    <row r="8" spans="2:30">
      <c r="B8" s="2" t="s">
        <v>6</v>
      </c>
      <c r="C8" s="2">
        <f>Agriculture!D20</f>
        <v>35.325000000000003</v>
      </c>
      <c r="D8" s="2">
        <f>Agriculture!G20</f>
        <v>35.495927419354842</v>
      </c>
      <c r="E8" s="2">
        <f>Agriculture!J20</f>
        <v>36.350564516129033</v>
      </c>
      <c r="F8" s="2">
        <f>Agriculture!M20</f>
        <v>37.205201612903231</v>
      </c>
      <c r="G8" s="2">
        <f>Agriculture!P20</f>
        <v>38.059838709677422</v>
      </c>
      <c r="H8" s="2">
        <f>Agriculture!S20</f>
        <v>38.914475806451613</v>
      </c>
      <c r="I8" s="2">
        <f>Agriculture!V20</f>
        <v>39.76911290322581</v>
      </c>
      <c r="J8" s="2">
        <f>Agriculture!Y20</f>
        <v>40.623750000000001</v>
      </c>
      <c r="M8" s="444"/>
      <c r="N8" s="444"/>
      <c r="O8" s="444"/>
      <c r="P8" s="444"/>
      <c r="Q8" s="444"/>
      <c r="R8" s="444"/>
      <c r="S8" s="444"/>
      <c r="V8" s="2" t="s">
        <v>6</v>
      </c>
      <c r="W8" s="2">
        <f>Agriculture!D36</f>
        <v>35.325000000000003</v>
      </c>
      <c r="X8" s="2">
        <f>Agriculture!G36</f>
        <v>39.24989789281998</v>
      </c>
      <c r="Y8" s="2">
        <f>Agriculture!J36</f>
        <v>58.681404786680545</v>
      </c>
      <c r="Z8" s="2">
        <f>Agriculture!M36</f>
        <v>77.791274063475569</v>
      </c>
      <c r="AA8" s="2">
        <f>Agriculture!P36</f>
        <v>96.579505723205003</v>
      </c>
      <c r="AB8" s="2">
        <f>Agriculture!S36</f>
        <v>115.04609976586889</v>
      </c>
      <c r="AC8" s="2">
        <f>Agriculture!V36</f>
        <v>133.19105619146723</v>
      </c>
      <c r="AD8" s="2">
        <f>Agriculture!Y36</f>
        <v>151.014375</v>
      </c>
    </row>
    <row r="9" spans="2:30">
      <c r="B9" s="2" t="s">
        <v>7</v>
      </c>
      <c r="C9" s="2">
        <f>Déchets!B20</f>
        <v>158.90511891366901</v>
      </c>
      <c r="D9" s="2">
        <f>Déchets!C20</f>
        <v>160.13966544281482</v>
      </c>
      <c r="E9" s="2">
        <f>Déchets!D20</f>
        <v>167.06399302663743</v>
      </c>
      <c r="F9" s="2">
        <f>Déchets!E20</f>
        <v>173.98832061046005</v>
      </c>
      <c r="G9" s="2">
        <f>Déchets!F20</f>
        <v>180.91264819428261</v>
      </c>
      <c r="H9" s="2">
        <f>Déchets!G20</f>
        <v>187.83697577810523</v>
      </c>
      <c r="I9" s="2">
        <f>Déchets!H20</f>
        <v>194.76130336192782</v>
      </c>
      <c r="J9" s="2">
        <f>Déchets!I20</f>
        <v>201.68563094575043</v>
      </c>
      <c r="V9" s="2" t="s">
        <v>7</v>
      </c>
      <c r="W9" s="2">
        <f>Déchets!B32</f>
        <v>158.90511891366901</v>
      </c>
      <c r="X9" s="2">
        <f>Déchets!C32</f>
        <v>155.18653387152096</v>
      </c>
      <c r="Y9" s="2">
        <f>Déchets!D32</f>
        <v>152.67904623439435</v>
      </c>
      <c r="Z9" s="2">
        <f>Déchets!E32</f>
        <v>144.7179808396221</v>
      </c>
      <c r="AA9" s="2">
        <f>Déchets!F32</f>
        <v>134.99748621156391</v>
      </c>
      <c r="AB9" s="2">
        <f>Déchets!G32</f>
        <v>123.08427357770258</v>
      </c>
      <c r="AC9" s="2">
        <f>Déchets!H32</f>
        <v>109.76093706100363</v>
      </c>
      <c r="AD9" s="2">
        <f>Déchets!I32</f>
        <v>94.910885150941382</v>
      </c>
    </row>
    <row r="10" spans="2:30">
      <c r="B10" s="2" t="s">
        <v>8</v>
      </c>
      <c r="C10" s="2">
        <f>UTCATF!B15</f>
        <v>3335.8496502840899</v>
      </c>
      <c r="D10" s="2">
        <f>UTCATF!C15</f>
        <v>3351.8789306826493</v>
      </c>
      <c r="E10" s="2">
        <f>UTCATF!D15</f>
        <v>3432.0253326754473</v>
      </c>
      <c r="F10" s="2">
        <f>UTCATF!E15</f>
        <v>3512.1717346682449</v>
      </c>
      <c r="G10" s="2">
        <f>UTCATF!F15</f>
        <v>3592.3181366610424</v>
      </c>
      <c r="H10" s="2">
        <f>UTCATF!G15</f>
        <v>3672.4645386538405</v>
      </c>
      <c r="I10" s="2">
        <f>UTCATF!H15</f>
        <v>3752.6109406466385</v>
      </c>
      <c r="J10" s="2">
        <f>UTCATF!I15</f>
        <v>3832.757342639436</v>
      </c>
      <c r="V10" s="2" t="s">
        <v>8</v>
      </c>
      <c r="W10" s="2">
        <f>UTCATF!B23</f>
        <v>3335.8496502840899</v>
      </c>
      <c r="X10" s="2">
        <f>UTCATF!C23</f>
        <v>3351.8789306826493</v>
      </c>
      <c r="Y10" s="2">
        <f>UTCATF!D23</f>
        <v>3119.2788192833418</v>
      </c>
      <c r="Z10" s="2">
        <f>UTCATF!E23</f>
        <v>2916.2031267827183</v>
      </c>
      <c r="AA10" s="2">
        <f>UTCATF!F23</f>
        <v>2713.1274342820948</v>
      </c>
      <c r="AB10" s="2">
        <f>UTCATF!G23</f>
        <v>2510.0517417814708</v>
      </c>
      <c r="AC10" s="2">
        <f>UTCATF!H23</f>
        <v>2306.9760492808473</v>
      </c>
      <c r="AD10" s="2">
        <f>UTCATF!I23</f>
        <v>2103.9003567802238</v>
      </c>
    </row>
    <row r="12" spans="2:30">
      <c r="I12" s="237"/>
      <c r="J12" s="237" t="s">
        <v>14</v>
      </c>
      <c r="K12" s="237" t="s">
        <v>143</v>
      </c>
      <c r="L12" s="237" t="s">
        <v>504</v>
      </c>
      <c r="M12" s="237" t="s">
        <v>382</v>
      </c>
      <c r="N12" s="237" t="s">
        <v>7</v>
      </c>
      <c r="O12" s="237" t="s">
        <v>505</v>
      </c>
      <c r="P12" s="237" t="s">
        <v>506</v>
      </c>
      <c r="Q12" s="237" t="s">
        <v>144</v>
      </c>
      <c r="X12" s="225"/>
    </row>
    <row r="13" spans="2:30">
      <c r="I13" s="237" t="s">
        <v>507</v>
      </c>
      <c r="J13" s="412">
        <v>0.32</v>
      </c>
      <c r="K13" s="412">
        <v>0.44</v>
      </c>
      <c r="L13" s="412">
        <v>1</v>
      </c>
      <c r="M13" s="412">
        <v>0.4</v>
      </c>
      <c r="N13" s="412">
        <v>0.4</v>
      </c>
      <c r="O13" s="412">
        <v>0.4</v>
      </c>
      <c r="P13" s="412">
        <v>0.6</v>
      </c>
      <c r="Q13" s="412">
        <v>0.1</v>
      </c>
    </row>
    <row r="14" spans="2:30" ht="18">
      <c r="B14" s="442" t="s">
        <v>358</v>
      </c>
      <c r="C14" s="442"/>
      <c r="D14" s="442"/>
    </row>
    <row r="16" spans="2:30" ht="43.2">
      <c r="B16" s="230"/>
      <c r="C16" s="231" t="s">
        <v>51</v>
      </c>
      <c r="D16" s="231">
        <v>2019</v>
      </c>
      <c r="E16" s="231">
        <v>2020</v>
      </c>
      <c r="F16" s="231" t="s">
        <v>359</v>
      </c>
      <c r="I16" s="232" t="s">
        <v>360</v>
      </c>
      <c r="J16" s="231">
        <v>2019</v>
      </c>
      <c r="K16" s="231">
        <v>2020</v>
      </c>
      <c r="L16" s="231" t="s">
        <v>359</v>
      </c>
      <c r="O16" s="231" t="s">
        <v>50</v>
      </c>
      <c r="P16" s="231">
        <v>2019</v>
      </c>
      <c r="Q16" s="231">
        <v>2020</v>
      </c>
      <c r="R16" s="231" t="s">
        <v>359</v>
      </c>
      <c r="U16" s="264" t="s">
        <v>384</v>
      </c>
      <c r="V16" s="265" t="s">
        <v>382</v>
      </c>
      <c r="W16" s="265" t="s">
        <v>7</v>
      </c>
      <c r="X16" s="265" t="s">
        <v>383</v>
      </c>
      <c r="Y16" s="265" t="s">
        <v>381</v>
      </c>
      <c r="Z16" s="265" t="s">
        <v>369</v>
      </c>
      <c r="AA16" s="265" t="s">
        <v>370</v>
      </c>
      <c r="AB16" s="265"/>
    </row>
    <row r="17" spans="1:38">
      <c r="B17" s="233"/>
      <c r="C17" s="234" t="s">
        <v>361</v>
      </c>
      <c r="D17" s="235">
        <f>O45/O36</f>
        <v>-1.0895644799573837E-2</v>
      </c>
      <c r="E17" s="235">
        <f>'Bilan d''énergie SDES historique'!H23/'Bilan d''énergie SDES historique'!H20</f>
        <v>-1.2792753759189418E-2</v>
      </c>
      <c r="F17" s="235">
        <f>AVERAGE(D17:E17)</f>
        <v>-1.1844199279381629E-2</v>
      </c>
      <c r="I17" s="236" t="s">
        <v>362</v>
      </c>
      <c r="J17" s="237">
        <f>SUM(C36:N36)/O36</f>
        <v>-2.3189197543624638</v>
      </c>
      <c r="K17" s="237"/>
      <c r="L17" s="237">
        <f>AVERAGE(J17:K17)</f>
        <v>-2.3189197543624638</v>
      </c>
      <c r="O17" s="234" t="s">
        <v>361</v>
      </c>
      <c r="P17" s="235">
        <v>0</v>
      </c>
      <c r="Q17" s="235">
        <v>0</v>
      </c>
      <c r="R17" s="235">
        <f>AVERAGE(P17:Q17)</f>
        <v>0</v>
      </c>
      <c r="V17">
        <v>0</v>
      </c>
      <c r="W17">
        <v>0</v>
      </c>
      <c r="X17">
        <v>0</v>
      </c>
      <c r="Y17">
        <v>0</v>
      </c>
      <c r="Z17">
        <v>0</v>
      </c>
      <c r="AA17">
        <v>0</v>
      </c>
    </row>
    <row r="18" spans="1:38">
      <c r="B18" s="233"/>
      <c r="C18" s="234" t="s">
        <v>363</v>
      </c>
      <c r="D18" s="266">
        <f>O46/O36</f>
        <v>-9.713560218140474E-2</v>
      </c>
      <c r="E18" s="235">
        <f>'Bilan d''énergie SDES historique'!H24/'Bilan d''énergie SDES historique'!H20</f>
        <v>-9.9632626567540905E-2</v>
      </c>
      <c r="F18" s="266">
        <f>AVERAGE(D18:E18)</f>
        <v>-9.8384114374472822E-2</v>
      </c>
      <c r="I18" s="236" t="s">
        <v>50</v>
      </c>
      <c r="J18" s="237">
        <v>0</v>
      </c>
      <c r="K18" s="237"/>
      <c r="L18" s="237">
        <f t="shared" ref="L18:L19" si="2">AVERAGE(J18:K18)</f>
        <v>0</v>
      </c>
      <c r="O18" s="234" t="s">
        <v>363</v>
      </c>
      <c r="P18" s="235">
        <v>0</v>
      </c>
      <c r="Q18" s="235">
        <v>-9.0909090909090912E-2</v>
      </c>
      <c r="R18" s="235">
        <f>AVERAGE(P18:Q18)</f>
        <v>-4.5454545454545456E-2</v>
      </c>
    </row>
    <row r="19" spans="1:38">
      <c r="B19" s="233"/>
      <c r="C19" s="238"/>
      <c r="D19" s="239"/>
      <c r="E19" s="239"/>
      <c r="F19" s="239"/>
      <c r="I19" s="236" t="s">
        <v>364</v>
      </c>
      <c r="J19" s="237">
        <f>(SUM(C36:N36)+SUM(C37:N37))/(O36+P37)</f>
        <v>-2.3189197543624638</v>
      </c>
      <c r="K19" s="237">
        <v>-2.3666206896551722</v>
      </c>
      <c r="L19" s="237">
        <f t="shared" si="2"/>
        <v>-2.3427702220088182</v>
      </c>
    </row>
    <row r="21" spans="1:38" ht="23.4">
      <c r="B21" s="443" t="s">
        <v>10</v>
      </c>
      <c r="C21" s="443"/>
      <c r="D21" s="443"/>
      <c r="E21" s="443"/>
      <c r="F21" s="443"/>
      <c r="G21" s="443"/>
      <c r="H21" s="443"/>
      <c r="I21" s="443"/>
      <c r="J21" s="443"/>
      <c r="K21" s="443"/>
      <c r="L21" s="443"/>
      <c r="M21" s="443"/>
      <c r="N21" s="443"/>
      <c r="O21" s="443"/>
      <c r="P21" s="443"/>
      <c r="Q21" s="443"/>
      <c r="R21" s="443"/>
      <c r="V21" s="443" t="s">
        <v>11</v>
      </c>
      <c r="W21" s="443"/>
      <c r="X21" s="443"/>
      <c r="Y21" s="443"/>
      <c r="Z21" s="443"/>
      <c r="AA21" s="443"/>
      <c r="AB21" s="443"/>
      <c r="AC21" s="443"/>
      <c r="AD21" s="443"/>
      <c r="AE21" s="443"/>
      <c r="AF21" s="443"/>
      <c r="AG21" s="443"/>
      <c r="AH21" s="443"/>
      <c r="AI21" s="443"/>
      <c r="AJ21" s="443"/>
      <c r="AK21" s="443"/>
      <c r="AL21" s="443"/>
    </row>
    <row r="22" spans="1:38">
      <c r="B22" t="s">
        <v>12</v>
      </c>
    </row>
    <row r="23" spans="1:38">
      <c r="B23" t="s">
        <v>13</v>
      </c>
    </row>
    <row r="25" spans="1:38">
      <c r="A25" s="437">
        <v>2019</v>
      </c>
      <c r="B25" s="441" t="s">
        <v>12</v>
      </c>
      <c r="C25" s="440" t="s">
        <v>14</v>
      </c>
      <c r="D25" s="440" t="s">
        <v>15</v>
      </c>
      <c r="E25" s="440" t="s">
        <v>16</v>
      </c>
      <c r="F25" s="440" t="s">
        <v>17</v>
      </c>
      <c r="G25" s="440" t="s">
        <v>365</v>
      </c>
      <c r="H25" s="440" t="s">
        <v>18</v>
      </c>
      <c r="I25" s="440" t="s">
        <v>19</v>
      </c>
      <c r="J25" s="440"/>
      <c r="K25" s="440"/>
      <c r="L25" s="440"/>
      <c r="M25" s="440"/>
      <c r="N25" s="440"/>
      <c r="O25" s="432" t="s">
        <v>366</v>
      </c>
      <c r="P25" s="432" t="s">
        <v>21</v>
      </c>
      <c r="Q25" s="432" t="s">
        <v>367</v>
      </c>
      <c r="R25" s="432" t="s">
        <v>23</v>
      </c>
      <c r="U25" s="437">
        <v>2019</v>
      </c>
      <c r="V25" s="441" t="s">
        <v>12</v>
      </c>
      <c r="W25" s="440" t="s">
        <v>14</v>
      </c>
      <c r="X25" s="440" t="s">
        <v>15</v>
      </c>
      <c r="Y25" s="440" t="s">
        <v>16</v>
      </c>
      <c r="Z25" s="440" t="s">
        <v>17</v>
      </c>
      <c r="AA25" s="440" t="s">
        <v>365</v>
      </c>
      <c r="AB25" s="440" t="s">
        <v>18</v>
      </c>
      <c r="AC25" s="440" t="s">
        <v>19</v>
      </c>
      <c r="AD25" s="440"/>
      <c r="AE25" s="440"/>
      <c r="AF25" s="440"/>
      <c r="AG25" s="440"/>
      <c r="AH25" s="440"/>
      <c r="AI25" s="432" t="s">
        <v>366</v>
      </c>
      <c r="AJ25" s="432" t="s">
        <v>21</v>
      </c>
      <c r="AK25" s="432" t="s">
        <v>367</v>
      </c>
      <c r="AL25" s="432" t="s">
        <v>23</v>
      </c>
    </row>
    <row r="26" spans="1:38" ht="45.6">
      <c r="A26" s="437"/>
      <c r="B26" s="441"/>
      <c r="C26" s="440"/>
      <c r="D26" s="440"/>
      <c r="E26" s="440"/>
      <c r="F26" s="440"/>
      <c r="G26" s="440"/>
      <c r="H26" s="440"/>
      <c r="I26" s="240" t="s">
        <v>354</v>
      </c>
      <c r="J26" s="240" t="s">
        <v>7</v>
      </c>
      <c r="K26" s="240" t="s">
        <v>355</v>
      </c>
      <c r="L26" s="240" t="s">
        <v>368</v>
      </c>
      <c r="M26" s="241" t="s">
        <v>369</v>
      </c>
      <c r="N26" s="240" t="s">
        <v>370</v>
      </c>
      <c r="O26" s="432"/>
      <c r="P26" s="432"/>
      <c r="Q26" s="432"/>
      <c r="R26" s="432"/>
      <c r="U26" s="437"/>
      <c r="V26" s="441"/>
      <c r="W26" s="440"/>
      <c r="X26" s="440"/>
      <c r="Y26" s="440"/>
      <c r="Z26" s="440"/>
      <c r="AA26" s="440"/>
      <c r="AB26" s="440"/>
      <c r="AC26" s="240" t="s">
        <v>354</v>
      </c>
      <c r="AD26" s="240" t="s">
        <v>7</v>
      </c>
      <c r="AE26" s="240" t="s">
        <v>355</v>
      </c>
      <c r="AF26" s="240" t="s">
        <v>368</v>
      </c>
      <c r="AG26" s="241" t="s">
        <v>369</v>
      </c>
      <c r="AH26" s="240" t="s">
        <v>370</v>
      </c>
      <c r="AI26" s="432"/>
      <c r="AJ26" s="432"/>
      <c r="AK26" s="432"/>
      <c r="AL26" s="432"/>
    </row>
    <row r="27" spans="1:38">
      <c r="A27" s="437"/>
      <c r="B27" s="242" t="s">
        <v>24</v>
      </c>
      <c r="C27" s="243">
        <v>0</v>
      </c>
      <c r="D27" s="244">
        <v>0</v>
      </c>
      <c r="E27" s="244">
        <v>0</v>
      </c>
      <c r="F27" s="243">
        <v>0</v>
      </c>
      <c r="G27" s="244">
        <v>0</v>
      </c>
      <c r="H27" s="244">
        <v>457.24691899999999</v>
      </c>
      <c r="I27" s="244">
        <v>101.61680578799999</v>
      </c>
      <c r="J27" s="244">
        <v>0</v>
      </c>
      <c r="K27" s="244">
        <v>0</v>
      </c>
      <c r="L27" s="244">
        <v>0</v>
      </c>
      <c r="M27" s="244">
        <v>0</v>
      </c>
      <c r="N27" s="244">
        <v>20.83074886</v>
      </c>
      <c r="O27" s="245">
        <v>0</v>
      </c>
      <c r="P27" s="244">
        <v>0</v>
      </c>
      <c r="Q27" s="244">
        <v>0</v>
      </c>
      <c r="R27" s="246">
        <v>579.69447364799998</v>
      </c>
      <c r="U27" s="437"/>
      <c r="V27" s="242" t="s">
        <v>24</v>
      </c>
      <c r="W27" s="243">
        <v>0</v>
      </c>
      <c r="X27" s="244">
        <v>0</v>
      </c>
      <c r="Y27" s="244">
        <v>0</v>
      </c>
      <c r="Z27" s="243">
        <v>0</v>
      </c>
      <c r="AA27" s="244">
        <v>0</v>
      </c>
      <c r="AB27" s="244">
        <v>457.24691899999999</v>
      </c>
      <c r="AC27" s="244">
        <v>101.61680578799999</v>
      </c>
      <c r="AD27" s="244">
        <v>0</v>
      </c>
      <c r="AE27" s="244">
        <v>0</v>
      </c>
      <c r="AF27" s="244">
        <v>0</v>
      </c>
      <c r="AG27" s="244">
        <v>0</v>
      </c>
      <c r="AH27" s="244">
        <v>20.83074886</v>
      </c>
      <c r="AI27" s="245">
        <v>0</v>
      </c>
      <c r="AJ27" s="244">
        <v>0</v>
      </c>
      <c r="AK27" s="244">
        <v>0</v>
      </c>
      <c r="AL27" s="246">
        <v>579.69447364799998</v>
      </c>
    </row>
    <row r="28" spans="1:38">
      <c r="A28" s="437"/>
      <c r="B28" s="242" t="s">
        <v>28</v>
      </c>
      <c r="C28" s="243">
        <v>0</v>
      </c>
      <c r="D28" s="244">
        <v>0</v>
      </c>
      <c r="E28" s="244">
        <v>3616.93</v>
      </c>
      <c r="F28" s="243">
        <v>0</v>
      </c>
      <c r="G28" s="244">
        <v>0</v>
      </c>
      <c r="H28" s="244">
        <v>0</v>
      </c>
      <c r="I28" s="244">
        <v>0</v>
      </c>
      <c r="J28" s="244">
        <v>0</v>
      </c>
      <c r="K28" s="244">
        <v>0</v>
      </c>
      <c r="L28" s="244">
        <v>0</v>
      </c>
      <c r="M28" s="244">
        <v>0</v>
      </c>
      <c r="N28" s="244">
        <v>0</v>
      </c>
      <c r="O28" s="245">
        <v>0</v>
      </c>
      <c r="P28" s="244">
        <v>0</v>
      </c>
      <c r="Q28" s="244">
        <v>0</v>
      </c>
      <c r="R28" s="246">
        <v>3616.93</v>
      </c>
      <c r="U28" s="437"/>
      <c r="V28" s="242" t="s">
        <v>28</v>
      </c>
      <c r="W28" s="243">
        <v>0</v>
      </c>
      <c r="X28" s="244">
        <v>0</v>
      </c>
      <c r="Y28" s="244">
        <v>3616.93</v>
      </c>
      <c r="Z28" s="243">
        <v>0</v>
      </c>
      <c r="AA28" s="244">
        <v>0</v>
      </c>
      <c r="AB28" s="244">
        <v>0</v>
      </c>
      <c r="AC28" s="244">
        <v>0</v>
      </c>
      <c r="AD28" s="244">
        <v>0</v>
      </c>
      <c r="AE28" s="244">
        <v>0</v>
      </c>
      <c r="AF28" s="244">
        <v>0</v>
      </c>
      <c r="AG28" s="244">
        <v>0</v>
      </c>
      <c r="AH28" s="244">
        <v>0</v>
      </c>
      <c r="AI28" s="245">
        <v>0</v>
      </c>
      <c r="AJ28" s="244">
        <v>0</v>
      </c>
      <c r="AK28" s="244">
        <v>0</v>
      </c>
      <c r="AL28" s="246">
        <v>3616.93</v>
      </c>
    </row>
    <row r="29" spans="1:38">
      <c r="A29" s="437"/>
      <c r="B29" s="242" t="s">
        <v>29</v>
      </c>
      <c r="C29" s="243">
        <v>0</v>
      </c>
      <c r="D29" s="244">
        <v>0</v>
      </c>
      <c r="E29" s="244">
        <v>-11.63</v>
      </c>
      <c r="F29" s="243">
        <v>0</v>
      </c>
      <c r="G29" s="244">
        <v>0</v>
      </c>
      <c r="H29" s="244">
        <v>0</v>
      </c>
      <c r="I29" s="244">
        <v>0</v>
      </c>
      <c r="J29" s="244">
        <v>0</v>
      </c>
      <c r="K29" s="244">
        <v>0</v>
      </c>
      <c r="L29" s="244">
        <v>0</v>
      </c>
      <c r="M29" s="244">
        <v>0</v>
      </c>
      <c r="N29" s="244">
        <v>0</v>
      </c>
      <c r="O29" s="245">
        <v>0</v>
      </c>
      <c r="P29" s="244">
        <v>0</v>
      </c>
      <c r="Q29" s="244">
        <v>0</v>
      </c>
      <c r="R29" s="246">
        <v>-11.63</v>
      </c>
      <c r="U29" s="437"/>
      <c r="V29" s="242" t="s">
        <v>29</v>
      </c>
      <c r="W29" s="243">
        <v>0</v>
      </c>
      <c r="X29" s="244">
        <v>0</v>
      </c>
      <c r="Y29" s="244">
        <v>-11.63</v>
      </c>
      <c r="Z29" s="243">
        <v>0</v>
      </c>
      <c r="AA29" s="244">
        <v>0</v>
      </c>
      <c r="AB29" s="244">
        <v>0</v>
      </c>
      <c r="AC29" s="244">
        <v>0</v>
      </c>
      <c r="AD29" s="244">
        <v>0</v>
      </c>
      <c r="AE29" s="244">
        <v>0</v>
      </c>
      <c r="AF29" s="244">
        <v>0</v>
      </c>
      <c r="AG29" s="244">
        <v>0</v>
      </c>
      <c r="AH29" s="244">
        <v>0</v>
      </c>
      <c r="AI29" s="245">
        <v>0</v>
      </c>
      <c r="AJ29" s="244">
        <v>0</v>
      </c>
      <c r="AK29" s="244">
        <v>0</v>
      </c>
      <c r="AL29" s="246">
        <v>-11.63</v>
      </c>
    </row>
    <row r="30" spans="1:38">
      <c r="A30" s="437"/>
      <c r="B30" s="242" t="s">
        <v>30</v>
      </c>
      <c r="C30" s="243">
        <v>0</v>
      </c>
      <c r="D30" s="244">
        <v>0</v>
      </c>
      <c r="E30" s="244">
        <v>0</v>
      </c>
      <c r="F30" s="243">
        <v>0</v>
      </c>
      <c r="G30" s="244">
        <v>0</v>
      </c>
      <c r="H30" s="244">
        <v>0</v>
      </c>
      <c r="I30" s="244">
        <v>0</v>
      </c>
      <c r="J30" s="244">
        <v>0</v>
      </c>
      <c r="K30" s="244">
        <v>0</v>
      </c>
      <c r="L30" s="244">
        <v>0</v>
      </c>
      <c r="M30" s="244">
        <v>0</v>
      </c>
      <c r="N30" s="244">
        <v>0</v>
      </c>
      <c r="O30" s="245">
        <v>0</v>
      </c>
      <c r="P30" s="244">
        <v>0</v>
      </c>
      <c r="Q30" s="244">
        <v>0</v>
      </c>
      <c r="R30" s="246">
        <v>0</v>
      </c>
      <c r="U30" s="437"/>
      <c r="V30" s="242" t="s">
        <v>30</v>
      </c>
      <c r="W30" s="243">
        <v>0</v>
      </c>
      <c r="X30" s="244">
        <v>0</v>
      </c>
      <c r="Y30" s="244">
        <v>0</v>
      </c>
      <c r="Z30" s="243">
        <v>0</v>
      </c>
      <c r="AA30" s="244">
        <v>0</v>
      </c>
      <c r="AB30" s="244">
        <v>0</v>
      </c>
      <c r="AC30" s="244">
        <v>0</v>
      </c>
      <c r="AD30" s="244">
        <v>0</v>
      </c>
      <c r="AE30" s="244">
        <v>0</v>
      </c>
      <c r="AF30" s="244">
        <v>0</v>
      </c>
      <c r="AG30" s="244">
        <v>0</v>
      </c>
      <c r="AH30" s="244">
        <v>0</v>
      </c>
      <c r="AI30" s="245">
        <v>0</v>
      </c>
      <c r="AJ30" s="244">
        <v>0</v>
      </c>
      <c r="AK30" s="244">
        <v>0</v>
      </c>
      <c r="AL30" s="246">
        <v>0</v>
      </c>
    </row>
    <row r="31" spans="1:38">
      <c r="A31" s="437"/>
      <c r="B31" s="242" t="s">
        <v>31</v>
      </c>
      <c r="C31" s="243">
        <v>0</v>
      </c>
      <c r="D31" s="244">
        <v>0</v>
      </c>
      <c r="E31" s="244">
        <v>-416.73688888888898</v>
      </c>
      <c r="F31" s="243">
        <v>0</v>
      </c>
      <c r="G31" s="244">
        <v>0</v>
      </c>
      <c r="H31" s="244">
        <v>0</v>
      </c>
      <c r="I31" s="244">
        <v>0</v>
      </c>
      <c r="J31" s="244">
        <v>0</v>
      </c>
      <c r="K31" s="244">
        <v>0</v>
      </c>
      <c r="L31" s="244">
        <v>0</v>
      </c>
      <c r="M31" s="244">
        <v>0</v>
      </c>
      <c r="N31" s="244">
        <v>0</v>
      </c>
      <c r="O31" s="245">
        <v>0</v>
      </c>
      <c r="P31" s="244">
        <v>0</v>
      </c>
      <c r="Q31" s="244">
        <v>0</v>
      </c>
      <c r="R31" s="246">
        <v>-416.73688888888898</v>
      </c>
      <c r="U31" s="437"/>
      <c r="V31" s="242" t="s">
        <v>31</v>
      </c>
      <c r="W31" s="243">
        <v>0</v>
      </c>
      <c r="X31" s="244">
        <v>0</v>
      </c>
      <c r="Y31" s="244">
        <v>-416.73688888888898</v>
      </c>
      <c r="Z31" s="243">
        <v>0</v>
      </c>
      <c r="AA31" s="244">
        <v>0</v>
      </c>
      <c r="AB31" s="244">
        <v>0</v>
      </c>
      <c r="AC31" s="244">
        <v>0</v>
      </c>
      <c r="AD31" s="244">
        <v>0</v>
      </c>
      <c r="AE31" s="244">
        <v>0</v>
      </c>
      <c r="AF31" s="244">
        <v>0</v>
      </c>
      <c r="AG31" s="244">
        <v>0</v>
      </c>
      <c r="AH31" s="244">
        <v>0</v>
      </c>
      <c r="AI31" s="245">
        <v>0</v>
      </c>
      <c r="AJ31" s="244">
        <v>0</v>
      </c>
      <c r="AK31" s="244">
        <v>0</v>
      </c>
      <c r="AL31" s="246">
        <v>-416.73688888888898</v>
      </c>
    </row>
    <row r="32" spans="1:38">
      <c r="A32" s="437"/>
      <c r="B32" s="242" t="s">
        <v>32</v>
      </c>
      <c r="C32" s="243">
        <v>0</v>
      </c>
      <c r="D32" s="244">
        <v>0</v>
      </c>
      <c r="E32" s="244">
        <v>81.41</v>
      </c>
      <c r="F32" s="243">
        <v>0</v>
      </c>
      <c r="G32" s="244">
        <v>0</v>
      </c>
      <c r="H32" s="244">
        <v>0</v>
      </c>
      <c r="I32" s="244">
        <v>0</v>
      </c>
      <c r="J32" s="244">
        <v>0</v>
      </c>
      <c r="K32" s="244">
        <v>0</v>
      </c>
      <c r="L32" s="244">
        <v>0</v>
      </c>
      <c r="M32" s="244">
        <v>0</v>
      </c>
      <c r="N32" s="244">
        <v>0</v>
      </c>
      <c r="O32" s="245">
        <v>0</v>
      </c>
      <c r="P32" s="244">
        <v>0</v>
      </c>
      <c r="Q32" s="244">
        <v>0</v>
      </c>
      <c r="R32" s="246">
        <v>81.41</v>
      </c>
      <c r="U32" s="437"/>
      <c r="V32" s="242" t="s">
        <v>32</v>
      </c>
      <c r="W32" s="243">
        <v>0</v>
      </c>
      <c r="X32" s="244">
        <v>0</v>
      </c>
      <c r="Y32" s="244">
        <v>81.41</v>
      </c>
      <c r="Z32" s="243">
        <v>0</v>
      </c>
      <c r="AA32" s="244">
        <v>0</v>
      </c>
      <c r="AB32" s="244">
        <v>0</v>
      </c>
      <c r="AC32" s="244">
        <v>0</v>
      </c>
      <c r="AD32" s="244">
        <v>0</v>
      </c>
      <c r="AE32" s="244">
        <v>0</v>
      </c>
      <c r="AF32" s="244">
        <v>0</v>
      </c>
      <c r="AG32" s="244">
        <v>0</v>
      </c>
      <c r="AH32" s="244">
        <v>0</v>
      </c>
      <c r="AI32" s="245">
        <v>0</v>
      </c>
      <c r="AJ32" s="244">
        <v>0</v>
      </c>
      <c r="AK32" s="244">
        <v>0</v>
      </c>
      <c r="AL32" s="246">
        <v>81.41</v>
      </c>
    </row>
    <row r="33" spans="1:38">
      <c r="A33" s="437"/>
      <c r="B33" s="247" t="s">
        <v>371</v>
      </c>
      <c r="C33" s="248">
        <v>0</v>
      </c>
      <c r="D33" s="248">
        <v>0</v>
      </c>
      <c r="E33" s="248">
        <v>3269.9731111111105</v>
      </c>
      <c r="F33" s="248">
        <v>0</v>
      </c>
      <c r="G33" s="248">
        <v>0</v>
      </c>
      <c r="H33" s="248">
        <v>457.24691899999999</v>
      </c>
      <c r="I33" s="248">
        <v>101.61680578799999</v>
      </c>
      <c r="J33" s="248">
        <v>0</v>
      </c>
      <c r="K33" s="248">
        <v>0</v>
      </c>
      <c r="L33" s="248">
        <v>0</v>
      </c>
      <c r="M33" s="248">
        <v>0</v>
      </c>
      <c r="N33" s="248">
        <v>20.83074886</v>
      </c>
      <c r="O33" s="248">
        <v>0</v>
      </c>
      <c r="P33" s="248">
        <v>0</v>
      </c>
      <c r="Q33" s="248">
        <v>0</v>
      </c>
      <c r="R33" s="248">
        <v>3849.6675847591105</v>
      </c>
      <c r="U33" s="437"/>
      <c r="V33" s="247" t="s">
        <v>371</v>
      </c>
      <c r="W33" s="248">
        <v>0</v>
      </c>
      <c r="X33" s="248">
        <v>0</v>
      </c>
      <c r="Y33" s="248">
        <v>3269.9731111111105</v>
      </c>
      <c r="Z33" s="248">
        <v>0</v>
      </c>
      <c r="AA33" s="248">
        <v>0</v>
      </c>
      <c r="AB33" s="248">
        <v>457.24691899999999</v>
      </c>
      <c r="AC33" s="248">
        <v>101.61680578799999</v>
      </c>
      <c r="AD33" s="248">
        <v>0</v>
      </c>
      <c r="AE33" s="248">
        <v>0</v>
      </c>
      <c r="AF33" s="248">
        <v>0</v>
      </c>
      <c r="AG33" s="248">
        <v>0</v>
      </c>
      <c r="AH33" s="248">
        <v>20.83074886</v>
      </c>
      <c r="AI33" s="248">
        <v>0</v>
      </c>
      <c r="AJ33" s="248">
        <v>0</v>
      </c>
      <c r="AK33" s="248">
        <v>0</v>
      </c>
      <c r="AL33" s="248">
        <v>3849.6675847591105</v>
      </c>
    </row>
    <row r="34" spans="1:38">
      <c r="A34" s="437"/>
      <c r="B34" s="249"/>
      <c r="C34" s="250"/>
      <c r="D34" s="219"/>
      <c r="E34" s="251"/>
      <c r="F34" s="250"/>
      <c r="G34" s="250"/>
      <c r="H34" s="250"/>
      <c r="I34" s="250"/>
      <c r="J34" s="250"/>
      <c r="K34" s="250"/>
      <c r="L34" s="250"/>
      <c r="M34" s="250"/>
      <c r="N34" s="250"/>
      <c r="O34" s="250"/>
      <c r="P34" s="250"/>
      <c r="Q34" s="250"/>
      <c r="R34" s="250"/>
      <c r="U34" s="437"/>
      <c r="V34" s="249"/>
      <c r="W34" s="250"/>
      <c r="X34" s="219"/>
      <c r="Y34" s="251"/>
      <c r="Z34" s="250"/>
      <c r="AA34" s="250"/>
      <c r="AB34" s="250"/>
      <c r="AC34" s="250"/>
      <c r="AD34" s="250"/>
      <c r="AE34" s="250"/>
      <c r="AF34" s="250"/>
      <c r="AG34" s="250"/>
      <c r="AH34" s="250"/>
      <c r="AI34" s="259"/>
      <c r="AJ34" s="250"/>
      <c r="AK34" s="250"/>
      <c r="AL34" s="250"/>
    </row>
    <row r="35" spans="1:38">
      <c r="A35" s="437"/>
      <c r="B35" s="252" t="s">
        <v>372</v>
      </c>
      <c r="C35" s="243">
        <v>0</v>
      </c>
      <c r="D35" s="253">
        <v>3.2179259504107556E-2</v>
      </c>
      <c r="E35" s="253">
        <v>239.500769536028</v>
      </c>
      <c r="F35" s="243">
        <v>0</v>
      </c>
      <c r="G35" s="243">
        <v>0</v>
      </c>
      <c r="H35" s="243">
        <v>0</v>
      </c>
      <c r="I35" s="243">
        <v>0</v>
      </c>
      <c r="J35" s="243">
        <v>0</v>
      </c>
      <c r="K35" s="243">
        <v>0</v>
      </c>
      <c r="L35" s="243">
        <v>0</v>
      </c>
      <c r="M35" s="243">
        <v>0</v>
      </c>
      <c r="N35" s="243">
        <v>0</v>
      </c>
      <c r="O35" s="243">
        <v>-11.070475826039401</v>
      </c>
      <c r="P35" s="243">
        <v>0</v>
      </c>
      <c r="Q35" s="243">
        <v>0</v>
      </c>
      <c r="R35" s="254">
        <v>228.46247296949272</v>
      </c>
      <c r="U35" s="437"/>
      <c r="V35" s="252" t="s">
        <v>372</v>
      </c>
      <c r="W35" s="243">
        <v>0</v>
      </c>
      <c r="X35" s="253">
        <v>3.2179259504107556E-2</v>
      </c>
      <c r="Y35" s="253">
        <v>239.500769536028</v>
      </c>
      <c r="Z35" s="243">
        <v>0</v>
      </c>
      <c r="AA35" s="243">
        <v>0</v>
      </c>
      <c r="AB35" s="243">
        <v>0</v>
      </c>
      <c r="AC35" s="243">
        <v>0</v>
      </c>
      <c r="AD35" s="243">
        <v>0</v>
      </c>
      <c r="AE35" s="243">
        <v>0</v>
      </c>
      <c r="AF35" s="243">
        <v>0</v>
      </c>
      <c r="AG35" s="243">
        <v>0</v>
      </c>
      <c r="AH35" s="243">
        <v>0</v>
      </c>
      <c r="AI35" s="243">
        <v>-11.070475826039401</v>
      </c>
      <c r="AJ35" s="243">
        <v>0</v>
      </c>
      <c r="AK35" s="243">
        <v>0</v>
      </c>
      <c r="AL35" s="254">
        <v>228.46247296949272</v>
      </c>
    </row>
    <row r="36" spans="1:38">
      <c r="A36" s="437"/>
      <c r="B36" s="252" t="s">
        <v>373</v>
      </c>
      <c r="C36" s="243">
        <v>0</v>
      </c>
      <c r="D36" s="243">
        <v>0</v>
      </c>
      <c r="E36" s="243">
        <v>1554.4706318000001</v>
      </c>
      <c r="F36" s="243">
        <v>0</v>
      </c>
      <c r="G36" s="243">
        <v>0</v>
      </c>
      <c r="H36" s="243">
        <v>457.24691899999999</v>
      </c>
      <c r="I36" s="255">
        <v>88.163999999999987</v>
      </c>
      <c r="J36" s="255">
        <v>0</v>
      </c>
      <c r="K36" s="255">
        <v>0</v>
      </c>
      <c r="L36" s="255">
        <v>0</v>
      </c>
      <c r="M36" s="255">
        <v>0</v>
      </c>
      <c r="N36" s="255">
        <v>0</v>
      </c>
      <c r="O36" s="243">
        <v>-905.54299986000001</v>
      </c>
      <c r="P36" s="243">
        <v>0</v>
      </c>
      <c r="Q36" s="243">
        <v>0</v>
      </c>
      <c r="R36" s="254">
        <v>1194.3385509399998</v>
      </c>
      <c r="U36" s="437"/>
      <c r="V36" s="252" t="s">
        <v>373</v>
      </c>
      <c r="W36" s="243">
        <v>0</v>
      </c>
      <c r="X36" s="243">
        <v>0</v>
      </c>
      <c r="Y36" s="243">
        <v>1554.4706318000001</v>
      </c>
      <c r="Z36" s="243">
        <v>0</v>
      </c>
      <c r="AA36" s="243">
        <v>0</v>
      </c>
      <c r="AB36" s="243">
        <v>457.24691899999999</v>
      </c>
      <c r="AC36" s="255">
        <v>88.163999999999987</v>
      </c>
      <c r="AD36" s="255">
        <v>0</v>
      </c>
      <c r="AE36" s="255">
        <v>0</v>
      </c>
      <c r="AF36" s="255">
        <v>0</v>
      </c>
      <c r="AG36" s="255">
        <v>0</v>
      </c>
      <c r="AH36" s="255">
        <v>0</v>
      </c>
      <c r="AI36" s="243">
        <v>-905.54299986000001</v>
      </c>
      <c r="AJ36" s="243">
        <v>0</v>
      </c>
      <c r="AK36" s="243">
        <v>0</v>
      </c>
      <c r="AL36" s="254">
        <v>1194.3385509399998</v>
      </c>
    </row>
    <row r="37" spans="1:38">
      <c r="A37" s="437"/>
      <c r="B37" s="252" t="s">
        <v>374</v>
      </c>
      <c r="C37" s="243">
        <v>0</v>
      </c>
      <c r="D37" s="243">
        <v>0</v>
      </c>
      <c r="E37" s="243">
        <v>0</v>
      </c>
      <c r="F37" s="243">
        <v>0</v>
      </c>
      <c r="G37" s="243">
        <v>0</v>
      </c>
      <c r="H37" s="243">
        <v>0</v>
      </c>
      <c r="I37" s="255">
        <v>0</v>
      </c>
      <c r="J37" s="255">
        <v>0</v>
      </c>
      <c r="K37" s="255">
        <v>0</v>
      </c>
      <c r="L37" s="255">
        <v>0</v>
      </c>
      <c r="M37" s="255">
        <v>0</v>
      </c>
      <c r="N37" s="255">
        <v>0</v>
      </c>
      <c r="O37" s="243">
        <v>0</v>
      </c>
      <c r="P37" s="243">
        <v>0</v>
      </c>
      <c r="Q37" s="243">
        <v>0</v>
      </c>
      <c r="R37" s="254">
        <v>0</v>
      </c>
      <c r="U37" s="437"/>
      <c r="V37" s="252" t="s">
        <v>374</v>
      </c>
      <c r="W37" s="243">
        <v>0</v>
      </c>
      <c r="X37" s="243">
        <v>0</v>
      </c>
      <c r="Y37" s="243">
        <v>0</v>
      </c>
      <c r="Z37" s="243">
        <v>0</v>
      </c>
      <c r="AA37" s="243">
        <v>0</v>
      </c>
      <c r="AB37" s="243">
        <v>0</v>
      </c>
      <c r="AC37" s="255">
        <v>0</v>
      </c>
      <c r="AD37" s="255">
        <v>0</v>
      </c>
      <c r="AE37" s="255">
        <v>0</v>
      </c>
      <c r="AF37" s="255">
        <v>0</v>
      </c>
      <c r="AG37" s="255">
        <v>0</v>
      </c>
      <c r="AH37" s="255">
        <v>0</v>
      </c>
      <c r="AI37" s="243">
        <v>0</v>
      </c>
      <c r="AJ37" s="243">
        <v>0</v>
      </c>
      <c r="AK37" s="243">
        <v>0</v>
      </c>
      <c r="AL37" s="254">
        <v>0</v>
      </c>
    </row>
    <row r="38" spans="1:38">
      <c r="A38" s="437"/>
      <c r="B38" s="252" t="s">
        <v>375</v>
      </c>
      <c r="C38" s="243">
        <v>0</v>
      </c>
      <c r="D38" s="243">
        <v>0</v>
      </c>
      <c r="E38" s="243">
        <v>0</v>
      </c>
      <c r="F38" s="243">
        <v>0</v>
      </c>
      <c r="G38" s="243">
        <v>0</v>
      </c>
      <c r="H38" s="243">
        <v>0</v>
      </c>
      <c r="I38" s="256">
        <v>0</v>
      </c>
      <c r="J38" s="256">
        <v>0</v>
      </c>
      <c r="K38" s="256">
        <v>0</v>
      </c>
      <c r="L38" s="256">
        <v>0</v>
      </c>
      <c r="M38" s="256">
        <v>0</v>
      </c>
      <c r="N38" s="256">
        <v>0</v>
      </c>
      <c r="O38" s="243">
        <v>0</v>
      </c>
      <c r="P38" s="243">
        <v>0</v>
      </c>
      <c r="Q38" s="243">
        <v>0</v>
      </c>
      <c r="R38" s="254">
        <v>0</v>
      </c>
      <c r="U38" s="437"/>
      <c r="V38" s="252" t="s">
        <v>375</v>
      </c>
      <c r="W38" s="243">
        <v>0</v>
      </c>
      <c r="X38" s="243">
        <v>0</v>
      </c>
      <c r="Y38" s="243">
        <v>0</v>
      </c>
      <c r="Z38" s="243">
        <v>0</v>
      </c>
      <c r="AA38" s="243">
        <v>0</v>
      </c>
      <c r="AB38" s="243">
        <v>0</v>
      </c>
      <c r="AC38" s="256">
        <v>0</v>
      </c>
      <c r="AD38" s="256">
        <v>0</v>
      </c>
      <c r="AE38" s="256">
        <v>0</v>
      </c>
      <c r="AF38" s="256">
        <v>0</v>
      </c>
      <c r="AG38" s="256">
        <v>0</v>
      </c>
      <c r="AH38" s="256">
        <v>0</v>
      </c>
      <c r="AI38" s="243">
        <v>0</v>
      </c>
      <c r="AJ38" s="243">
        <v>0</v>
      </c>
      <c r="AK38" s="243">
        <v>0</v>
      </c>
      <c r="AL38" s="254">
        <v>0</v>
      </c>
    </row>
    <row r="39" spans="1:38">
      <c r="A39" s="437"/>
      <c r="B39" s="252" t="s">
        <v>376</v>
      </c>
      <c r="C39" s="243">
        <v>0</v>
      </c>
      <c r="D39" s="243">
        <v>0</v>
      </c>
      <c r="E39" s="243">
        <v>0</v>
      </c>
      <c r="F39" s="243">
        <v>0</v>
      </c>
      <c r="G39" s="243">
        <v>0</v>
      </c>
      <c r="H39" s="243">
        <v>0</v>
      </c>
      <c r="I39" s="243">
        <v>0</v>
      </c>
      <c r="J39" s="243">
        <v>0</v>
      </c>
      <c r="K39" s="243">
        <v>0</v>
      </c>
      <c r="L39" s="243">
        <v>0</v>
      </c>
      <c r="M39" s="243">
        <v>0</v>
      </c>
      <c r="N39" s="243">
        <v>0</v>
      </c>
      <c r="O39" s="243">
        <v>0</v>
      </c>
      <c r="P39" s="243">
        <v>0</v>
      </c>
      <c r="Q39" s="243">
        <v>0</v>
      </c>
      <c r="R39" s="254">
        <v>0</v>
      </c>
      <c r="U39" s="437"/>
      <c r="V39" s="252" t="s">
        <v>376</v>
      </c>
      <c r="W39" s="243">
        <v>0</v>
      </c>
      <c r="X39" s="243">
        <v>0</v>
      </c>
      <c r="Y39" s="243">
        <v>0</v>
      </c>
      <c r="Z39" s="243">
        <v>0</v>
      </c>
      <c r="AA39" s="243">
        <v>0</v>
      </c>
      <c r="AB39" s="243">
        <v>0</v>
      </c>
      <c r="AC39" s="243">
        <v>0</v>
      </c>
      <c r="AD39" s="243">
        <v>0</v>
      </c>
      <c r="AE39" s="243">
        <v>0</v>
      </c>
      <c r="AF39" s="243">
        <v>0</v>
      </c>
      <c r="AG39" s="243">
        <v>0</v>
      </c>
      <c r="AH39" s="243">
        <v>0</v>
      </c>
      <c r="AI39" s="243">
        <v>0</v>
      </c>
      <c r="AJ39" s="243">
        <v>0</v>
      </c>
      <c r="AK39" s="243">
        <v>0</v>
      </c>
      <c r="AL39" s="254">
        <v>0</v>
      </c>
    </row>
    <row r="40" spans="1:38">
      <c r="A40" s="437"/>
      <c r="B40" s="252" t="s">
        <v>36</v>
      </c>
      <c r="C40" s="243">
        <v>0</v>
      </c>
      <c r="D40" s="243">
        <v>0</v>
      </c>
      <c r="E40" s="243">
        <v>0</v>
      </c>
      <c r="F40" s="243">
        <v>0</v>
      </c>
      <c r="G40" s="243">
        <v>0</v>
      </c>
      <c r="H40" s="243">
        <v>0</v>
      </c>
      <c r="I40" s="243">
        <v>0</v>
      </c>
      <c r="J40" s="243">
        <v>0</v>
      </c>
      <c r="K40" s="243">
        <v>0</v>
      </c>
      <c r="L40" s="243">
        <v>0</v>
      </c>
      <c r="M40" s="243">
        <v>0</v>
      </c>
      <c r="N40" s="243">
        <v>0</v>
      </c>
      <c r="O40" s="243">
        <v>0</v>
      </c>
      <c r="P40" s="243">
        <v>0</v>
      </c>
      <c r="Q40" s="243">
        <v>0</v>
      </c>
      <c r="R40" s="254">
        <v>0</v>
      </c>
      <c r="U40" s="437"/>
      <c r="V40" s="252" t="s">
        <v>36</v>
      </c>
      <c r="W40" s="243">
        <v>0</v>
      </c>
      <c r="X40" s="243">
        <v>0</v>
      </c>
      <c r="Y40" s="243">
        <v>0</v>
      </c>
      <c r="Z40" s="243">
        <v>0</v>
      </c>
      <c r="AA40" s="243">
        <v>0</v>
      </c>
      <c r="AB40" s="243">
        <v>0</v>
      </c>
      <c r="AC40" s="243">
        <v>0</v>
      </c>
      <c r="AD40" s="243">
        <v>0</v>
      </c>
      <c r="AE40" s="243">
        <v>0</v>
      </c>
      <c r="AF40" s="243">
        <v>0</v>
      </c>
      <c r="AG40" s="243">
        <v>0</v>
      </c>
      <c r="AH40" s="243">
        <v>0</v>
      </c>
      <c r="AI40" s="243">
        <v>0</v>
      </c>
      <c r="AJ40" s="243">
        <v>0</v>
      </c>
      <c r="AK40" s="243">
        <v>0</v>
      </c>
      <c r="AL40" s="254">
        <v>0</v>
      </c>
    </row>
    <row r="41" spans="1:38">
      <c r="A41" s="437"/>
      <c r="B41" s="252" t="s">
        <v>377</v>
      </c>
      <c r="C41" s="243">
        <v>0</v>
      </c>
      <c r="D41" s="243">
        <v>0</v>
      </c>
      <c r="E41" s="243">
        <v>0</v>
      </c>
      <c r="F41" s="243">
        <v>0</v>
      </c>
      <c r="G41" s="243">
        <v>0</v>
      </c>
      <c r="H41" s="243">
        <v>0</v>
      </c>
      <c r="I41" s="243">
        <v>0</v>
      </c>
      <c r="J41" s="243">
        <v>0</v>
      </c>
      <c r="K41" s="243">
        <v>0</v>
      </c>
      <c r="L41" s="243">
        <v>0</v>
      </c>
      <c r="M41" s="243">
        <v>0</v>
      </c>
      <c r="N41" s="243">
        <v>0</v>
      </c>
      <c r="O41" s="243">
        <v>0</v>
      </c>
      <c r="P41" s="243">
        <v>0</v>
      </c>
      <c r="Q41" s="243">
        <v>0</v>
      </c>
      <c r="R41" s="254">
        <v>0</v>
      </c>
      <c r="U41" s="437"/>
      <c r="V41" s="252" t="s">
        <v>377</v>
      </c>
      <c r="W41" s="243">
        <v>0</v>
      </c>
      <c r="X41" s="243">
        <v>0</v>
      </c>
      <c r="Y41" s="243">
        <v>0</v>
      </c>
      <c r="Z41" s="243">
        <v>0</v>
      </c>
      <c r="AA41" s="243">
        <v>0</v>
      </c>
      <c r="AB41" s="243">
        <v>0</v>
      </c>
      <c r="AC41" s="243">
        <v>0</v>
      </c>
      <c r="AD41" s="243">
        <v>0</v>
      </c>
      <c r="AE41" s="243">
        <v>0</v>
      </c>
      <c r="AF41" s="243">
        <v>0</v>
      </c>
      <c r="AG41" s="243">
        <v>0</v>
      </c>
      <c r="AH41" s="243">
        <v>0</v>
      </c>
      <c r="AI41" s="243">
        <v>0</v>
      </c>
      <c r="AJ41" s="243">
        <v>0</v>
      </c>
      <c r="AK41" s="243">
        <v>0</v>
      </c>
      <c r="AL41" s="254">
        <v>0</v>
      </c>
    </row>
    <row r="42" spans="1:38">
      <c r="A42" s="437"/>
      <c r="B42" s="252" t="s">
        <v>378</v>
      </c>
      <c r="C42" s="243">
        <v>0</v>
      </c>
      <c r="D42" s="243">
        <v>0</v>
      </c>
      <c r="E42" s="243">
        <v>0</v>
      </c>
      <c r="F42" s="243">
        <v>0</v>
      </c>
      <c r="G42" s="243">
        <v>0</v>
      </c>
      <c r="H42" s="243">
        <v>0</v>
      </c>
      <c r="I42" s="243">
        <v>0</v>
      </c>
      <c r="J42" s="243">
        <v>0</v>
      </c>
      <c r="K42" s="243">
        <v>0</v>
      </c>
      <c r="L42" s="243">
        <v>0</v>
      </c>
      <c r="M42" s="243">
        <v>0</v>
      </c>
      <c r="N42" s="243">
        <v>0</v>
      </c>
      <c r="O42" s="243">
        <v>0</v>
      </c>
      <c r="P42" s="243">
        <v>0</v>
      </c>
      <c r="Q42" s="243">
        <v>0</v>
      </c>
      <c r="R42" s="254">
        <v>0</v>
      </c>
      <c r="U42" s="437"/>
      <c r="V42" s="252" t="s">
        <v>378</v>
      </c>
      <c r="W42" s="243">
        <v>0</v>
      </c>
      <c r="X42" s="243">
        <v>0</v>
      </c>
      <c r="Y42" s="243">
        <v>0</v>
      </c>
      <c r="Z42" s="243">
        <v>0</v>
      </c>
      <c r="AA42" s="243">
        <v>0</v>
      </c>
      <c r="AB42" s="243">
        <v>0</v>
      </c>
      <c r="AC42" s="243">
        <v>0</v>
      </c>
      <c r="AD42" s="243">
        <v>0</v>
      </c>
      <c r="AE42" s="243">
        <v>0</v>
      </c>
      <c r="AF42" s="243">
        <v>0</v>
      </c>
      <c r="AG42" s="243">
        <v>0</v>
      </c>
      <c r="AH42" s="243">
        <v>0</v>
      </c>
      <c r="AI42" s="243">
        <v>0</v>
      </c>
      <c r="AJ42" s="243">
        <v>0</v>
      </c>
      <c r="AK42" s="243">
        <v>0</v>
      </c>
      <c r="AL42" s="254">
        <v>0</v>
      </c>
    </row>
    <row r="43" spans="1:38">
      <c r="A43" s="437"/>
      <c r="B43" s="252" t="s">
        <v>379</v>
      </c>
      <c r="C43" s="243">
        <v>0</v>
      </c>
      <c r="D43" s="243">
        <v>0</v>
      </c>
      <c r="E43" s="243">
        <v>0</v>
      </c>
      <c r="F43" s="243">
        <v>0</v>
      </c>
      <c r="G43" s="243">
        <v>0</v>
      </c>
      <c r="H43" s="243">
        <v>0</v>
      </c>
      <c r="I43" s="243">
        <v>0</v>
      </c>
      <c r="J43" s="243">
        <v>0</v>
      </c>
      <c r="K43" s="243">
        <v>0</v>
      </c>
      <c r="L43" s="243">
        <v>0</v>
      </c>
      <c r="M43" s="243">
        <v>0</v>
      </c>
      <c r="N43" s="243">
        <v>0</v>
      </c>
      <c r="O43" s="243">
        <v>0</v>
      </c>
      <c r="P43" s="243">
        <v>0</v>
      </c>
      <c r="Q43" s="243">
        <v>0</v>
      </c>
      <c r="R43" s="254">
        <v>0</v>
      </c>
      <c r="U43" s="437"/>
      <c r="V43" s="252" t="s">
        <v>379</v>
      </c>
      <c r="W43" s="243">
        <v>0</v>
      </c>
      <c r="X43" s="243">
        <v>0</v>
      </c>
      <c r="Y43" s="243">
        <v>0</v>
      </c>
      <c r="Z43" s="243">
        <v>0</v>
      </c>
      <c r="AA43" s="243">
        <v>0</v>
      </c>
      <c r="AB43" s="243">
        <v>0</v>
      </c>
      <c r="AC43" s="243">
        <v>0</v>
      </c>
      <c r="AD43" s="243">
        <v>0</v>
      </c>
      <c r="AE43" s="243">
        <v>0</v>
      </c>
      <c r="AF43" s="243">
        <v>0</v>
      </c>
      <c r="AG43" s="243">
        <v>0</v>
      </c>
      <c r="AH43" s="243">
        <v>0</v>
      </c>
      <c r="AI43" s="243">
        <v>0</v>
      </c>
      <c r="AJ43" s="243">
        <v>0</v>
      </c>
      <c r="AK43" s="243">
        <v>0</v>
      </c>
      <c r="AL43" s="254">
        <v>0</v>
      </c>
    </row>
    <row r="44" spans="1:38">
      <c r="A44" s="437"/>
      <c r="B44" s="252" t="s">
        <v>37</v>
      </c>
      <c r="C44" s="243">
        <v>0</v>
      </c>
      <c r="D44" s="243">
        <v>0</v>
      </c>
      <c r="E44" s="243">
        <v>0</v>
      </c>
      <c r="F44" s="243">
        <v>0</v>
      </c>
      <c r="G44" s="243">
        <v>0</v>
      </c>
      <c r="H44" s="243">
        <v>0</v>
      </c>
      <c r="I44" s="243">
        <v>0</v>
      </c>
      <c r="J44" s="243">
        <v>0</v>
      </c>
      <c r="K44" s="243">
        <v>0</v>
      </c>
      <c r="L44" s="243">
        <v>0</v>
      </c>
      <c r="M44" s="243">
        <v>0</v>
      </c>
      <c r="N44" s="243">
        <v>0</v>
      </c>
      <c r="O44" s="243">
        <v>0</v>
      </c>
      <c r="P44" s="243">
        <v>0</v>
      </c>
      <c r="Q44" s="243">
        <v>0</v>
      </c>
      <c r="R44" s="254">
        <v>0</v>
      </c>
      <c r="U44" s="437"/>
      <c r="V44" s="252" t="s">
        <v>37</v>
      </c>
      <c r="W44" s="243">
        <v>0</v>
      </c>
      <c r="X44" s="243">
        <v>0</v>
      </c>
      <c r="Y44" s="243">
        <v>0</v>
      </c>
      <c r="Z44" s="243">
        <v>0</v>
      </c>
      <c r="AA44" s="243">
        <v>0</v>
      </c>
      <c r="AB44" s="243">
        <v>0</v>
      </c>
      <c r="AC44" s="243">
        <v>0</v>
      </c>
      <c r="AD44" s="243">
        <v>0</v>
      </c>
      <c r="AE44" s="243">
        <v>0</v>
      </c>
      <c r="AF44" s="243">
        <v>0</v>
      </c>
      <c r="AG44" s="243">
        <v>0</v>
      </c>
      <c r="AH44" s="243">
        <v>0</v>
      </c>
      <c r="AI44" s="243">
        <v>0</v>
      </c>
      <c r="AJ44" s="243">
        <v>0</v>
      </c>
      <c r="AK44" s="243">
        <v>0</v>
      </c>
      <c r="AL44" s="254">
        <v>0</v>
      </c>
    </row>
    <row r="45" spans="1:38">
      <c r="A45" s="437"/>
      <c r="B45" s="252" t="s">
        <v>38</v>
      </c>
      <c r="C45" s="243">
        <v>0</v>
      </c>
      <c r="D45" s="243">
        <v>0</v>
      </c>
      <c r="E45" s="243">
        <v>0</v>
      </c>
      <c r="F45" s="243">
        <v>0</v>
      </c>
      <c r="G45" s="243">
        <v>0</v>
      </c>
      <c r="H45" s="243">
        <v>0</v>
      </c>
      <c r="I45" s="243">
        <v>0</v>
      </c>
      <c r="J45" s="243">
        <v>0</v>
      </c>
      <c r="K45" s="243">
        <v>0</v>
      </c>
      <c r="L45" s="243">
        <v>0</v>
      </c>
      <c r="M45" s="243">
        <v>0</v>
      </c>
      <c r="N45" s="243">
        <v>0</v>
      </c>
      <c r="O45" s="243">
        <v>9.8664748772151007</v>
      </c>
      <c r="P45" s="243">
        <v>0</v>
      </c>
      <c r="Q45" s="243">
        <v>0</v>
      </c>
      <c r="R45" s="254">
        <v>9.8664748772151007</v>
      </c>
      <c r="U45" s="437"/>
      <c r="V45" s="252" t="s">
        <v>38</v>
      </c>
      <c r="W45" s="243">
        <v>0</v>
      </c>
      <c r="X45" s="243">
        <v>0</v>
      </c>
      <c r="Y45" s="243">
        <v>0</v>
      </c>
      <c r="Z45" s="243">
        <v>0</v>
      </c>
      <c r="AA45" s="243">
        <v>0</v>
      </c>
      <c r="AB45" s="243">
        <v>0</v>
      </c>
      <c r="AC45" s="243">
        <v>0</v>
      </c>
      <c r="AD45" s="243">
        <v>0</v>
      </c>
      <c r="AE45" s="243">
        <v>0</v>
      </c>
      <c r="AF45" s="243">
        <v>0</v>
      </c>
      <c r="AG45" s="243">
        <v>0</v>
      </c>
      <c r="AH45" s="243">
        <v>0</v>
      </c>
      <c r="AI45" s="243">
        <v>9.8664748772151007</v>
      </c>
      <c r="AJ45" s="243">
        <v>0</v>
      </c>
      <c r="AK45" s="243">
        <v>0</v>
      </c>
      <c r="AL45" s="254">
        <v>9.8664748772151007</v>
      </c>
    </row>
    <row r="46" spans="1:38">
      <c r="A46" s="437"/>
      <c r="B46" s="252" t="s">
        <v>39</v>
      </c>
      <c r="C46" s="243">
        <v>0</v>
      </c>
      <c r="D46" s="243">
        <v>0</v>
      </c>
      <c r="E46" s="243">
        <v>0</v>
      </c>
      <c r="F46" s="243">
        <v>0</v>
      </c>
      <c r="G46" s="243">
        <v>0</v>
      </c>
      <c r="H46" s="243">
        <v>0</v>
      </c>
      <c r="I46" s="243">
        <v>0</v>
      </c>
      <c r="J46" s="243">
        <v>0</v>
      </c>
      <c r="K46" s="243">
        <v>0</v>
      </c>
      <c r="L46" s="243">
        <v>0</v>
      </c>
      <c r="M46" s="243">
        <v>0</v>
      </c>
      <c r="N46" s="243">
        <v>0</v>
      </c>
      <c r="O46" s="243">
        <v>87.960464592556804</v>
      </c>
      <c r="P46" s="243">
        <v>0</v>
      </c>
      <c r="Q46" s="243">
        <v>0</v>
      </c>
      <c r="R46" s="254">
        <v>87.960464592556804</v>
      </c>
      <c r="U46" s="437"/>
      <c r="V46" s="252" t="s">
        <v>39</v>
      </c>
      <c r="W46" s="243">
        <v>0</v>
      </c>
      <c r="X46" s="243">
        <v>0</v>
      </c>
      <c r="Y46" s="243">
        <v>0</v>
      </c>
      <c r="Z46" s="243">
        <v>0</v>
      </c>
      <c r="AA46" s="243">
        <v>0</v>
      </c>
      <c r="AB46" s="243">
        <v>0</v>
      </c>
      <c r="AC46" s="243">
        <v>0</v>
      </c>
      <c r="AD46" s="243">
        <v>0</v>
      </c>
      <c r="AE46" s="243">
        <v>0</v>
      </c>
      <c r="AF46" s="243">
        <v>0</v>
      </c>
      <c r="AG46" s="243">
        <v>0</v>
      </c>
      <c r="AH46" s="243">
        <v>0</v>
      </c>
      <c r="AI46" s="243">
        <v>87.960464592556804</v>
      </c>
      <c r="AJ46" s="243">
        <v>0</v>
      </c>
      <c r="AK46" s="243">
        <v>0</v>
      </c>
      <c r="AL46" s="254">
        <v>87.960464592556804</v>
      </c>
    </row>
    <row r="47" spans="1:38">
      <c r="A47" s="437"/>
      <c r="B47" s="247" t="s">
        <v>40</v>
      </c>
      <c r="C47" s="248">
        <v>0</v>
      </c>
      <c r="D47" s="248">
        <v>3.2179259504107556E-2</v>
      </c>
      <c r="E47" s="248">
        <v>1793.9714013360281</v>
      </c>
      <c r="F47" s="248">
        <v>0</v>
      </c>
      <c r="G47" s="248">
        <v>0</v>
      </c>
      <c r="H47" s="248">
        <v>457.24691899999999</v>
      </c>
      <c r="I47" s="248">
        <v>88.163999999999987</v>
      </c>
      <c r="J47" s="248">
        <v>0</v>
      </c>
      <c r="K47" s="248">
        <v>0</v>
      </c>
      <c r="L47" s="248">
        <v>0</v>
      </c>
      <c r="M47" s="248">
        <v>0</v>
      </c>
      <c r="N47" s="248">
        <v>0</v>
      </c>
      <c r="O47" s="248">
        <v>-818.78653621626756</v>
      </c>
      <c r="P47" s="248">
        <v>0</v>
      </c>
      <c r="Q47" s="248">
        <v>0</v>
      </c>
      <c r="R47" s="248">
        <v>1520.6279633792647</v>
      </c>
      <c r="U47" s="437"/>
      <c r="V47" s="247" t="s">
        <v>40</v>
      </c>
      <c r="W47" s="248">
        <v>0</v>
      </c>
      <c r="X47" s="248">
        <v>3.2179259504107556E-2</v>
      </c>
      <c r="Y47" s="248">
        <v>1793.9714013360281</v>
      </c>
      <c r="Z47" s="248">
        <v>0</v>
      </c>
      <c r="AA47" s="248">
        <v>0</v>
      </c>
      <c r="AB47" s="248">
        <v>457.24691899999999</v>
      </c>
      <c r="AC47" s="248">
        <v>88.163999999999987</v>
      </c>
      <c r="AD47" s="248">
        <v>0</v>
      </c>
      <c r="AE47" s="248">
        <v>0</v>
      </c>
      <c r="AF47" s="248">
        <v>0</v>
      </c>
      <c r="AG47" s="248">
        <v>0</v>
      </c>
      <c r="AH47" s="248">
        <v>0</v>
      </c>
      <c r="AI47" s="248">
        <v>-818.78653621626756</v>
      </c>
      <c r="AJ47" s="248">
        <v>0</v>
      </c>
      <c r="AK47" s="248">
        <v>0</v>
      </c>
      <c r="AL47" s="248">
        <v>1520.6279633792647</v>
      </c>
    </row>
    <row r="48" spans="1:38">
      <c r="A48" s="437"/>
      <c r="B48" s="249"/>
      <c r="C48" s="250"/>
      <c r="D48" s="250"/>
      <c r="E48" s="257"/>
      <c r="F48" s="250"/>
      <c r="G48" s="250"/>
      <c r="H48" s="250"/>
      <c r="I48" s="257"/>
      <c r="J48" s="250"/>
      <c r="K48" s="250"/>
      <c r="L48" s="250"/>
      <c r="M48" s="258"/>
      <c r="N48" s="250"/>
      <c r="O48" s="250"/>
      <c r="P48" s="250"/>
      <c r="Q48" s="250"/>
      <c r="R48" s="250"/>
      <c r="U48" s="437"/>
      <c r="V48" s="249"/>
      <c r="W48" s="250"/>
      <c r="X48" s="250"/>
      <c r="Y48" s="257"/>
      <c r="Z48" s="250"/>
      <c r="AA48" s="250"/>
      <c r="AB48" s="250"/>
      <c r="AC48" s="257"/>
      <c r="AD48" s="250"/>
      <c r="AE48" s="250"/>
      <c r="AF48" s="250"/>
      <c r="AG48" s="258"/>
      <c r="AH48" s="250"/>
      <c r="AI48" s="250"/>
      <c r="AJ48" s="250"/>
      <c r="AK48" s="250"/>
      <c r="AL48" s="250"/>
    </row>
    <row r="49" spans="1:38">
      <c r="A49" s="437"/>
      <c r="B49" s="252" t="s">
        <v>41</v>
      </c>
      <c r="C49" s="243">
        <v>0</v>
      </c>
      <c r="D49" s="243">
        <v>0</v>
      </c>
      <c r="E49" s="243">
        <v>12.845083333333335</v>
      </c>
      <c r="F49" s="243">
        <v>0</v>
      </c>
      <c r="G49" s="243">
        <v>0</v>
      </c>
      <c r="H49" s="243">
        <v>0</v>
      </c>
      <c r="I49" s="243">
        <v>0.99948917799999903</v>
      </c>
      <c r="J49" s="243">
        <v>0</v>
      </c>
      <c r="K49" s="243">
        <v>0</v>
      </c>
      <c r="L49" s="243">
        <v>0</v>
      </c>
      <c r="M49" s="243">
        <v>0</v>
      </c>
      <c r="N49" s="243">
        <v>0</v>
      </c>
      <c r="O49" s="243">
        <v>32.7460097065753</v>
      </c>
      <c r="P49" s="243">
        <v>0</v>
      </c>
      <c r="Q49" s="243">
        <v>0</v>
      </c>
      <c r="R49" s="254">
        <v>46.590582217908633</v>
      </c>
      <c r="U49" s="437"/>
      <c r="V49" s="252" t="s">
        <v>41</v>
      </c>
      <c r="W49" s="243">
        <v>0</v>
      </c>
      <c r="X49" s="243">
        <v>0</v>
      </c>
      <c r="Y49" s="243">
        <v>12.845083333333335</v>
      </c>
      <c r="Z49" s="243">
        <v>0</v>
      </c>
      <c r="AA49" s="243">
        <v>0</v>
      </c>
      <c r="AB49" s="243">
        <v>0</v>
      </c>
      <c r="AC49" s="243">
        <v>0.99948917799999903</v>
      </c>
      <c r="AD49" s="243">
        <v>0</v>
      </c>
      <c r="AE49" s="243">
        <v>0</v>
      </c>
      <c r="AF49" s="243">
        <v>0</v>
      </c>
      <c r="AG49" s="243">
        <v>0</v>
      </c>
      <c r="AH49" s="243">
        <v>0</v>
      </c>
      <c r="AI49" s="243">
        <v>32.7460097065753</v>
      </c>
      <c r="AJ49" s="243">
        <v>0</v>
      </c>
      <c r="AK49" s="243">
        <v>0</v>
      </c>
      <c r="AL49" s="254">
        <v>46.590582217908633</v>
      </c>
    </row>
    <row r="50" spans="1:38">
      <c r="A50" s="437"/>
      <c r="B50" s="252" t="s">
        <v>42</v>
      </c>
      <c r="C50" s="243">
        <v>0</v>
      </c>
      <c r="D50" s="243">
        <v>0</v>
      </c>
      <c r="E50" s="243">
        <v>1266.3962916666669</v>
      </c>
      <c r="F50" s="243">
        <v>0</v>
      </c>
      <c r="G50" s="243">
        <v>0</v>
      </c>
      <c r="H50" s="243">
        <v>0</v>
      </c>
      <c r="I50" s="243">
        <v>0</v>
      </c>
      <c r="J50" s="243">
        <v>0</v>
      </c>
      <c r="K50" s="243">
        <v>0</v>
      </c>
      <c r="L50" s="243">
        <v>0</v>
      </c>
      <c r="M50" s="243">
        <v>0</v>
      </c>
      <c r="N50" s="243">
        <v>0</v>
      </c>
      <c r="O50" s="243">
        <v>0</v>
      </c>
      <c r="P50" s="243">
        <v>0</v>
      </c>
      <c r="Q50" s="243">
        <v>0</v>
      </c>
      <c r="R50" s="254">
        <v>1266.3962916666669</v>
      </c>
      <c r="U50" s="437"/>
      <c r="V50" s="252" t="s">
        <v>42</v>
      </c>
      <c r="W50" s="243">
        <v>0</v>
      </c>
      <c r="X50" s="243">
        <v>0</v>
      </c>
      <c r="Y50" s="243">
        <v>1266.3962916666669</v>
      </c>
      <c r="Z50" s="243">
        <v>0</v>
      </c>
      <c r="AA50" s="243">
        <v>0</v>
      </c>
      <c r="AB50" s="243">
        <v>0</v>
      </c>
      <c r="AC50" s="243">
        <v>0</v>
      </c>
      <c r="AD50" s="243">
        <v>0</v>
      </c>
      <c r="AE50" s="243">
        <v>0</v>
      </c>
      <c r="AF50" s="243">
        <v>0</v>
      </c>
      <c r="AG50" s="243">
        <v>0</v>
      </c>
      <c r="AH50" s="243">
        <v>0</v>
      </c>
      <c r="AI50" s="243">
        <v>0</v>
      </c>
      <c r="AJ50" s="243">
        <v>0</v>
      </c>
      <c r="AK50" s="243">
        <v>0</v>
      </c>
      <c r="AL50" s="254">
        <v>1266.3962916666669</v>
      </c>
    </row>
    <row r="51" spans="1:38">
      <c r="A51" s="437"/>
      <c r="B51" s="252" t="s">
        <v>43</v>
      </c>
      <c r="C51" s="243">
        <v>0</v>
      </c>
      <c r="D51" s="243">
        <v>0</v>
      </c>
      <c r="E51" s="243">
        <v>65.570700000000002</v>
      </c>
      <c r="F51" s="243">
        <v>0</v>
      </c>
      <c r="G51" s="243">
        <v>0</v>
      </c>
      <c r="H51" s="243">
        <v>0</v>
      </c>
      <c r="I51" s="243">
        <v>0</v>
      </c>
      <c r="J51" s="243">
        <v>0</v>
      </c>
      <c r="K51" s="243">
        <v>0</v>
      </c>
      <c r="L51" s="243">
        <v>0</v>
      </c>
      <c r="M51" s="243">
        <v>0</v>
      </c>
      <c r="N51" s="243">
        <v>20.531695039999999</v>
      </c>
      <c r="O51" s="243">
        <v>308.74838399999999</v>
      </c>
      <c r="P51" s="243">
        <v>0</v>
      </c>
      <c r="Q51" s="243">
        <v>0</v>
      </c>
      <c r="R51" s="254">
        <v>394.85077904000002</v>
      </c>
      <c r="U51" s="437"/>
      <c r="V51" s="252" t="s">
        <v>43</v>
      </c>
      <c r="W51" s="243">
        <v>0</v>
      </c>
      <c r="X51" s="243">
        <v>0</v>
      </c>
      <c r="Y51" s="243">
        <v>65.570700000000002</v>
      </c>
      <c r="Z51" s="243">
        <v>0</v>
      </c>
      <c r="AA51" s="243">
        <v>0</v>
      </c>
      <c r="AB51" s="243">
        <v>0</v>
      </c>
      <c r="AC51" s="243">
        <v>0</v>
      </c>
      <c r="AD51" s="243">
        <v>0</v>
      </c>
      <c r="AE51" s="243">
        <v>0</v>
      </c>
      <c r="AF51" s="243">
        <v>0</v>
      </c>
      <c r="AG51" s="243">
        <v>0</v>
      </c>
      <c r="AH51" s="243">
        <v>20.531695039999999</v>
      </c>
      <c r="AI51" s="243">
        <v>308.74838399999999</v>
      </c>
      <c r="AJ51" s="243">
        <v>0</v>
      </c>
      <c r="AK51" s="243">
        <v>0</v>
      </c>
      <c r="AL51" s="254">
        <v>394.85077904000002</v>
      </c>
    </row>
    <row r="52" spans="1:38">
      <c r="A52" s="437"/>
      <c r="B52" s="252" t="s">
        <v>44</v>
      </c>
      <c r="C52" s="243">
        <v>0</v>
      </c>
      <c r="D52" s="243">
        <v>0</v>
      </c>
      <c r="E52" s="243">
        <v>0</v>
      </c>
      <c r="F52" s="243">
        <v>0</v>
      </c>
      <c r="G52" s="243">
        <v>0</v>
      </c>
      <c r="H52" s="243">
        <v>0</v>
      </c>
      <c r="I52" s="243">
        <v>0</v>
      </c>
      <c r="J52" s="243">
        <v>0</v>
      </c>
      <c r="K52" s="243">
        <v>0</v>
      </c>
      <c r="L52" s="243">
        <v>0</v>
      </c>
      <c r="M52" s="243">
        <v>0</v>
      </c>
      <c r="N52" s="243">
        <v>0.29905381999999997</v>
      </c>
      <c r="O52" s="243">
        <v>476.73808516024604</v>
      </c>
      <c r="P52" s="243">
        <v>0</v>
      </c>
      <c r="Q52" s="243">
        <v>0</v>
      </c>
      <c r="R52" s="254">
        <v>477.03713898024603</v>
      </c>
      <c r="U52" s="437"/>
      <c r="V52" s="252" t="s">
        <v>44</v>
      </c>
      <c r="W52" s="243">
        <v>0</v>
      </c>
      <c r="X52" s="243">
        <v>0</v>
      </c>
      <c r="Y52" s="243">
        <v>0</v>
      </c>
      <c r="Z52" s="243">
        <v>0</v>
      </c>
      <c r="AA52" s="243">
        <v>0</v>
      </c>
      <c r="AB52" s="243">
        <v>0</v>
      </c>
      <c r="AC52" s="243">
        <v>0</v>
      </c>
      <c r="AD52" s="243">
        <v>0</v>
      </c>
      <c r="AE52" s="243">
        <v>0</v>
      </c>
      <c r="AF52" s="243">
        <v>0</v>
      </c>
      <c r="AG52" s="243">
        <v>0</v>
      </c>
      <c r="AH52" s="243">
        <v>0.29905381999999997</v>
      </c>
      <c r="AI52" s="243">
        <v>476.73808516024604</v>
      </c>
      <c r="AJ52" s="243">
        <v>0</v>
      </c>
      <c r="AK52" s="243">
        <v>0</v>
      </c>
      <c r="AL52" s="254">
        <v>477.03713898024603</v>
      </c>
    </row>
    <row r="53" spans="1:38">
      <c r="A53" s="437"/>
      <c r="B53" s="252" t="s">
        <v>4</v>
      </c>
      <c r="C53" s="243">
        <v>0</v>
      </c>
      <c r="D53" s="243">
        <v>0</v>
      </c>
      <c r="E53" s="243">
        <v>64.653666666666666</v>
      </c>
      <c r="F53" s="243">
        <v>0</v>
      </c>
      <c r="G53" s="243">
        <v>0</v>
      </c>
      <c r="H53" s="243">
        <v>0</v>
      </c>
      <c r="I53" s="243">
        <v>12.45331661</v>
      </c>
      <c r="J53" s="243">
        <v>0</v>
      </c>
      <c r="K53" s="243">
        <v>0</v>
      </c>
      <c r="L53" s="243">
        <v>0</v>
      </c>
      <c r="M53" s="243">
        <v>0</v>
      </c>
      <c r="N53" s="243">
        <v>0</v>
      </c>
      <c r="O53" s="243">
        <v>0.55405734944624696</v>
      </c>
      <c r="P53" s="243">
        <v>0</v>
      </c>
      <c r="Q53" s="243">
        <v>0</v>
      </c>
      <c r="R53" s="254">
        <v>77.661040626112921</v>
      </c>
      <c r="U53" s="437"/>
      <c r="V53" s="252" t="s">
        <v>4</v>
      </c>
      <c r="W53" s="243">
        <v>0</v>
      </c>
      <c r="X53" s="243">
        <v>0</v>
      </c>
      <c r="Y53" s="243">
        <v>64.653666666666666</v>
      </c>
      <c r="Z53" s="243">
        <v>0</v>
      </c>
      <c r="AA53" s="243">
        <v>0</v>
      </c>
      <c r="AB53" s="243">
        <v>0</v>
      </c>
      <c r="AC53" s="243">
        <v>12.45331661</v>
      </c>
      <c r="AD53" s="243">
        <v>0</v>
      </c>
      <c r="AE53" s="243">
        <v>0</v>
      </c>
      <c r="AF53" s="243">
        <v>0</v>
      </c>
      <c r="AG53" s="243">
        <v>0</v>
      </c>
      <c r="AH53" s="243">
        <v>0</v>
      </c>
      <c r="AI53" s="243">
        <v>0.55405734944624696</v>
      </c>
      <c r="AJ53" s="243">
        <v>0</v>
      </c>
      <c r="AK53" s="243">
        <v>0</v>
      </c>
      <c r="AL53" s="254">
        <v>77.661040626112921</v>
      </c>
    </row>
    <row r="54" spans="1:38">
      <c r="A54" s="437"/>
      <c r="B54" s="252" t="s">
        <v>380</v>
      </c>
      <c r="C54" s="243">
        <v>0</v>
      </c>
      <c r="D54" s="243">
        <v>0</v>
      </c>
      <c r="E54" s="243">
        <v>0</v>
      </c>
      <c r="F54" s="243">
        <v>0</v>
      </c>
      <c r="G54" s="243">
        <v>0</v>
      </c>
      <c r="H54" s="243">
        <v>0</v>
      </c>
      <c r="I54" s="243">
        <v>0</v>
      </c>
      <c r="J54" s="243">
        <v>0</v>
      </c>
      <c r="K54" s="243">
        <v>0</v>
      </c>
      <c r="L54" s="243">
        <v>0</v>
      </c>
      <c r="M54" s="243">
        <v>0</v>
      </c>
      <c r="N54" s="243">
        <v>0</v>
      </c>
      <c r="O54" s="243">
        <v>0</v>
      </c>
      <c r="P54" s="243">
        <v>0</v>
      </c>
      <c r="Q54" s="243">
        <v>0</v>
      </c>
      <c r="R54" s="254">
        <v>0</v>
      </c>
      <c r="U54" s="437"/>
      <c r="V54" s="252" t="s">
        <v>380</v>
      </c>
      <c r="W54" s="243">
        <v>0</v>
      </c>
      <c r="X54" s="243">
        <v>0</v>
      </c>
      <c r="Y54" s="243">
        <v>0</v>
      </c>
      <c r="Z54" s="243">
        <v>0</v>
      </c>
      <c r="AA54" s="243">
        <v>0</v>
      </c>
      <c r="AB54" s="243">
        <v>0</v>
      </c>
      <c r="AC54" s="243">
        <v>0</v>
      </c>
      <c r="AD54" s="243">
        <v>0</v>
      </c>
      <c r="AE54" s="243">
        <v>0</v>
      </c>
      <c r="AF54" s="243">
        <v>0</v>
      </c>
      <c r="AG54" s="243">
        <v>0</v>
      </c>
      <c r="AH54" s="243">
        <v>0</v>
      </c>
      <c r="AI54" s="243">
        <v>0</v>
      </c>
      <c r="AJ54" s="243">
        <v>0</v>
      </c>
      <c r="AK54" s="243">
        <v>0</v>
      </c>
      <c r="AL54" s="254">
        <v>0</v>
      </c>
    </row>
    <row r="55" spans="1:38">
      <c r="A55" s="437"/>
      <c r="B55" s="247" t="s">
        <v>45</v>
      </c>
      <c r="C55" s="248">
        <v>0</v>
      </c>
      <c r="D55" s="248">
        <v>0</v>
      </c>
      <c r="E55" s="248">
        <v>1409.4657416666669</v>
      </c>
      <c r="F55" s="248">
        <v>0</v>
      </c>
      <c r="G55" s="248">
        <v>0</v>
      </c>
      <c r="H55" s="248">
        <v>0</v>
      </c>
      <c r="I55" s="248">
        <v>13.452805787999999</v>
      </c>
      <c r="J55" s="248">
        <v>0</v>
      </c>
      <c r="K55" s="248">
        <v>0</v>
      </c>
      <c r="L55" s="248">
        <v>0</v>
      </c>
      <c r="M55" s="248">
        <v>0</v>
      </c>
      <c r="N55" s="248">
        <v>20.83074886</v>
      </c>
      <c r="O55" s="248">
        <v>818.78653621626756</v>
      </c>
      <c r="P55" s="248">
        <v>0</v>
      </c>
      <c r="Q55" s="248">
        <v>0</v>
      </c>
      <c r="R55" s="248">
        <v>2262.5358325309344</v>
      </c>
      <c r="U55" s="437"/>
      <c r="V55" s="247" t="s">
        <v>45</v>
      </c>
      <c r="W55" s="248">
        <v>0</v>
      </c>
      <c r="X55" s="248">
        <v>0</v>
      </c>
      <c r="Y55" s="248">
        <v>1409.4657416666669</v>
      </c>
      <c r="Z55" s="248">
        <v>0</v>
      </c>
      <c r="AA55" s="248">
        <v>0</v>
      </c>
      <c r="AB55" s="248">
        <v>0</v>
      </c>
      <c r="AC55" s="248">
        <v>13.452805787999999</v>
      </c>
      <c r="AD55" s="248">
        <v>0</v>
      </c>
      <c r="AE55" s="248">
        <v>0</v>
      </c>
      <c r="AF55" s="248">
        <v>0</v>
      </c>
      <c r="AG55" s="248">
        <v>0</v>
      </c>
      <c r="AH55" s="248">
        <v>20.83074886</v>
      </c>
      <c r="AI55" s="248">
        <v>818.78653621626756</v>
      </c>
      <c r="AJ55" s="248">
        <v>0</v>
      </c>
      <c r="AK55" s="248">
        <v>0</v>
      </c>
      <c r="AL55" s="248">
        <v>2262.5358325309344</v>
      </c>
    </row>
    <row r="56" spans="1:38">
      <c r="A56" s="437"/>
      <c r="B56" s="242" t="s">
        <v>46</v>
      </c>
      <c r="C56" s="243">
        <v>0</v>
      </c>
      <c r="D56" s="243">
        <v>0</v>
      </c>
      <c r="E56" s="243">
        <v>66.535968108416995</v>
      </c>
      <c r="F56" s="243">
        <v>0</v>
      </c>
      <c r="G56" s="243">
        <v>0</v>
      </c>
      <c r="H56" s="243">
        <v>0</v>
      </c>
      <c r="I56" s="243">
        <v>0</v>
      </c>
      <c r="J56" s="243">
        <v>0</v>
      </c>
      <c r="K56" s="243">
        <v>0</v>
      </c>
      <c r="L56" s="243">
        <v>0</v>
      </c>
      <c r="M56" s="243">
        <v>0</v>
      </c>
      <c r="N56" s="243">
        <v>0</v>
      </c>
      <c r="O56" s="243">
        <v>0</v>
      </c>
      <c r="P56" s="243">
        <v>0</v>
      </c>
      <c r="Q56" s="243">
        <v>0</v>
      </c>
      <c r="R56" s="254">
        <v>66.535968108416995</v>
      </c>
      <c r="U56" s="437"/>
      <c r="V56" s="242" t="s">
        <v>46</v>
      </c>
      <c r="W56" s="243">
        <v>0</v>
      </c>
      <c r="X56" s="243">
        <v>0</v>
      </c>
      <c r="Y56" s="243">
        <v>66.535968108416995</v>
      </c>
      <c r="Z56" s="243">
        <v>0</v>
      </c>
      <c r="AA56" s="243">
        <v>0</v>
      </c>
      <c r="AB56" s="243">
        <v>0</v>
      </c>
      <c r="AC56" s="243">
        <v>0</v>
      </c>
      <c r="AD56" s="243">
        <v>0</v>
      </c>
      <c r="AE56" s="243">
        <v>0</v>
      </c>
      <c r="AF56" s="243">
        <v>0</v>
      </c>
      <c r="AG56" s="243">
        <v>0</v>
      </c>
      <c r="AH56" s="243">
        <v>0</v>
      </c>
      <c r="AI56" s="243">
        <v>0</v>
      </c>
      <c r="AJ56" s="243">
        <v>0</v>
      </c>
      <c r="AK56" s="243">
        <v>0</v>
      </c>
      <c r="AL56" s="254">
        <v>66.535968108416995</v>
      </c>
    </row>
    <row r="57" spans="1:38">
      <c r="A57" s="437"/>
      <c r="B57" s="247" t="s">
        <v>47</v>
      </c>
      <c r="C57" s="248">
        <v>0</v>
      </c>
      <c r="D57" s="248">
        <v>0</v>
      </c>
      <c r="E57" s="248">
        <v>1476.0017097750838</v>
      </c>
      <c r="F57" s="248">
        <v>0</v>
      </c>
      <c r="G57" s="248">
        <v>0</v>
      </c>
      <c r="H57" s="248">
        <v>0</v>
      </c>
      <c r="I57" s="248">
        <v>13.452805787999999</v>
      </c>
      <c r="J57" s="248">
        <v>0</v>
      </c>
      <c r="K57" s="248">
        <v>0</v>
      </c>
      <c r="L57" s="248">
        <v>0</v>
      </c>
      <c r="M57" s="248">
        <v>0</v>
      </c>
      <c r="N57" s="248">
        <v>20.83074886</v>
      </c>
      <c r="O57" s="248">
        <v>818.78653621626756</v>
      </c>
      <c r="P57" s="248">
        <v>0</v>
      </c>
      <c r="Q57" s="248">
        <v>0</v>
      </c>
      <c r="R57" s="248">
        <v>2329.0718006393513</v>
      </c>
      <c r="U57" s="437"/>
      <c r="V57" s="247" t="s">
        <v>47</v>
      </c>
      <c r="W57" s="248">
        <v>0</v>
      </c>
      <c r="X57" s="248">
        <v>0</v>
      </c>
      <c r="Y57" s="248">
        <v>1476.0017097750838</v>
      </c>
      <c r="Z57" s="248">
        <v>0</v>
      </c>
      <c r="AA57" s="248">
        <v>0</v>
      </c>
      <c r="AB57" s="248">
        <v>0</v>
      </c>
      <c r="AC57" s="248">
        <v>13.452805787999999</v>
      </c>
      <c r="AD57" s="248">
        <v>0</v>
      </c>
      <c r="AE57" s="248">
        <v>0</v>
      </c>
      <c r="AF57" s="248">
        <v>0</v>
      </c>
      <c r="AG57" s="248">
        <v>0</v>
      </c>
      <c r="AH57" s="248">
        <v>20.83074886</v>
      </c>
      <c r="AI57" s="248">
        <v>818.78653621626756</v>
      </c>
      <c r="AJ57" s="248">
        <v>0</v>
      </c>
      <c r="AK57" s="248">
        <v>0</v>
      </c>
      <c r="AL57" s="248">
        <v>2329.0718006393513</v>
      </c>
    </row>
    <row r="61" spans="1:38">
      <c r="K61" s="259"/>
    </row>
    <row r="62" spans="1:38">
      <c r="L62" s="259"/>
    </row>
    <row r="64" spans="1:38">
      <c r="I64" s="259"/>
    </row>
    <row r="66" spans="1:38" ht="14.4" customHeight="1">
      <c r="A66" s="437">
        <v>2025</v>
      </c>
      <c r="B66" s="441" t="s">
        <v>12</v>
      </c>
      <c r="C66" s="440" t="s">
        <v>14</v>
      </c>
      <c r="D66" s="440" t="s">
        <v>15</v>
      </c>
      <c r="E66" s="440" t="s">
        <v>16</v>
      </c>
      <c r="F66" s="440" t="s">
        <v>17</v>
      </c>
      <c r="G66" s="440" t="s">
        <v>365</v>
      </c>
      <c r="H66" s="440" t="s">
        <v>18</v>
      </c>
      <c r="I66" s="440" t="s">
        <v>19</v>
      </c>
      <c r="J66" s="440"/>
      <c r="K66" s="440"/>
      <c r="L66" s="440"/>
      <c r="M66" s="440"/>
      <c r="N66" s="440"/>
      <c r="O66" s="432" t="s">
        <v>366</v>
      </c>
      <c r="P66" s="432" t="s">
        <v>21</v>
      </c>
      <c r="Q66" s="432" t="s">
        <v>367</v>
      </c>
      <c r="R66" s="432" t="s">
        <v>23</v>
      </c>
      <c r="U66" s="437">
        <v>2025</v>
      </c>
      <c r="V66" s="438" t="s">
        <v>12</v>
      </c>
      <c r="W66" s="432" t="s">
        <v>14</v>
      </c>
      <c r="X66" s="432" t="s">
        <v>15</v>
      </c>
      <c r="Y66" s="432" t="s">
        <v>16</v>
      </c>
      <c r="Z66" s="432" t="s">
        <v>17</v>
      </c>
      <c r="AA66" s="432" t="s">
        <v>365</v>
      </c>
      <c r="AB66" s="432" t="s">
        <v>18</v>
      </c>
      <c r="AC66" s="434" t="s">
        <v>19</v>
      </c>
      <c r="AD66" s="435"/>
      <c r="AE66" s="435"/>
      <c r="AF66" s="435"/>
      <c r="AG66" s="435"/>
      <c r="AH66" s="436"/>
      <c r="AI66" s="432" t="s">
        <v>366</v>
      </c>
      <c r="AJ66" s="432" t="s">
        <v>21</v>
      </c>
      <c r="AK66" s="432" t="s">
        <v>367</v>
      </c>
      <c r="AL66" s="432" t="s">
        <v>23</v>
      </c>
    </row>
    <row r="67" spans="1:38" ht="45.6">
      <c r="A67" s="437"/>
      <c r="B67" s="441"/>
      <c r="C67" s="440"/>
      <c r="D67" s="440"/>
      <c r="E67" s="440"/>
      <c r="F67" s="440"/>
      <c r="G67" s="440"/>
      <c r="H67" s="440"/>
      <c r="I67" s="240" t="s">
        <v>354</v>
      </c>
      <c r="J67" s="240" t="s">
        <v>7</v>
      </c>
      <c r="K67" s="240" t="s">
        <v>355</v>
      </c>
      <c r="L67" s="240" t="s">
        <v>368</v>
      </c>
      <c r="M67" s="241" t="s">
        <v>369</v>
      </c>
      <c r="N67" s="240" t="s">
        <v>370</v>
      </c>
      <c r="O67" s="432"/>
      <c r="P67" s="432"/>
      <c r="Q67" s="432"/>
      <c r="R67" s="432"/>
      <c r="U67" s="437"/>
      <c r="V67" s="439"/>
      <c r="W67" s="433"/>
      <c r="X67" s="433"/>
      <c r="Y67" s="433"/>
      <c r="Z67" s="433"/>
      <c r="AA67" s="433"/>
      <c r="AB67" s="433"/>
      <c r="AC67" s="240" t="s">
        <v>354</v>
      </c>
      <c r="AD67" s="240" t="s">
        <v>7</v>
      </c>
      <c r="AE67" s="240" t="s">
        <v>355</v>
      </c>
      <c r="AF67" s="240" t="s">
        <v>368</v>
      </c>
      <c r="AG67" s="241" t="s">
        <v>369</v>
      </c>
      <c r="AH67" s="240" t="s">
        <v>370</v>
      </c>
      <c r="AI67" s="433"/>
      <c r="AJ67" s="433"/>
      <c r="AK67" s="433"/>
      <c r="AL67" s="433"/>
    </row>
    <row r="68" spans="1:38" ht="14.4" customHeight="1">
      <c r="A68" s="437"/>
      <c r="B68" s="242" t="s">
        <v>24</v>
      </c>
      <c r="C68" s="243">
        <v>0</v>
      </c>
      <c r="D68" s="244">
        <v>0</v>
      </c>
      <c r="E68" s="244">
        <v>0</v>
      </c>
      <c r="F68" s="243">
        <v>0</v>
      </c>
      <c r="G68" s="244">
        <v>0</v>
      </c>
      <c r="H68" s="244">
        <f>H74</f>
        <v>628.84319926962905</v>
      </c>
      <c r="I68" s="244">
        <f>IF((I74-I27)&gt;0,I27+(I74-I27)*0.5,I74)</f>
        <v>153.05103615797034</v>
      </c>
      <c r="J68" s="244">
        <v>0</v>
      </c>
      <c r="K68" s="244">
        <f>IF((K74-K27)&gt;0,K27+(K74-K27)*0.5,K74)</f>
        <v>261.99263288651093</v>
      </c>
      <c r="L68" s="244">
        <f>L74</f>
        <v>0</v>
      </c>
      <c r="M68" s="244">
        <v>0</v>
      </c>
      <c r="N68" s="244">
        <f>N74</f>
        <v>17.725123610630455</v>
      </c>
      <c r="O68" s="245">
        <v>0</v>
      </c>
      <c r="P68" s="244">
        <v>0</v>
      </c>
      <c r="Q68" s="244">
        <v>0</v>
      </c>
      <c r="R68" s="246">
        <f>SUM(C68:Q68)</f>
        <v>1061.6119919247408</v>
      </c>
      <c r="U68" s="437"/>
      <c r="V68" s="242" t="s">
        <v>24</v>
      </c>
      <c r="W68" s="243">
        <v>0</v>
      </c>
      <c r="X68" s="244">
        <v>0</v>
      </c>
      <c r="Y68" s="244">
        <v>0</v>
      </c>
      <c r="Z68" s="243">
        <v>0</v>
      </c>
      <c r="AA68" s="244">
        <v>0</v>
      </c>
      <c r="AB68" s="244">
        <f>AB74</f>
        <v>1816.2500923217663</v>
      </c>
      <c r="AC68" s="244">
        <f>IF((AC74-AC27)&gt;0,AC27+(AC74-AC27)*0.5,AC74)</f>
        <v>169.43783563485721</v>
      </c>
      <c r="AD68" s="244">
        <v>0</v>
      </c>
      <c r="AE68" s="244">
        <f>IF((AE74-AE27)&gt;0,AE27+(AE74-AE27)*0.5,AE74)</f>
        <v>308.50725775663864</v>
      </c>
      <c r="AF68" s="244">
        <f>AF74</f>
        <v>0</v>
      </c>
      <c r="AG68" s="244">
        <v>0</v>
      </c>
      <c r="AH68" s="244">
        <f>AH74</f>
        <v>33.141806857904221</v>
      </c>
      <c r="AI68" s="245">
        <v>0</v>
      </c>
      <c r="AJ68" s="244">
        <v>0</v>
      </c>
      <c r="AK68" s="244">
        <v>0</v>
      </c>
      <c r="AL68" s="246">
        <f>SUM(W68:AK68)</f>
        <v>2327.3369925711663</v>
      </c>
    </row>
    <row r="69" spans="1:38" ht="14.4" customHeight="1">
      <c r="A69" s="437"/>
      <c r="B69" s="242" t="s">
        <v>28</v>
      </c>
      <c r="C69" s="243">
        <f>C74</f>
        <v>0</v>
      </c>
      <c r="D69" s="244">
        <f>D74</f>
        <v>0</v>
      </c>
      <c r="E69" s="244">
        <f>E74</f>
        <v>1514.1504131442034</v>
      </c>
      <c r="F69" s="243">
        <v>0</v>
      </c>
      <c r="G69" s="244">
        <v>0</v>
      </c>
      <c r="H69" s="244">
        <v>0</v>
      </c>
      <c r="I69" s="244">
        <f>IF((I74-I27)&gt;0,(I74-I27)*0.5,0)</f>
        <v>51.434230369970351</v>
      </c>
      <c r="J69" s="244">
        <v>0</v>
      </c>
      <c r="K69" s="244">
        <f>IF((K74-K27)&gt;0,(K74-K27)*0.5,0)</f>
        <v>261.99263288651093</v>
      </c>
      <c r="L69" s="244">
        <v>0</v>
      </c>
      <c r="M69" s="244">
        <v>0</v>
      </c>
      <c r="N69" s="244">
        <v>0</v>
      </c>
      <c r="O69" s="245">
        <v>0</v>
      </c>
      <c r="P69" s="244">
        <v>0</v>
      </c>
      <c r="Q69" s="244">
        <v>0</v>
      </c>
      <c r="R69" s="246">
        <f t="shared" ref="R69:R74" si="3">SUM(C69:Q69)</f>
        <v>1827.5772764006847</v>
      </c>
      <c r="U69" s="437"/>
      <c r="V69" s="242" t="s">
        <v>28</v>
      </c>
      <c r="W69" s="243">
        <f>W74</f>
        <v>0</v>
      </c>
      <c r="X69" s="244">
        <f>X74</f>
        <v>0</v>
      </c>
      <c r="Y69" s="244">
        <f>Y74</f>
        <v>1491.7020669518322</v>
      </c>
      <c r="Z69" s="243">
        <v>0</v>
      </c>
      <c r="AA69" s="244">
        <v>0</v>
      </c>
      <c r="AB69" s="244">
        <v>0</v>
      </c>
      <c r="AC69" s="244">
        <f>IF((AC74-AC27)&gt;0,(AC74-AC27)*0.5,0)</f>
        <v>67.821029846857229</v>
      </c>
      <c r="AD69" s="244">
        <v>0</v>
      </c>
      <c r="AE69" s="244">
        <f>IF((AE74-AE27)&gt;0,(AE74-AE27)*0.5,0)</f>
        <v>308.50725775663864</v>
      </c>
      <c r="AF69" s="244">
        <v>0</v>
      </c>
      <c r="AG69" s="244">
        <v>0</v>
      </c>
      <c r="AH69" s="244">
        <v>0</v>
      </c>
      <c r="AI69" s="245">
        <v>0</v>
      </c>
      <c r="AJ69" s="244">
        <v>0</v>
      </c>
      <c r="AK69" s="244">
        <v>0</v>
      </c>
      <c r="AL69" s="246">
        <f t="shared" ref="AL69:AL74" si="4">SUM(W69:AK69)</f>
        <v>1868.0303545553281</v>
      </c>
    </row>
    <row r="70" spans="1:38" ht="14.4" customHeight="1">
      <c r="A70" s="437"/>
      <c r="B70" s="242" t="s">
        <v>29</v>
      </c>
      <c r="C70" s="243">
        <v>0</v>
      </c>
      <c r="D70" s="244">
        <v>0</v>
      </c>
      <c r="E70" s="244">
        <v>0</v>
      </c>
      <c r="F70" s="243">
        <v>0</v>
      </c>
      <c r="G70" s="244">
        <v>0</v>
      </c>
      <c r="H70" s="244">
        <v>0</v>
      </c>
      <c r="I70" s="244">
        <v>0</v>
      </c>
      <c r="J70" s="244">
        <v>0</v>
      </c>
      <c r="K70" s="244">
        <v>0</v>
      </c>
      <c r="L70" s="244">
        <v>0</v>
      </c>
      <c r="M70" s="244">
        <v>0</v>
      </c>
      <c r="N70" s="244">
        <v>0</v>
      </c>
      <c r="O70" s="245">
        <v>0</v>
      </c>
      <c r="P70" s="244">
        <v>0</v>
      </c>
      <c r="Q70" s="244">
        <v>0</v>
      </c>
      <c r="R70" s="246">
        <f t="shared" si="3"/>
        <v>0</v>
      </c>
      <c r="U70" s="437"/>
      <c r="V70" s="242" t="s">
        <v>29</v>
      </c>
      <c r="W70" s="243">
        <v>0</v>
      </c>
      <c r="X70" s="244">
        <v>0</v>
      </c>
      <c r="Y70" s="244">
        <v>0</v>
      </c>
      <c r="Z70" s="243">
        <v>0</v>
      </c>
      <c r="AA70" s="244">
        <v>0</v>
      </c>
      <c r="AB70" s="244">
        <v>0</v>
      </c>
      <c r="AC70" s="244">
        <v>0</v>
      </c>
      <c r="AD70" s="244">
        <v>0</v>
      </c>
      <c r="AE70" s="244">
        <v>0</v>
      </c>
      <c r="AF70" s="244">
        <v>0</v>
      </c>
      <c r="AG70" s="244">
        <v>0</v>
      </c>
      <c r="AH70" s="244">
        <v>0</v>
      </c>
      <c r="AI70" s="245">
        <v>0</v>
      </c>
      <c r="AJ70" s="244">
        <v>0</v>
      </c>
      <c r="AK70" s="244">
        <v>0</v>
      </c>
      <c r="AL70" s="246">
        <f t="shared" si="4"/>
        <v>0</v>
      </c>
    </row>
    <row r="71" spans="1:38" ht="14.4" customHeight="1">
      <c r="A71" s="437"/>
      <c r="B71" s="242" t="s">
        <v>30</v>
      </c>
      <c r="C71" s="243">
        <v>0</v>
      </c>
      <c r="D71" s="244">
        <v>0</v>
      </c>
      <c r="E71" s="244">
        <v>0</v>
      </c>
      <c r="F71" s="243">
        <v>0</v>
      </c>
      <c r="G71" s="244">
        <v>0</v>
      </c>
      <c r="H71" s="244">
        <v>0</v>
      </c>
      <c r="I71" s="244">
        <v>0</v>
      </c>
      <c r="J71" s="244">
        <v>0</v>
      </c>
      <c r="K71" s="244">
        <v>0</v>
      </c>
      <c r="L71" s="244">
        <v>0</v>
      </c>
      <c r="M71" s="244">
        <v>0</v>
      </c>
      <c r="N71" s="244">
        <v>0</v>
      </c>
      <c r="O71" s="245">
        <v>0</v>
      </c>
      <c r="P71" s="244">
        <v>0</v>
      </c>
      <c r="Q71" s="244">
        <v>0</v>
      </c>
      <c r="R71" s="246">
        <f t="shared" si="3"/>
        <v>0</v>
      </c>
      <c r="U71" s="437"/>
      <c r="V71" s="242" t="s">
        <v>30</v>
      </c>
      <c r="W71" s="243">
        <v>0</v>
      </c>
      <c r="X71" s="244">
        <v>0</v>
      </c>
      <c r="Y71" s="244">
        <v>0</v>
      </c>
      <c r="Z71" s="243">
        <v>0</v>
      </c>
      <c r="AA71" s="244">
        <v>0</v>
      </c>
      <c r="AB71" s="244">
        <v>0</v>
      </c>
      <c r="AC71" s="244">
        <v>0</v>
      </c>
      <c r="AD71" s="244">
        <v>0</v>
      </c>
      <c r="AE71" s="244">
        <v>0</v>
      </c>
      <c r="AF71" s="244">
        <v>0</v>
      </c>
      <c r="AG71" s="244">
        <v>0</v>
      </c>
      <c r="AH71" s="244">
        <v>0</v>
      </c>
      <c r="AI71" s="245">
        <v>0</v>
      </c>
      <c r="AJ71" s="244">
        <v>0</v>
      </c>
      <c r="AK71" s="244">
        <v>0</v>
      </c>
      <c r="AL71" s="246">
        <f t="shared" si="4"/>
        <v>0</v>
      </c>
    </row>
    <row r="72" spans="1:38" ht="14.4" customHeight="1">
      <c r="A72" s="437"/>
      <c r="B72" s="242" t="s">
        <v>31</v>
      </c>
      <c r="C72" s="243">
        <v>0</v>
      </c>
      <c r="D72" s="244">
        <v>0</v>
      </c>
      <c r="E72" s="244">
        <v>0</v>
      </c>
      <c r="F72" s="243">
        <v>0</v>
      </c>
      <c r="G72" s="244">
        <v>0</v>
      </c>
      <c r="H72" s="244">
        <v>0</v>
      </c>
      <c r="I72" s="244">
        <v>0</v>
      </c>
      <c r="J72" s="244">
        <v>0</v>
      </c>
      <c r="K72" s="244">
        <v>0</v>
      </c>
      <c r="L72" s="244">
        <v>0</v>
      </c>
      <c r="M72" s="244">
        <v>0</v>
      </c>
      <c r="N72" s="244">
        <v>0</v>
      </c>
      <c r="O72" s="245">
        <v>0</v>
      </c>
      <c r="P72" s="244">
        <v>0</v>
      </c>
      <c r="Q72" s="244">
        <v>0</v>
      </c>
      <c r="R72" s="246">
        <f t="shared" si="3"/>
        <v>0</v>
      </c>
      <c r="U72" s="437"/>
      <c r="V72" s="242" t="s">
        <v>31</v>
      </c>
      <c r="W72" s="243">
        <v>0</v>
      </c>
      <c r="X72" s="244">
        <v>0</v>
      </c>
      <c r="Y72" s="244">
        <v>0</v>
      </c>
      <c r="Z72" s="243">
        <v>0</v>
      </c>
      <c r="AA72" s="244">
        <v>0</v>
      </c>
      <c r="AB72" s="244">
        <v>0</v>
      </c>
      <c r="AC72" s="244">
        <v>0</v>
      </c>
      <c r="AD72" s="244">
        <v>0</v>
      </c>
      <c r="AE72" s="244">
        <v>0</v>
      </c>
      <c r="AF72" s="244">
        <v>0</v>
      </c>
      <c r="AG72" s="244">
        <v>0</v>
      </c>
      <c r="AH72" s="244">
        <v>0</v>
      </c>
      <c r="AI72" s="245">
        <v>0</v>
      </c>
      <c r="AJ72" s="244">
        <v>0</v>
      </c>
      <c r="AK72" s="244">
        <v>0</v>
      </c>
      <c r="AL72" s="246">
        <f t="shared" si="4"/>
        <v>0</v>
      </c>
    </row>
    <row r="73" spans="1:38" ht="14.4" customHeight="1">
      <c r="A73" s="437"/>
      <c r="B73" s="242" t="s">
        <v>32</v>
      </c>
      <c r="C73" s="243">
        <v>0</v>
      </c>
      <c r="D73" s="244">
        <v>0</v>
      </c>
      <c r="E73" s="244">
        <v>0</v>
      </c>
      <c r="F73" s="243">
        <v>0</v>
      </c>
      <c r="G73" s="244">
        <v>0</v>
      </c>
      <c r="H73" s="244">
        <v>0</v>
      </c>
      <c r="I73" s="244">
        <v>0</v>
      </c>
      <c r="J73" s="244">
        <v>0</v>
      </c>
      <c r="K73" s="244">
        <v>0</v>
      </c>
      <c r="L73" s="244">
        <v>0</v>
      </c>
      <c r="M73" s="244">
        <v>0</v>
      </c>
      <c r="N73" s="244">
        <v>0</v>
      </c>
      <c r="O73" s="245">
        <v>0</v>
      </c>
      <c r="P73" s="244">
        <v>0</v>
      </c>
      <c r="Q73" s="244">
        <v>0</v>
      </c>
      <c r="R73" s="246">
        <f t="shared" si="3"/>
        <v>0</v>
      </c>
      <c r="U73" s="437"/>
      <c r="V73" s="242" t="s">
        <v>32</v>
      </c>
      <c r="W73" s="243">
        <v>0</v>
      </c>
      <c r="X73" s="244">
        <v>0</v>
      </c>
      <c r="Y73" s="244">
        <v>0</v>
      </c>
      <c r="Z73" s="243">
        <v>0</v>
      </c>
      <c r="AA73" s="244">
        <v>0</v>
      </c>
      <c r="AB73" s="244">
        <v>0</v>
      </c>
      <c r="AC73" s="244">
        <v>0</v>
      </c>
      <c r="AD73" s="244">
        <v>0</v>
      </c>
      <c r="AE73" s="244">
        <v>0</v>
      </c>
      <c r="AF73" s="244">
        <v>0</v>
      </c>
      <c r="AG73" s="244">
        <v>0</v>
      </c>
      <c r="AH73" s="244">
        <v>0</v>
      </c>
      <c r="AI73" s="245">
        <v>0</v>
      </c>
      <c r="AJ73" s="244">
        <v>0</v>
      </c>
      <c r="AK73" s="244">
        <v>0</v>
      </c>
      <c r="AL73" s="246">
        <f t="shared" si="4"/>
        <v>0</v>
      </c>
    </row>
    <row r="74" spans="1:38" ht="14.4" customHeight="1">
      <c r="A74" s="437"/>
      <c r="B74" s="247" t="s">
        <v>371</v>
      </c>
      <c r="C74" s="248">
        <f>C98+C96</f>
        <v>0</v>
      </c>
      <c r="D74" s="248">
        <f>D88+D98</f>
        <v>0</v>
      </c>
      <c r="E74" s="248">
        <f>E88+E98</f>
        <v>1514.1504131442034</v>
      </c>
      <c r="F74" s="248">
        <f t="shared" ref="F74:Q74" si="5">SUM(F68:F73)</f>
        <v>0</v>
      </c>
      <c r="G74" s="248">
        <f t="shared" si="5"/>
        <v>0</v>
      </c>
      <c r="H74" s="248">
        <f>H88</f>
        <v>628.84319926962905</v>
      </c>
      <c r="I74" s="248">
        <f>I88+I96</f>
        <v>204.48526652794069</v>
      </c>
      <c r="J74" s="248">
        <f t="shared" si="5"/>
        <v>0</v>
      </c>
      <c r="K74" s="248">
        <f>K88+K98</f>
        <v>523.98526577302187</v>
      </c>
      <c r="L74" s="248">
        <f>L88+L98</f>
        <v>0</v>
      </c>
      <c r="M74" s="248">
        <f t="shared" si="5"/>
        <v>0</v>
      </c>
      <c r="N74" s="248">
        <f>N88+N98</f>
        <v>17.725123610630455</v>
      </c>
      <c r="O74" s="248">
        <f t="shared" si="5"/>
        <v>0</v>
      </c>
      <c r="P74" s="248">
        <f t="shared" si="5"/>
        <v>0</v>
      </c>
      <c r="Q74" s="248">
        <f t="shared" si="5"/>
        <v>0</v>
      </c>
      <c r="R74" s="248">
        <f t="shared" si="3"/>
        <v>2889.1892683254255</v>
      </c>
      <c r="U74" s="437"/>
      <c r="V74" s="247" t="s">
        <v>371</v>
      </c>
      <c r="W74" s="248">
        <f>W98+W96</f>
        <v>0</v>
      </c>
      <c r="X74" s="248">
        <f>X88+X98</f>
        <v>0</v>
      </c>
      <c r="Y74" s="248">
        <f>Y88+Y98</f>
        <v>1491.7020669518322</v>
      </c>
      <c r="Z74" s="248">
        <f t="shared" ref="Z74" si="6">SUM(Z68:Z73)</f>
        <v>0</v>
      </c>
      <c r="AA74" s="248">
        <f t="shared" ref="AA74" si="7">SUM(AA68:AA73)</f>
        <v>0</v>
      </c>
      <c r="AB74" s="248">
        <f>AB88</f>
        <v>1816.2500923217663</v>
      </c>
      <c r="AC74" s="248">
        <f>AC88+AC96</f>
        <v>237.25886548171445</v>
      </c>
      <c r="AD74" s="248">
        <f t="shared" ref="AD74" si="8">SUM(AD68:AD73)</f>
        <v>0</v>
      </c>
      <c r="AE74" s="248">
        <f>AE88+AE98</f>
        <v>617.01451551327727</v>
      </c>
      <c r="AF74" s="248">
        <f>AF88+AF98</f>
        <v>0</v>
      </c>
      <c r="AG74" s="248">
        <f t="shared" ref="AG74" si="9">SUM(AG68:AG73)</f>
        <v>0</v>
      </c>
      <c r="AH74" s="248">
        <f>AH88+AH98</f>
        <v>33.141806857904221</v>
      </c>
      <c r="AI74" s="248">
        <f t="shared" ref="AI74" si="10">SUM(AI68:AI73)</f>
        <v>0</v>
      </c>
      <c r="AJ74" s="248">
        <f t="shared" ref="AJ74" si="11">SUM(AJ68:AJ73)</f>
        <v>0</v>
      </c>
      <c r="AK74" s="248">
        <f t="shared" ref="AK74" si="12">SUM(AK68:AK73)</f>
        <v>0</v>
      </c>
      <c r="AL74" s="248">
        <f t="shared" si="4"/>
        <v>4195.3673471264938</v>
      </c>
    </row>
    <row r="75" spans="1:38" ht="14.4" customHeight="1">
      <c r="A75" s="437"/>
      <c r="B75" s="249"/>
      <c r="C75" s="250"/>
      <c r="D75" s="219"/>
      <c r="E75" s="251"/>
      <c r="F75" s="250"/>
      <c r="G75" s="250"/>
      <c r="H75" s="250"/>
      <c r="I75" s="250"/>
      <c r="J75" s="250"/>
      <c r="K75" s="250"/>
      <c r="L75" s="250"/>
      <c r="M75" s="250"/>
      <c r="N75" s="250"/>
      <c r="O75" s="259"/>
      <c r="P75" s="250"/>
      <c r="Q75" s="250"/>
      <c r="R75" s="250"/>
      <c r="U75" s="437"/>
      <c r="V75" s="249"/>
      <c r="W75" s="250"/>
      <c r="X75" s="219"/>
      <c r="Y75" s="251"/>
      <c r="Z75" s="250"/>
      <c r="AA75" s="250"/>
      <c r="AB75" s="250"/>
      <c r="AC75" s="250"/>
      <c r="AD75" s="250"/>
      <c r="AE75" s="250"/>
      <c r="AF75" s="250"/>
      <c r="AG75" s="250"/>
      <c r="AH75" s="250"/>
      <c r="AI75" s="259"/>
      <c r="AJ75" s="250"/>
      <c r="AK75" s="250"/>
      <c r="AL75" s="250"/>
    </row>
    <row r="76" spans="1:38" ht="14.4" customHeight="1">
      <c r="A76" s="437"/>
      <c r="B76" s="252" t="s">
        <v>372</v>
      </c>
      <c r="C76" s="243">
        <v>0</v>
      </c>
      <c r="D76" s="253">
        <v>0</v>
      </c>
      <c r="E76" s="253">
        <v>0</v>
      </c>
      <c r="F76" s="243">
        <v>0</v>
      </c>
      <c r="G76" s="243">
        <v>0</v>
      </c>
      <c r="H76" s="243">
        <v>0</v>
      </c>
      <c r="I76" s="243">
        <v>0</v>
      </c>
      <c r="J76" s="243">
        <v>0</v>
      </c>
      <c r="K76" s="243">
        <v>0</v>
      </c>
      <c r="L76" s="243">
        <v>0</v>
      </c>
      <c r="M76" s="243">
        <v>0</v>
      </c>
      <c r="N76" s="243">
        <v>0</v>
      </c>
      <c r="O76" s="243">
        <v>0</v>
      </c>
      <c r="P76" s="243">
        <v>0</v>
      </c>
      <c r="Q76" s="243">
        <v>0</v>
      </c>
      <c r="R76" s="254">
        <f>SUM(C76:Q76)</f>
        <v>0</v>
      </c>
      <c r="U76" s="437"/>
      <c r="V76" s="252" t="s">
        <v>372</v>
      </c>
      <c r="W76" s="243">
        <v>0</v>
      </c>
      <c r="X76" s="253">
        <v>0</v>
      </c>
      <c r="Y76" s="253">
        <v>0</v>
      </c>
      <c r="Z76" s="243">
        <v>0</v>
      </c>
      <c r="AA76" s="243">
        <v>0</v>
      </c>
      <c r="AB76" s="243">
        <v>0</v>
      </c>
      <c r="AC76" s="243">
        <v>0</v>
      </c>
      <c r="AD76" s="243">
        <v>0</v>
      </c>
      <c r="AE76" s="243">
        <v>0</v>
      </c>
      <c r="AF76" s="243">
        <v>0</v>
      </c>
      <c r="AG76" s="243">
        <v>0</v>
      </c>
      <c r="AH76" s="243">
        <v>0</v>
      </c>
      <c r="AI76" s="243">
        <v>0</v>
      </c>
      <c r="AJ76" s="243">
        <v>0</v>
      </c>
      <c r="AK76" s="243">
        <v>0</v>
      </c>
      <c r="AL76" s="254">
        <f>SUM(W76:AK76)</f>
        <v>0</v>
      </c>
    </row>
    <row r="77" spans="1:38" ht="14.4" customHeight="1">
      <c r="A77" s="437"/>
      <c r="B77" s="252" t="s">
        <v>373</v>
      </c>
      <c r="C77" s="243">
        <f>$O$77*'Prod Energie'!$D$32/(-$J$13)</f>
        <v>0</v>
      </c>
      <c r="D77" s="243">
        <v>0</v>
      </c>
      <c r="E77" s="243">
        <f>O77*'Prod Energie'!$D$33/(-$K$13)</f>
        <v>42.662360873109158</v>
      </c>
      <c r="F77" s="243">
        <v>0</v>
      </c>
      <c r="G77" s="243">
        <v>0</v>
      </c>
      <c r="H77" s="243">
        <f>(O77)*('Prod Energie'!$D$34+'Prod Energie'!$D$39+'Prod Energie'!$D$40)/(-$L$13)</f>
        <v>628.84319926962905</v>
      </c>
      <c r="I77" s="255">
        <f>(O77)*('Prod Energie'!$D$38)/(-$M$13)</f>
        <v>203.40798711348924</v>
      </c>
      <c r="J77" s="255">
        <f>(O77)*$L$17*('Prod Energie'!$D$36)</f>
        <v>0</v>
      </c>
      <c r="K77" s="255">
        <f>(O77)*('Prod Energie'!$D$37)/(-O13)</f>
        <v>523.98526577302187</v>
      </c>
      <c r="L77" s="255">
        <f>(O77)*('Prod Energie'!$D$41)/(-$P$13)</f>
        <v>0</v>
      </c>
      <c r="M77" s="255">
        <v>0</v>
      </c>
      <c r="N77" s="255">
        <f>(O77)*('Prod Energie'!$D$35)/(-$Q$13)</f>
        <v>0</v>
      </c>
      <c r="O77" s="243">
        <f>O88/(1+$F$17+$F$18)</f>
        <v>-938.57193920840155</v>
      </c>
      <c r="P77" s="243">
        <v>0</v>
      </c>
      <c r="Q77" s="243">
        <v>0</v>
      </c>
      <c r="R77" s="254">
        <f t="shared" ref="R77:R88" si="13">SUM(C77:Q77)</f>
        <v>460.32687382084782</v>
      </c>
      <c r="U77" s="437"/>
      <c r="V77" s="252" t="s">
        <v>373</v>
      </c>
      <c r="W77" s="243">
        <f>$O$77*'Prod Energie'!$D$53/(-$J$13)</f>
        <v>0</v>
      </c>
      <c r="X77" s="243">
        <v>0</v>
      </c>
      <c r="Y77" s="243">
        <f>AI77*'Prod Energie'!$D$54/(-$J$13)</f>
        <v>54.216420666321383</v>
      </c>
      <c r="Z77" s="243">
        <v>0</v>
      </c>
      <c r="AA77" s="243">
        <v>0</v>
      </c>
      <c r="AB77" s="243">
        <f>(AI77)*('Prod Energie'!$D$55+'Prod Energie'!$D$60+'Prod Energie'!$D$61)/(-$J$13)</f>
        <v>1816.2500923217663</v>
      </c>
      <c r="AC77" s="255">
        <f>(AI77)*'Prod Energie'!$D$59/(-$J$13)</f>
        <v>234.99643523405894</v>
      </c>
      <c r="AD77" s="255">
        <f>(AI77)*('Prod Energie'!$D$57)/(-$J$13)</f>
        <v>0</v>
      </c>
      <c r="AE77" s="255">
        <f>(AI77)*('Prod Energie'!$D$58)/(-$J$13)</f>
        <v>605.35808509392245</v>
      </c>
      <c r="AF77" s="255">
        <f>(AI77)*('Prod Energie'!$D$62)/(-$J$13)</f>
        <v>0</v>
      </c>
      <c r="AG77" s="255">
        <v>0</v>
      </c>
      <c r="AH77" s="255">
        <f>(AI77)*'Prod Energie'!D56/(-$J$13)</f>
        <v>0</v>
      </c>
      <c r="AI77" s="243">
        <f>AI88/(1+$F$17+$F$18)</f>
        <v>-867.46273066114213</v>
      </c>
      <c r="AJ77" s="243">
        <v>0</v>
      </c>
      <c r="AK77" s="243">
        <v>0</v>
      </c>
      <c r="AL77" s="254">
        <f t="shared" ref="AL77:AL88" si="14">SUM(W77:AK77)</f>
        <v>1843.358302654927</v>
      </c>
    </row>
    <row r="78" spans="1:38" ht="14.4" customHeight="1">
      <c r="A78" s="437"/>
      <c r="B78" s="252" t="s">
        <v>374</v>
      </c>
      <c r="C78" s="243">
        <v>0</v>
      </c>
      <c r="D78" s="243">
        <v>0</v>
      </c>
      <c r="E78" s="243">
        <v>0</v>
      </c>
      <c r="F78" s="243">
        <v>0</v>
      </c>
      <c r="G78" s="243">
        <v>0</v>
      </c>
      <c r="H78" s="243">
        <v>0</v>
      </c>
      <c r="I78" s="255">
        <f>$P$78*$L$18*V$17</f>
        <v>0</v>
      </c>
      <c r="J78" s="255">
        <f t="shared" ref="J78:N78" si="15">$P$78*$L$18*W$17</f>
        <v>0</v>
      </c>
      <c r="K78" s="255">
        <f t="shared" si="15"/>
        <v>0</v>
      </c>
      <c r="L78" s="255">
        <f t="shared" si="15"/>
        <v>0</v>
      </c>
      <c r="M78" s="255">
        <f t="shared" si="15"/>
        <v>0</v>
      </c>
      <c r="N78" s="255">
        <f t="shared" si="15"/>
        <v>0</v>
      </c>
      <c r="O78" s="243">
        <v>0</v>
      </c>
      <c r="P78" s="243">
        <f>P88/(1+$R$18)</f>
        <v>0</v>
      </c>
      <c r="Q78" s="243">
        <v>0</v>
      </c>
      <c r="R78" s="254">
        <f t="shared" si="13"/>
        <v>0</v>
      </c>
      <c r="U78" s="437"/>
      <c r="V78" s="252" t="s">
        <v>374</v>
      </c>
      <c r="W78" s="243">
        <v>0</v>
      </c>
      <c r="X78" s="243">
        <v>0</v>
      </c>
      <c r="Y78" s="243">
        <v>0</v>
      </c>
      <c r="Z78" s="243">
        <v>0</v>
      </c>
      <c r="AA78" s="243">
        <v>0</v>
      </c>
      <c r="AB78" s="243">
        <v>0</v>
      </c>
      <c r="AC78" s="255">
        <f>$AJ$78*$L$18*V$17</f>
        <v>0</v>
      </c>
      <c r="AD78" s="255">
        <f t="shared" ref="AD78:AH78" si="16">$AJ$78*$L$18*W$17</f>
        <v>0</v>
      </c>
      <c r="AE78" s="255">
        <f t="shared" si="16"/>
        <v>0</v>
      </c>
      <c r="AF78" s="255">
        <f t="shared" si="16"/>
        <v>0</v>
      </c>
      <c r="AG78" s="255">
        <f t="shared" si="16"/>
        <v>0</v>
      </c>
      <c r="AH78" s="255">
        <f t="shared" si="16"/>
        <v>0</v>
      </c>
      <c r="AI78" s="243">
        <v>0</v>
      </c>
      <c r="AJ78" s="243">
        <f>AJ88/(1+$R$18)</f>
        <v>0</v>
      </c>
      <c r="AK78" s="243">
        <v>0</v>
      </c>
      <c r="AL78" s="254">
        <f t="shared" si="14"/>
        <v>0</v>
      </c>
    </row>
    <row r="79" spans="1:38" ht="14.4" customHeight="1">
      <c r="A79" s="437"/>
      <c r="B79" s="252" t="s">
        <v>375</v>
      </c>
      <c r="C79" s="243">
        <v>0</v>
      </c>
      <c r="D79" s="243">
        <v>0</v>
      </c>
      <c r="E79" s="243">
        <v>0</v>
      </c>
      <c r="F79" s="243">
        <v>0</v>
      </c>
      <c r="G79" s="243">
        <v>0</v>
      </c>
      <c r="H79" s="243">
        <v>0</v>
      </c>
      <c r="I79" s="256">
        <v>0</v>
      </c>
      <c r="J79" s="256">
        <v>0</v>
      </c>
      <c r="K79" s="256">
        <v>0</v>
      </c>
      <c r="L79" s="256">
        <v>0</v>
      </c>
      <c r="M79" s="256">
        <v>0</v>
      </c>
      <c r="N79" s="256">
        <v>0</v>
      </c>
      <c r="O79" s="243">
        <v>0</v>
      </c>
      <c r="P79" s="243">
        <v>0</v>
      </c>
      <c r="Q79" s="243">
        <v>0</v>
      </c>
      <c r="R79" s="254">
        <f t="shared" si="13"/>
        <v>0</v>
      </c>
      <c r="U79" s="437"/>
      <c r="V79" s="252" t="s">
        <v>375</v>
      </c>
      <c r="W79" s="243">
        <v>0</v>
      </c>
      <c r="X79" s="243">
        <v>0</v>
      </c>
      <c r="Y79" s="243">
        <v>0</v>
      </c>
      <c r="Z79" s="243">
        <v>0</v>
      </c>
      <c r="AA79" s="243">
        <v>0</v>
      </c>
      <c r="AB79" s="243">
        <v>0</v>
      </c>
      <c r="AC79" s="256">
        <v>0</v>
      </c>
      <c r="AD79" s="256">
        <v>0</v>
      </c>
      <c r="AE79" s="256">
        <v>0</v>
      </c>
      <c r="AF79" s="256">
        <v>0</v>
      </c>
      <c r="AG79" s="256">
        <v>0</v>
      </c>
      <c r="AH79" s="256">
        <v>0</v>
      </c>
      <c r="AI79" s="243">
        <v>0</v>
      </c>
      <c r="AJ79" s="243">
        <v>0</v>
      </c>
      <c r="AK79" s="243">
        <v>0</v>
      </c>
      <c r="AL79" s="254">
        <f t="shared" si="14"/>
        <v>0</v>
      </c>
    </row>
    <row r="80" spans="1:38" ht="14.4" customHeight="1">
      <c r="A80" s="437"/>
      <c r="B80" s="252" t="s">
        <v>376</v>
      </c>
      <c r="C80" s="243">
        <v>0</v>
      </c>
      <c r="D80" s="243">
        <v>0</v>
      </c>
      <c r="E80" s="243">
        <v>0</v>
      </c>
      <c r="F80" s="243">
        <v>0</v>
      </c>
      <c r="G80" s="243">
        <v>0</v>
      </c>
      <c r="H80" s="243">
        <v>0</v>
      </c>
      <c r="I80" s="243">
        <v>0</v>
      </c>
      <c r="J80" s="243">
        <v>0</v>
      </c>
      <c r="K80" s="243">
        <v>0</v>
      </c>
      <c r="L80" s="243">
        <v>0</v>
      </c>
      <c r="M80" s="243">
        <v>0</v>
      </c>
      <c r="N80" s="243">
        <v>0</v>
      </c>
      <c r="O80" s="243">
        <v>0</v>
      </c>
      <c r="P80" s="243">
        <v>0</v>
      </c>
      <c r="Q80" s="243">
        <v>0</v>
      </c>
      <c r="R80" s="254">
        <f t="shared" si="13"/>
        <v>0</v>
      </c>
      <c r="U80" s="437"/>
      <c r="V80" s="252" t="s">
        <v>376</v>
      </c>
      <c r="W80" s="243">
        <v>0</v>
      </c>
      <c r="X80" s="243">
        <v>0</v>
      </c>
      <c r="Y80" s="243">
        <v>0</v>
      </c>
      <c r="Z80" s="243">
        <v>0</v>
      </c>
      <c r="AA80" s="243">
        <v>0</v>
      </c>
      <c r="AB80" s="243">
        <v>0</v>
      </c>
      <c r="AC80" s="243">
        <v>0</v>
      </c>
      <c r="AD80" s="243">
        <v>0</v>
      </c>
      <c r="AE80" s="243">
        <v>0</v>
      </c>
      <c r="AF80" s="243">
        <v>0</v>
      </c>
      <c r="AG80" s="243">
        <v>0</v>
      </c>
      <c r="AH80" s="243">
        <v>0</v>
      </c>
      <c r="AI80" s="243">
        <v>0</v>
      </c>
      <c r="AJ80" s="243">
        <v>0</v>
      </c>
      <c r="AK80" s="243">
        <v>0</v>
      </c>
      <c r="AL80" s="254">
        <f t="shared" si="14"/>
        <v>0</v>
      </c>
    </row>
    <row r="81" spans="1:38" ht="14.4" customHeight="1">
      <c r="A81" s="437"/>
      <c r="B81" s="252" t="s">
        <v>36</v>
      </c>
      <c r="C81" s="243">
        <v>0</v>
      </c>
      <c r="D81" s="243">
        <v>0</v>
      </c>
      <c r="E81" s="243">
        <v>0</v>
      </c>
      <c r="F81" s="243">
        <v>0</v>
      </c>
      <c r="G81" s="243">
        <v>0</v>
      </c>
      <c r="H81" s="243">
        <v>0</v>
      </c>
      <c r="I81" s="243">
        <v>0</v>
      </c>
      <c r="J81" s="243">
        <v>0</v>
      </c>
      <c r="K81" s="243">
        <v>0</v>
      </c>
      <c r="L81" s="243">
        <v>0</v>
      </c>
      <c r="M81" s="243">
        <v>0</v>
      </c>
      <c r="N81" s="243">
        <v>0</v>
      </c>
      <c r="O81" s="243">
        <v>0</v>
      </c>
      <c r="P81" s="243">
        <v>0</v>
      </c>
      <c r="Q81" s="243">
        <v>0</v>
      </c>
      <c r="R81" s="254">
        <f t="shared" si="13"/>
        <v>0</v>
      </c>
      <c r="U81" s="437"/>
      <c r="V81" s="252" t="s">
        <v>36</v>
      </c>
      <c r="W81" s="243">
        <v>0</v>
      </c>
      <c r="X81" s="243">
        <v>0</v>
      </c>
      <c r="Y81" s="243">
        <v>0</v>
      </c>
      <c r="Z81" s="243">
        <v>0</v>
      </c>
      <c r="AA81" s="243">
        <v>0</v>
      </c>
      <c r="AB81" s="243">
        <v>0</v>
      </c>
      <c r="AC81" s="243">
        <v>0</v>
      </c>
      <c r="AD81" s="243">
        <v>0</v>
      </c>
      <c r="AE81" s="243">
        <v>0</v>
      </c>
      <c r="AF81" s="243">
        <v>0</v>
      </c>
      <c r="AG81" s="243">
        <v>0</v>
      </c>
      <c r="AH81" s="243">
        <v>0</v>
      </c>
      <c r="AI81" s="243">
        <v>0</v>
      </c>
      <c r="AJ81" s="243">
        <v>0</v>
      </c>
      <c r="AK81" s="243">
        <v>0</v>
      </c>
      <c r="AL81" s="254">
        <f t="shared" si="14"/>
        <v>0</v>
      </c>
    </row>
    <row r="82" spans="1:38" ht="14.4" customHeight="1">
      <c r="A82" s="437"/>
      <c r="B82" s="252" t="s">
        <v>377</v>
      </c>
      <c r="C82" s="243">
        <v>0</v>
      </c>
      <c r="D82" s="243">
        <v>0</v>
      </c>
      <c r="E82" s="243">
        <v>0</v>
      </c>
      <c r="F82" s="243">
        <v>0</v>
      </c>
      <c r="G82" s="243">
        <v>0</v>
      </c>
      <c r="H82" s="243">
        <v>0</v>
      </c>
      <c r="I82" s="243">
        <v>0</v>
      </c>
      <c r="J82" s="243">
        <v>0</v>
      </c>
      <c r="K82" s="243">
        <v>0</v>
      </c>
      <c r="L82" s="243">
        <v>0</v>
      </c>
      <c r="M82" s="243">
        <v>0</v>
      </c>
      <c r="N82" s="243">
        <v>0</v>
      </c>
      <c r="O82" s="243">
        <v>0</v>
      </c>
      <c r="P82" s="243">
        <v>0</v>
      </c>
      <c r="Q82" s="243">
        <v>0</v>
      </c>
      <c r="R82" s="254">
        <f t="shared" si="13"/>
        <v>0</v>
      </c>
      <c r="U82" s="437"/>
      <c r="V82" s="252" t="s">
        <v>377</v>
      </c>
      <c r="W82" s="243">
        <v>0</v>
      </c>
      <c r="X82" s="243">
        <v>0</v>
      </c>
      <c r="Y82" s="243">
        <v>0</v>
      </c>
      <c r="Z82" s="243">
        <v>0</v>
      </c>
      <c r="AA82" s="243">
        <v>0</v>
      </c>
      <c r="AB82" s="243">
        <v>0</v>
      </c>
      <c r="AC82" s="243">
        <v>0</v>
      </c>
      <c r="AD82" s="243">
        <v>0</v>
      </c>
      <c r="AE82" s="243">
        <v>0</v>
      </c>
      <c r="AF82" s="243">
        <v>0</v>
      </c>
      <c r="AG82" s="243">
        <v>0</v>
      </c>
      <c r="AH82" s="243">
        <v>0</v>
      </c>
      <c r="AI82" s="243">
        <v>0</v>
      </c>
      <c r="AJ82" s="243">
        <v>0</v>
      </c>
      <c r="AK82" s="243">
        <v>0</v>
      </c>
      <c r="AL82" s="254">
        <f t="shared" si="14"/>
        <v>0</v>
      </c>
    </row>
    <row r="83" spans="1:38" ht="14.4" customHeight="1">
      <c r="A83" s="437"/>
      <c r="B83" s="252" t="s">
        <v>378</v>
      </c>
      <c r="C83" s="243">
        <v>0</v>
      </c>
      <c r="D83" s="243">
        <v>0</v>
      </c>
      <c r="E83" s="243">
        <v>0</v>
      </c>
      <c r="F83" s="243">
        <v>0</v>
      </c>
      <c r="G83" s="243">
        <v>0</v>
      </c>
      <c r="H83" s="243">
        <v>0</v>
      </c>
      <c r="I83" s="243">
        <v>0</v>
      </c>
      <c r="J83" s="243">
        <v>0</v>
      </c>
      <c r="K83" s="243">
        <v>0</v>
      </c>
      <c r="L83" s="243">
        <v>0</v>
      </c>
      <c r="M83" s="243">
        <v>0</v>
      </c>
      <c r="N83" s="243">
        <v>0</v>
      </c>
      <c r="O83" s="243">
        <v>0</v>
      </c>
      <c r="P83" s="243">
        <v>0</v>
      </c>
      <c r="Q83" s="243">
        <v>0</v>
      </c>
      <c r="R83" s="254">
        <f t="shared" si="13"/>
        <v>0</v>
      </c>
      <c r="U83" s="437"/>
      <c r="V83" s="252" t="s">
        <v>378</v>
      </c>
      <c r="W83" s="243">
        <v>0</v>
      </c>
      <c r="X83" s="243">
        <v>0</v>
      </c>
      <c r="Y83" s="243">
        <v>0</v>
      </c>
      <c r="Z83" s="243">
        <v>0</v>
      </c>
      <c r="AA83" s="243">
        <v>0</v>
      </c>
      <c r="AB83" s="243">
        <v>0</v>
      </c>
      <c r="AC83" s="243">
        <v>0</v>
      </c>
      <c r="AD83" s="243">
        <v>0</v>
      </c>
      <c r="AE83" s="243">
        <v>0</v>
      </c>
      <c r="AF83" s="243">
        <v>0</v>
      </c>
      <c r="AG83" s="243">
        <v>0</v>
      </c>
      <c r="AH83" s="243">
        <v>0</v>
      </c>
      <c r="AI83" s="243">
        <v>0</v>
      </c>
      <c r="AJ83" s="243">
        <v>0</v>
      </c>
      <c r="AK83" s="243">
        <v>0</v>
      </c>
      <c r="AL83" s="254">
        <f t="shared" si="14"/>
        <v>0</v>
      </c>
    </row>
    <row r="84" spans="1:38" ht="14.4" customHeight="1">
      <c r="A84" s="437"/>
      <c r="B84" s="252" t="s">
        <v>379</v>
      </c>
      <c r="C84" s="243">
        <v>0</v>
      </c>
      <c r="D84" s="243">
        <v>0</v>
      </c>
      <c r="E84" s="243">
        <v>0</v>
      </c>
      <c r="F84" s="243">
        <v>0</v>
      </c>
      <c r="G84" s="243">
        <v>0</v>
      </c>
      <c r="H84" s="243">
        <v>0</v>
      </c>
      <c r="I84" s="243">
        <v>0</v>
      </c>
      <c r="J84" s="243">
        <v>0</v>
      </c>
      <c r="K84" s="243">
        <v>0</v>
      </c>
      <c r="L84" s="243">
        <v>0</v>
      </c>
      <c r="M84" s="243">
        <v>0</v>
      </c>
      <c r="N84" s="243">
        <v>0</v>
      </c>
      <c r="O84" s="243">
        <v>0</v>
      </c>
      <c r="P84" s="243">
        <v>0</v>
      </c>
      <c r="Q84" s="243">
        <v>0</v>
      </c>
      <c r="R84" s="254">
        <f t="shared" si="13"/>
        <v>0</v>
      </c>
      <c r="U84" s="437"/>
      <c r="V84" s="252" t="s">
        <v>379</v>
      </c>
      <c r="W84" s="243">
        <v>0</v>
      </c>
      <c r="X84" s="243">
        <v>0</v>
      </c>
      <c r="Y84" s="243">
        <v>0</v>
      </c>
      <c r="Z84" s="243">
        <v>0</v>
      </c>
      <c r="AA84" s="243">
        <v>0</v>
      </c>
      <c r="AB84" s="243">
        <v>0</v>
      </c>
      <c r="AC84" s="243">
        <v>0</v>
      </c>
      <c r="AD84" s="243">
        <v>0</v>
      </c>
      <c r="AE84" s="243">
        <v>0</v>
      </c>
      <c r="AF84" s="243">
        <v>0</v>
      </c>
      <c r="AG84" s="243">
        <v>0</v>
      </c>
      <c r="AH84" s="243">
        <v>0</v>
      </c>
      <c r="AI84" s="243">
        <v>0</v>
      </c>
      <c r="AJ84" s="243">
        <v>0</v>
      </c>
      <c r="AK84" s="243">
        <v>0</v>
      </c>
      <c r="AL84" s="254">
        <f t="shared" si="14"/>
        <v>0</v>
      </c>
    </row>
    <row r="85" spans="1:38" ht="14.4" customHeight="1">
      <c r="A85" s="437"/>
      <c r="B85" s="252" t="s">
        <v>37</v>
      </c>
      <c r="C85" s="243">
        <v>0</v>
      </c>
      <c r="D85" s="243">
        <v>0</v>
      </c>
      <c r="E85" s="243">
        <v>0</v>
      </c>
      <c r="F85" s="243">
        <v>0</v>
      </c>
      <c r="G85" s="243">
        <v>0</v>
      </c>
      <c r="H85" s="243">
        <v>0</v>
      </c>
      <c r="I85" s="243">
        <v>0</v>
      </c>
      <c r="J85" s="243">
        <v>0</v>
      </c>
      <c r="K85" s="243">
        <v>0</v>
      </c>
      <c r="L85" s="243">
        <v>0</v>
      </c>
      <c r="M85" s="243">
        <v>0</v>
      </c>
      <c r="N85" s="243">
        <v>0</v>
      </c>
      <c r="O85" s="243">
        <v>0</v>
      </c>
      <c r="P85" s="243">
        <v>0</v>
      </c>
      <c r="Q85" s="243">
        <v>0</v>
      </c>
      <c r="R85" s="254">
        <f t="shared" si="13"/>
        <v>0</v>
      </c>
      <c r="U85" s="437"/>
      <c r="V85" s="252" t="s">
        <v>37</v>
      </c>
      <c r="W85" s="243">
        <v>0</v>
      </c>
      <c r="X85" s="243">
        <v>0</v>
      </c>
      <c r="Y85" s="243">
        <v>0</v>
      </c>
      <c r="Z85" s="243">
        <v>0</v>
      </c>
      <c r="AA85" s="243">
        <v>0</v>
      </c>
      <c r="AB85" s="243">
        <v>0</v>
      </c>
      <c r="AC85" s="243">
        <v>0</v>
      </c>
      <c r="AD85" s="243">
        <v>0</v>
      </c>
      <c r="AE85" s="243">
        <v>0</v>
      </c>
      <c r="AF85" s="243">
        <v>0</v>
      </c>
      <c r="AG85" s="243">
        <v>0</v>
      </c>
      <c r="AH85" s="243">
        <v>0</v>
      </c>
      <c r="AI85" s="243">
        <v>0</v>
      </c>
      <c r="AJ85" s="243">
        <v>0</v>
      </c>
      <c r="AK85" s="243">
        <v>0</v>
      </c>
      <c r="AL85" s="254">
        <f t="shared" si="14"/>
        <v>0</v>
      </c>
    </row>
    <row r="86" spans="1:38" ht="14.4" customHeight="1">
      <c r="A86" s="437"/>
      <c r="B86" s="252" t="s">
        <v>38</v>
      </c>
      <c r="C86" s="243">
        <v>0</v>
      </c>
      <c r="D86" s="243">
        <v>0</v>
      </c>
      <c r="E86" s="243">
        <v>0</v>
      </c>
      <c r="F86" s="243">
        <v>0</v>
      </c>
      <c r="G86" s="243">
        <v>0</v>
      </c>
      <c r="H86" s="243">
        <v>0</v>
      </c>
      <c r="I86" s="243">
        <v>0</v>
      </c>
      <c r="J86" s="243">
        <v>0</v>
      </c>
      <c r="K86" s="243">
        <v>0</v>
      </c>
      <c r="L86" s="243">
        <v>0</v>
      </c>
      <c r="M86" s="243">
        <v>0</v>
      </c>
      <c r="N86" s="243">
        <v>0</v>
      </c>
      <c r="O86" s="243">
        <f>O77*$F$17</f>
        <v>11.116633086019966</v>
      </c>
      <c r="P86" s="243">
        <v>0</v>
      </c>
      <c r="Q86" s="243">
        <v>0</v>
      </c>
      <c r="R86" s="254">
        <f t="shared" si="13"/>
        <v>11.116633086019966</v>
      </c>
      <c r="U86" s="437"/>
      <c r="V86" s="252" t="s">
        <v>38</v>
      </c>
      <c r="W86" s="243">
        <v>0</v>
      </c>
      <c r="X86" s="243">
        <v>0</v>
      </c>
      <c r="Y86" s="243">
        <v>0</v>
      </c>
      <c r="Z86" s="243">
        <v>0</v>
      </c>
      <c r="AA86" s="243">
        <v>0</v>
      </c>
      <c r="AB86" s="243">
        <v>0</v>
      </c>
      <c r="AC86" s="243">
        <v>0</v>
      </c>
      <c r="AD86" s="243">
        <v>0</v>
      </c>
      <c r="AE86" s="243">
        <v>0</v>
      </c>
      <c r="AF86" s="243">
        <v>0</v>
      </c>
      <c r="AG86" s="243">
        <v>0</v>
      </c>
      <c r="AH86" s="243">
        <v>0</v>
      </c>
      <c r="AI86" s="243">
        <f>AI77*$F$17</f>
        <v>10.274401449387119</v>
      </c>
      <c r="AJ86" s="243">
        <v>0</v>
      </c>
      <c r="AK86" s="243">
        <v>0</v>
      </c>
      <c r="AL86" s="254">
        <f t="shared" si="14"/>
        <v>10.274401449387119</v>
      </c>
    </row>
    <row r="87" spans="1:38" ht="14.4" customHeight="1">
      <c r="A87" s="437"/>
      <c r="B87" s="252" t="s">
        <v>39</v>
      </c>
      <c r="C87" s="243">
        <v>0</v>
      </c>
      <c r="D87" s="243">
        <v>0</v>
      </c>
      <c r="E87" s="243">
        <v>0</v>
      </c>
      <c r="F87" s="243">
        <v>0</v>
      </c>
      <c r="G87" s="243">
        <v>0</v>
      </c>
      <c r="H87" s="243">
        <v>0</v>
      </c>
      <c r="I87" s="243">
        <v>0</v>
      </c>
      <c r="J87" s="243">
        <v>0</v>
      </c>
      <c r="K87" s="243">
        <v>0</v>
      </c>
      <c r="L87" s="243">
        <v>0</v>
      </c>
      <c r="M87" s="243">
        <v>0</v>
      </c>
      <c r="N87" s="243">
        <v>0</v>
      </c>
      <c r="O87" s="243">
        <f>O77*$F$18</f>
        <v>92.340569015750134</v>
      </c>
      <c r="P87" s="243">
        <f>P78*$R$18</f>
        <v>0</v>
      </c>
      <c r="Q87" s="243">
        <v>0</v>
      </c>
      <c r="R87" s="254">
        <f t="shared" si="13"/>
        <v>92.340569015750134</v>
      </c>
      <c r="S87" s="259"/>
      <c r="U87" s="437"/>
      <c r="V87" s="252" t="s">
        <v>39</v>
      </c>
      <c r="W87" s="243">
        <v>0</v>
      </c>
      <c r="X87" s="243">
        <v>0</v>
      </c>
      <c r="Y87" s="243">
        <v>0</v>
      </c>
      <c r="Z87" s="243">
        <v>0</v>
      </c>
      <c r="AA87" s="243">
        <v>0</v>
      </c>
      <c r="AB87" s="243">
        <v>0</v>
      </c>
      <c r="AC87" s="243">
        <v>0</v>
      </c>
      <c r="AD87" s="243">
        <v>0</v>
      </c>
      <c r="AE87" s="243">
        <v>0</v>
      </c>
      <c r="AF87" s="243">
        <v>0</v>
      </c>
      <c r="AG87" s="243">
        <v>0</v>
      </c>
      <c r="AH87" s="243">
        <v>0</v>
      </c>
      <c r="AI87" s="243">
        <f>AI77*$F$18</f>
        <v>85.344552508958316</v>
      </c>
      <c r="AJ87" s="243">
        <f>AJ78*$R$18</f>
        <v>0</v>
      </c>
      <c r="AK87" s="243">
        <v>0</v>
      </c>
      <c r="AL87" s="254">
        <f t="shared" si="14"/>
        <v>85.344552508958316</v>
      </c>
    </row>
    <row r="88" spans="1:38" ht="14.4" customHeight="1">
      <c r="A88" s="437"/>
      <c r="B88" s="247" t="s">
        <v>40</v>
      </c>
      <c r="C88" s="248">
        <f>SUM(C76:C87)</f>
        <v>0</v>
      </c>
      <c r="D88" s="248">
        <f t="shared" ref="D88:Q88" si="17">SUM(D76:D87)</f>
        <v>0</v>
      </c>
      <c r="E88" s="248">
        <f t="shared" si="17"/>
        <v>42.662360873109158</v>
      </c>
      <c r="F88" s="248">
        <f t="shared" si="17"/>
        <v>0</v>
      </c>
      <c r="G88" s="248">
        <f t="shared" si="17"/>
        <v>0</v>
      </c>
      <c r="H88" s="248">
        <f t="shared" si="17"/>
        <v>628.84319926962905</v>
      </c>
      <c r="I88" s="248">
        <f t="shared" si="17"/>
        <v>203.40798711348924</v>
      </c>
      <c r="J88" s="248">
        <f t="shared" si="17"/>
        <v>0</v>
      </c>
      <c r="K88" s="248">
        <f t="shared" si="17"/>
        <v>523.98526577302187</v>
      </c>
      <c r="L88" s="248">
        <f t="shared" si="17"/>
        <v>0</v>
      </c>
      <c r="M88" s="248">
        <f t="shared" si="17"/>
        <v>0</v>
      </c>
      <c r="N88" s="248">
        <f t="shared" si="17"/>
        <v>0</v>
      </c>
      <c r="O88" s="248">
        <f>-O98</f>
        <v>-835.11473710663142</v>
      </c>
      <c r="P88" s="248">
        <f>-P90</f>
        <v>0</v>
      </c>
      <c r="Q88" s="248">
        <f t="shared" si="17"/>
        <v>0</v>
      </c>
      <c r="R88" s="248">
        <f t="shared" si="13"/>
        <v>563.78407592261794</v>
      </c>
      <c r="U88" s="437"/>
      <c r="V88" s="247" t="s">
        <v>40</v>
      </c>
      <c r="W88" s="248">
        <f>SUM(W76:W87)</f>
        <v>0</v>
      </c>
      <c r="X88" s="248">
        <f t="shared" ref="X88" si="18">SUM(X76:X87)</f>
        <v>0</v>
      </c>
      <c r="Y88" s="248">
        <f t="shared" ref="Y88" si="19">SUM(Y76:Y87)</f>
        <v>54.216420666321383</v>
      </c>
      <c r="Z88" s="248">
        <f t="shared" ref="Z88" si="20">SUM(Z76:Z87)</f>
        <v>0</v>
      </c>
      <c r="AA88" s="248">
        <f t="shared" ref="AA88" si="21">SUM(AA76:AA87)</f>
        <v>0</v>
      </c>
      <c r="AB88" s="248">
        <f t="shared" ref="AB88" si="22">SUM(AB76:AB87)</f>
        <v>1816.2500923217663</v>
      </c>
      <c r="AC88" s="248">
        <f t="shared" ref="AC88" si="23">SUM(AC76:AC87)</f>
        <v>234.99643523405894</v>
      </c>
      <c r="AD88" s="248">
        <f t="shared" ref="AD88" si="24">SUM(AD76:AD87)</f>
        <v>0</v>
      </c>
      <c r="AE88" s="248">
        <f t="shared" ref="AE88" si="25">SUM(AE76:AE87)</f>
        <v>605.35808509392245</v>
      </c>
      <c r="AF88" s="248">
        <f t="shared" ref="AF88" si="26">SUM(AF76:AF87)</f>
        <v>0</v>
      </c>
      <c r="AG88" s="248">
        <f t="shared" ref="AG88" si="27">SUM(AG76:AG87)</f>
        <v>0</v>
      </c>
      <c r="AH88" s="248">
        <f t="shared" ref="AH88" si="28">SUM(AH76:AH87)</f>
        <v>0</v>
      </c>
      <c r="AI88" s="248">
        <f>-AI98</f>
        <v>-771.84377670279673</v>
      </c>
      <c r="AJ88" s="248">
        <f>-AJ90</f>
        <v>0</v>
      </c>
      <c r="AK88" s="248">
        <f t="shared" ref="AK88" si="29">SUM(AK76:AK87)</f>
        <v>0</v>
      </c>
      <c r="AL88" s="248">
        <f t="shared" si="14"/>
        <v>1938.9772566132724</v>
      </c>
    </row>
    <row r="89" spans="1:38" ht="14.4" customHeight="1">
      <c r="A89" s="437"/>
      <c r="B89" s="249"/>
      <c r="C89" s="250"/>
      <c r="D89" s="250"/>
      <c r="E89" s="257"/>
      <c r="F89" s="250"/>
      <c r="G89" s="250"/>
      <c r="H89" s="250"/>
      <c r="I89" s="257"/>
      <c r="J89" s="250"/>
      <c r="K89" s="250"/>
      <c r="L89" s="250"/>
      <c r="M89" s="258"/>
      <c r="N89" s="250"/>
      <c r="O89" s="250"/>
      <c r="P89" s="250"/>
      <c r="Q89" s="250"/>
      <c r="R89" s="250"/>
      <c r="U89" s="437"/>
      <c r="V89" s="249"/>
      <c r="W89" s="250"/>
      <c r="X89" s="250"/>
      <c r="Y89" s="257"/>
      <c r="Z89" s="250"/>
      <c r="AA89" s="250"/>
      <c r="AB89" s="250"/>
      <c r="AC89" s="257"/>
      <c r="AD89" s="250"/>
      <c r="AE89" s="250"/>
      <c r="AF89" s="250"/>
      <c r="AG89" s="258"/>
      <c r="AH89" s="250"/>
      <c r="AI89" s="250"/>
      <c r="AJ89" s="250"/>
      <c r="AK89" s="250"/>
      <c r="AL89" s="250"/>
    </row>
    <row r="90" spans="1:38" ht="14.4" customHeight="1">
      <c r="A90" s="437"/>
      <c r="B90" s="252" t="s">
        <v>41</v>
      </c>
      <c r="C90" s="243">
        <v>0</v>
      </c>
      <c r="D90" s="243">
        <v>0</v>
      </c>
      <c r="E90" s="243">
        <f>Industrie!$D$35</f>
        <v>13.576851906198302</v>
      </c>
      <c r="F90" s="243">
        <v>0</v>
      </c>
      <c r="G90" s="243">
        <v>0</v>
      </c>
      <c r="H90" s="243">
        <v>0</v>
      </c>
      <c r="I90" s="243">
        <f>Industrie!$D$38*$I$49/SUM($I$49:$N$49)</f>
        <v>1.0772794144514546</v>
      </c>
      <c r="J90" s="243">
        <f>Industrie!$D$38*$J$49/SUM($I$49:$N$49)</f>
        <v>0</v>
      </c>
      <c r="K90" s="243">
        <f>Industrie!$D$38*$K$49/SUM($I$49:$N$49)</f>
        <v>0</v>
      </c>
      <c r="L90" s="243">
        <f>Industrie!$D$38*$L$49/SUM($I$49:$N$49)</f>
        <v>0</v>
      </c>
      <c r="M90" s="243">
        <f>Industrie!$D$38*$M$49/SUM($I$49:$N$49)</f>
        <v>0</v>
      </c>
      <c r="N90" s="243">
        <f>Industrie!$D$38*$N$49/SUM($I$49:$N$49)</f>
        <v>0</v>
      </c>
      <c r="O90" s="243">
        <f>Industrie!$D$36</f>
        <v>34.611509537769045</v>
      </c>
      <c r="P90" s="243">
        <f>Industrie!$D$39</f>
        <v>0</v>
      </c>
      <c r="Q90" s="243">
        <v>0</v>
      </c>
      <c r="R90" s="254">
        <f>SUM(C90:Q90)</f>
        <v>49.265640858418806</v>
      </c>
      <c r="U90" s="437"/>
      <c r="V90" s="252" t="s">
        <v>41</v>
      </c>
      <c r="W90" s="243">
        <v>0</v>
      </c>
      <c r="X90" s="243">
        <v>0</v>
      </c>
      <c r="Y90" s="243">
        <f>Industrie!$D$56</f>
        <v>10.666357498836453</v>
      </c>
      <c r="Z90" s="243">
        <v>0</v>
      </c>
      <c r="AA90" s="243">
        <v>0</v>
      </c>
      <c r="AB90" s="243">
        <v>0</v>
      </c>
      <c r="AC90" s="243">
        <f>Industrie!$D$62*$AC$49/SUM($I$49:$N$49)</f>
        <v>2.2624302476555052</v>
      </c>
      <c r="AD90" s="243">
        <f>Industrie!$D$62*$AD$49/SUM($I$49:$N$49)</f>
        <v>0</v>
      </c>
      <c r="AE90" s="243">
        <f>Industrie!$D$62*$AE$49/SUM($I$49:$N$49)</f>
        <v>0</v>
      </c>
      <c r="AF90" s="243">
        <f>Industrie!$D$62*$AF$49/SUM($I$49:$N$49)</f>
        <v>0</v>
      </c>
      <c r="AG90" s="243">
        <f>Industrie!$D$62*$AG$49/SUM($I$49:$N$49)</f>
        <v>0</v>
      </c>
      <c r="AH90" s="243">
        <f>Industrie!$D$62*$AH$49/SUM($I$49:$N$49)</f>
        <v>0</v>
      </c>
      <c r="AI90" s="243">
        <f>Industrie!$D$57</f>
        <v>34.846987220418981</v>
      </c>
      <c r="AJ90" s="243">
        <f>Industrie!$D$63</f>
        <v>0</v>
      </c>
      <c r="AK90" s="243">
        <v>0</v>
      </c>
      <c r="AL90" s="254">
        <f>SUM(W90:AK90)</f>
        <v>47.775774966910937</v>
      </c>
    </row>
    <row r="91" spans="1:38" ht="14.4" customHeight="1">
      <c r="A91" s="437"/>
      <c r="B91" s="252" t="s">
        <v>42</v>
      </c>
      <c r="C91" s="243">
        <v>0</v>
      </c>
      <c r="D91" s="243">
        <v>0</v>
      </c>
      <c r="E91" s="243">
        <f>Transports!$F$44</f>
        <v>1268.5294485716151</v>
      </c>
      <c r="F91" s="243">
        <v>0</v>
      </c>
      <c r="G91" s="243">
        <v>0</v>
      </c>
      <c r="H91" s="243">
        <v>0</v>
      </c>
      <c r="I91" s="243">
        <v>0</v>
      </c>
      <c r="J91" s="243">
        <v>0</v>
      </c>
      <c r="K91" s="243">
        <v>0</v>
      </c>
      <c r="L91" s="243">
        <v>0</v>
      </c>
      <c r="M91" s="243">
        <v>0</v>
      </c>
      <c r="N91" s="243">
        <v>0</v>
      </c>
      <c r="O91" s="243">
        <f>Transports!$F$45</f>
        <v>12.512331492159692</v>
      </c>
      <c r="P91" s="243">
        <v>0</v>
      </c>
      <c r="Q91" s="243">
        <v>0</v>
      </c>
      <c r="R91" s="254">
        <f t="shared" ref="R91:R98" si="30">SUM(C91:Q91)</f>
        <v>1281.0417800637749</v>
      </c>
      <c r="U91" s="437"/>
      <c r="V91" s="252" t="s">
        <v>42</v>
      </c>
      <c r="W91" s="243">
        <v>0</v>
      </c>
      <c r="X91" s="243">
        <v>0</v>
      </c>
      <c r="Y91" s="243">
        <f>Transports!$F$71</f>
        <v>1247.6373146011506</v>
      </c>
      <c r="Z91" s="243">
        <v>0</v>
      </c>
      <c r="AA91" s="243">
        <v>0</v>
      </c>
      <c r="AB91" s="243">
        <v>0</v>
      </c>
      <c r="AC91" s="243">
        <v>0</v>
      </c>
      <c r="AD91" s="243">
        <v>0</v>
      </c>
      <c r="AE91" s="243">
        <v>0</v>
      </c>
      <c r="AF91" s="243">
        <v>0</v>
      </c>
      <c r="AG91" s="243">
        <v>0</v>
      </c>
      <c r="AH91" s="243">
        <v>0</v>
      </c>
      <c r="AI91" s="243">
        <f>Transports!$F$72</f>
        <v>16.481193071411948</v>
      </c>
      <c r="AJ91" s="243">
        <v>0</v>
      </c>
      <c r="AK91" s="243">
        <v>0</v>
      </c>
      <c r="AL91" s="254">
        <f t="shared" ref="AL91:AL98" si="31">SUM(W91:AK91)</f>
        <v>1264.1185076725626</v>
      </c>
    </row>
    <row r="92" spans="1:38" ht="14.4" customHeight="1">
      <c r="A92" s="437"/>
      <c r="B92" s="252" t="s">
        <v>43</v>
      </c>
      <c r="C92" s="243">
        <v>0</v>
      </c>
      <c r="D92" s="243">
        <v>0</v>
      </c>
      <c r="E92" s="243">
        <f>'Résidentiel-tertiaire'!$D$163</f>
        <v>51.780426669498389</v>
      </c>
      <c r="F92" s="243">
        <v>0</v>
      </c>
      <c r="G92" s="243">
        <v>0</v>
      </c>
      <c r="H92" s="243">
        <v>0</v>
      </c>
      <c r="I92" s="243">
        <f>'Résidentiel-tertiaire'!$D$164*$I$51/SUM($I$51:$N$51)</f>
        <v>0</v>
      </c>
      <c r="J92" s="243">
        <f>'Résidentiel-tertiaire'!$D$164*$J$51/SUM($I$51:$N$51)</f>
        <v>0</v>
      </c>
      <c r="K92" s="243">
        <f>'Résidentiel-tertiaire'!$D$164*$K$51/SUM($I$51:$N$51)</f>
        <v>0</v>
      </c>
      <c r="L92" s="243">
        <f>'Résidentiel-tertiaire'!$D$164*$L$51/SUM($I$51:$N$51)</f>
        <v>0</v>
      </c>
      <c r="M92" s="243">
        <f>'Résidentiel-tertiaire'!$D$164*$M$51/SUM($I$51:$N$51)</f>
        <v>0</v>
      </c>
      <c r="N92" s="243">
        <f>'Résidentiel-tertiaire'!$D$164*$N$51/SUM($I$51:$N$51)</f>
        <v>17.381049432414617</v>
      </c>
      <c r="O92" s="243">
        <f>'Résidentiel-tertiaire'!$D$165</f>
        <v>250.19931834945018</v>
      </c>
      <c r="P92" s="243">
        <v>0</v>
      </c>
      <c r="Q92" s="243">
        <v>0</v>
      </c>
      <c r="R92" s="254">
        <f t="shared" si="30"/>
        <v>319.36079445136318</v>
      </c>
      <c r="U92" s="437"/>
      <c r="V92" s="252" t="s">
        <v>43</v>
      </c>
      <c r="W92" s="243">
        <v>0</v>
      </c>
      <c r="X92" s="243">
        <v>0</v>
      </c>
      <c r="Y92" s="243">
        <f>'Résidentiel-tertiaire'!$D$177</f>
        <v>55.327458333333333</v>
      </c>
      <c r="Z92" s="243">
        <v>0</v>
      </c>
      <c r="AA92" s="243">
        <v>0</v>
      </c>
      <c r="AB92" s="243">
        <v>0</v>
      </c>
      <c r="AC92" s="243">
        <f>'Résidentiel-tertiaire'!$D$178*$AC$51/SUM($I$51:$N$51)</f>
        <v>0</v>
      </c>
      <c r="AD92" s="243">
        <f>'Résidentiel-tertiaire'!$D$178*$AD$51/SUM($I$51:$N$51)</f>
        <v>0</v>
      </c>
      <c r="AE92" s="243">
        <f>'Résidentiel-tertiaire'!$D$178*$AE$51/SUM($I$51:$N$51)</f>
        <v>0</v>
      </c>
      <c r="AF92" s="243">
        <f>'Résidentiel-tertiaire'!$D$178*$AF$51/SUM($I$51:$N$51)</f>
        <v>0</v>
      </c>
      <c r="AG92" s="243">
        <f>'Résidentiel-tertiaire'!$D$178*$AG$51/SUM($I$51:$N$51)</f>
        <v>0</v>
      </c>
      <c r="AH92" s="243">
        <f>'Résidentiel-tertiaire'!$D$178*$AH$51/SUM($I$51:$N$51)</f>
        <v>32.818067354707082</v>
      </c>
      <c r="AI92" s="243">
        <f>'Résidentiel-tertiaire'!$D$179</f>
        <v>214.58066742371938</v>
      </c>
      <c r="AJ92" s="243">
        <v>0</v>
      </c>
      <c r="AK92" s="243">
        <v>0</v>
      </c>
      <c r="AL92" s="254">
        <f t="shared" si="31"/>
        <v>302.72619311175981</v>
      </c>
    </row>
    <row r="93" spans="1:38" ht="14.4" customHeight="1">
      <c r="A93" s="437"/>
      <c r="B93" s="252" t="s">
        <v>44</v>
      </c>
      <c r="C93" s="243">
        <v>0</v>
      </c>
      <c r="D93" s="243">
        <v>0</v>
      </c>
      <c r="E93" s="243">
        <f>'Résidentiel-tertiaire'!$D$168</f>
        <v>0</v>
      </c>
      <c r="F93" s="243">
        <v>0</v>
      </c>
      <c r="G93" s="243">
        <v>0</v>
      </c>
      <c r="H93" s="243">
        <v>0</v>
      </c>
      <c r="I93" s="243">
        <f>'Résidentiel-tertiaire'!$D$169*$I$52/SUM($I$52:$N$52)</f>
        <v>0</v>
      </c>
      <c r="J93" s="243">
        <f>'Résidentiel-tertiaire'!$D$169*$J$52/SUM($I$52:$N$52)</f>
        <v>0</v>
      </c>
      <c r="K93" s="243">
        <f>'Résidentiel-tertiaire'!$D$169*$K$52/SUM($I$52:$N$52)</f>
        <v>0</v>
      </c>
      <c r="L93" s="243">
        <f>'Résidentiel-tertiaire'!$D$169*$L$52/SUM($I$52:$N$52)</f>
        <v>0</v>
      </c>
      <c r="M93" s="243">
        <f>'Résidentiel-tertiaire'!$D$169*$M$52/SUM($I$52:$N$52)</f>
        <v>0</v>
      </c>
      <c r="N93" s="243">
        <f>'Résidentiel-tertiaire'!$D$169*$N$52/SUM($I$52:$N$52)</f>
        <v>0.34407417821583636</v>
      </c>
      <c r="O93" s="243">
        <f>'Résidentiel-tertiaire'!$D$170</f>
        <v>537.22695235364881</v>
      </c>
      <c r="P93" s="243">
        <v>0</v>
      </c>
      <c r="Q93" s="243">
        <v>0</v>
      </c>
      <c r="R93" s="254">
        <f t="shared" si="30"/>
        <v>537.57102653186462</v>
      </c>
      <c r="U93" s="437"/>
      <c r="V93" s="252" t="s">
        <v>44</v>
      </c>
      <c r="W93" s="243">
        <v>0</v>
      </c>
      <c r="X93" s="243">
        <v>0</v>
      </c>
      <c r="Y93" s="243">
        <f>'Résidentiel-tertiaire'!$D$182</f>
        <v>0</v>
      </c>
      <c r="Z93" s="243">
        <v>0</v>
      </c>
      <c r="AA93" s="243">
        <v>0</v>
      </c>
      <c r="AB93" s="243">
        <v>0</v>
      </c>
      <c r="AC93" s="243">
        <f>'Résidentiel-tertiaire'!$D$183*$AC$52/SUM($I$52:$N$52)</f>
        <v>0</v>
      </c>
      <c r="AD93" s="243">
        <f>'Résidentiel-tertiaire'!$D$183*$AD$52/SUM($I$52:$N$52)</f>
        <v>0</v>
      </c>
      <c r="AE93" s="243">
        <f>'Résidentiel-tertiaire'!$D$183*$AE$52/SUM($I$52:$N$52)</f>
        <v>0</v>
      </c>
      <c r="AF93" s="243">
        <f>'Résidentiel-tertiaire'!$D$183*$AF$52/SUM($I$52:$N$52)</f>
        <v>0</v>
      </c>
      <c r="AG93" s="243">
        <f>'Résidentiel-tertiaire'!$D$183*$AG$52/SUM($I$52:$N$52)</f>
        <v>0</v>
      </c>
      <c r="AH93" s="243">
        <f>'Résidentiel-tertiaire'!$D$183*$AH$52/SUM($I$52:$N$52)</f>
        <v>0.32373950319714229</v>
      </c>
      <c r="AI93" s="243">
        <f>'Résidentiel-tertiaire'!$D$184</f>
        <v>505.47700952433803</v>
      </c>
      <c r="AJ93" s="243">
        <v>0</v>
      </c>
      <c r="AK93" s="243">
        <v>0</v>
      </c>
      <c r="AL93" s="254">
        <f t="shared" si="31"/>
        <v>505.80074902753518</v>
      </c>
    </row>
    <row r="94" spans="1:38" ht="14.4" customHeight="1">
      <c r="A94" s="437"/>
      <c r="B94" s="252" t="s">
        <v>4</v>
      </c>
      <c r="C94" s="243">
        <v>0</v>
      </c>
      <c r="D94" s="243">
        <v>0</v>
      </c>
      <c r="E94" s="243">
        <f>Agriculture!$J$27</f>
        <v>65.88686303503296</v>
      </c>
      <c r="F94" s="243">
        <v>0</v>
      </c>
      <c r="G94" s="243">
        <v>0</v>
      </c>
      <c r="H94" s="243">
        <v>0</v>
      </c>
      <c r="I94" s="243">
        <v>0</v>
      </c>
      <c r="J94" s="243">
        <v>0</v>
      </c>
      <c r="K94" s="243">
        <v>0</v>
      </c>
      <c r="L94" s="243">
        <v>0</v>
      </c>
      <c r="M94" s="243">
        <v>0</v>
      </c>
      <c r="N94" s="243">
        <v>0</v>
      </c>
      <c r="O94" s="243">
        <f>Agriculture!$J$28</f>
        <v>0.56462537360373888</v>
      </c>
      <c r="P94" s="243">
        <v>0</v>
      </c>
      <c r="Q94" s="243">
        <v>0</v>
      </c>
      <c r="R94" s="254">
        <f t="shared" si="30"/>
        <v>66.451488408636692</v>
      </c>
      <c r="U94" s="437"/>
      <c r="V94" s="252" t="s">
        <v>4</v>
      </c>
      <c r="W94" s="243">
        <v>0</v>
      </c>
      <c r="X94" s="243">
        <v>0</v>
      </c>
      <c r="Y94" s="243">
        <f>Agriculture!$M$43</f>
        <v>52.140053763440861</v>
      </c>
      <c r="Z94" s="243">
        <v>0</v>
      </c>
      <c r="AA94" s="243">
        <v>0</v>
      </c>
      <c r="AB94" s="243">
        <v>0</v>
      </c>
      <c r="AC94" s="243">
        <v>0</v>
      </c>
      <c r="AD94" s="243">
        <v>0</v>
      </c>
      <c r="AE94" s="243">
        <f>Agriculture!$M$45</f>
        <v>11.656430419354837</v>
      </c>
      <c r="AF94" s="243">
        <v>0</v>
      </c>
      <c r="AG94" s="243">
        <v>0</v>
      </c>
      <c r="AH94" s="243">
        <v>0</v>
      </c>
      <c r="AI94" s="243">
        <f>Agriculture!$M$44</f>
        <v>0.45791946290846108</v>
      </c>
      <c r="AJ94" s="243">
        <v>0</v>
      </c>
      <c r="AK94" s="243">
        <v>0</v>
      </c>
      <c r="AL94" s="254">
        <f t="shared" si="31"/>
        <v>64.254403645704159</v>
      </c>
    </row>
    <row r="95" spans="1:38" ht="14.4" customHeight="1">
      <c r="A95" s="437"/>
      <c r="B95" s="252" t="s">
        <v>380</v>
      </c>
      <c r="C95" s="243">
        <v>0</v>
      </c>
      <c r="D95" s="243">
        <v>0</v>
      </c>
      <c r="E95" s="243">
        <v>0</v>
      </c>
      <c r="F95" s="243">
        <v>0</v>
      </c>
      <c r="G95" s="243">
        <v>0</v>
      </c>
      <c r="H95" s="243">
        <v>0</v>
      </c>
      <c r="I95" s="243">
        <v>0</v>
      </c>
      <c r="J95" s="243">
        <v>0</v>
      </c>
      <c r="K95" s="243">
        <v>0</v>
      </c>
      <c r="L95" s="243">
        <v>0</v>
      </c>
      <c r="M95" s="243">
        <v>0</v>
      </c>
      <c r="N95" s="243">
        <v>0</v>
      </c>
      <c r="O95" s="243">
        <v>0</v>
      </c>
      <c r="P95" s="243">
        <v>0</v>
      </c>
      <c r="Q95" s="243">
        <v>0</v>
      </c>
      <c r="R95" s="254">
        <f t="shared" si="30"/>
        <v>0</v>
      </c>
      <c r="U95" s="437"/>
      <c r="V95" s="252" t="s">
        <v>380</v>
      </c>
      <c r="W95" s="243">
        <v>0</v>
      </c>
      <c r="X95" s="243">
        <v>0</v>
      </c>
      <c r="Y95" s="243">
        <v>0</v>
      </c>
      <c r="Z95" s="243">
        <v>0</v>
      </c>
      <c r="AA95" s="243">
        <v>0</v>
      </c>
      <c r="AB95" s="243">
        <v>0</v>
      </c>
      <c r="AC95" s="243">
        <v>0</v>
      </c>
      <c r="AD95" s="243">
        <v>0</v>
      </c>
      <c r="AE95" s="243">
        <v>0</v>
      </c>
      <c r="AF95" s="243">
        <v>0</v>
      </c>
      <c r="AG95" s="243">
        <v>0</v>
      </c>
      <c r="AH95" s="243">
        <v>0</v>
      </c>
      <c r="AI95" s="243">
        <v>0</v>
      </c>
      <c r="AJ95" s="243">
        <v>0</v>
      </c>
      <c r="AK95" s="243">
        <v>0</v>
      </c>
      <c r="AL95" s="254">
        <f t="shared" si="31"/>
        <v>0</v>
      </c>
    </row>
    <row r="96" spans="1:38" ht="14.4" customHeight="1">
      <c r="A96" s="437"/>
      <c r="B96" s="247" t="s">
        <v>45</v>
      </c>
      <c r="C96" s="248">
        <f>SUM(C90:C95)</f>
        <v>0</v>
      </c>
      <c r="D96" s="248">
        <f t="shared" ref="D96:Q96" si="32">SUM(D90:D95)</f>
        <v>0</v>
      </c>
      <c r="E96" s="248">
        <f t="shared" si="32"/>
        <v>1399.7735901823448</v>
      </c>
      <c r="F96" s="248">
        <f t="shared" si="32"/>
        <v>0</v>
      </c>
      <c r="G96" s="248">
        <f t="shared" si="32"/>
        <v>0</v>
      </c>
      <c r="H96" s="248">
        <f t="shared" si="32"/>
        <v>0</v>
      </c>
      <c r="I96" s="248">
        <f t="shared" si="32"/>
        <v>1.0772794144514546</v>
      </c>
      <c r="J96" s="248">
        <f t="shared" si="32"/>
        <v>0</v>
      </c>
      <c r="K96" s="248">
        <f t="shared" si="32"/>
        <v>0</v>
      </c>
      <c r="L96" s="248">
        <f t="shared" si="32"/>
        <v>0</v>
      </c>
      <c r="M96" s="248">
        <f t="shared" si="32"/>
        <v>0</v>
      </c>
      <c r="N96" s="248">
        <f t="shared" si="32"/>
        <v>17.725123610630455</v>
      </c>
      <c r="O96" s="248">
        <f t="shared" si="32"/>
        <v>835.11473710663142</v>
      </c>
      <c r="P96" s="248">
        <f t="shared" si="32"/>
        <v>0</v>
      </c>
      <c r="Q96" s="248">
        <f t="shared" si="32"/>
        <v>0</v>
      </c>
      <c r="R96" s="248">
        <f t="shared" si="30"/>
        <v>2253.6907303140579</v>
      </c>
      <c r="U96" s="437"/>
      <c r="V96" s="247" t="s">
        <v>45</v>
      </c>
      <c r="W96" s="248">
        <f>SUM(W90:W95)</f>
        <v>0</v>
      </c>
      <c r="X96" s="248">
        <f t="shared" ref="X96" si="33">SUM(X90:X95)</f>
        <v>0</v>
      </c>
      <c r="Y96" s="248">
        <f t="shared" ref="Y96" si="34">SUM(Y90:Y95)</f>
        <v>1365.7711841967614</v>
      </c>
      <c r="Z96" s="248">
        <f t="shared" ref="Z96" si="35">SUM(Z90:Z95)</f>
        <v>0</v>
      </c>
      <c r="AA96" s="248">
        <f t="shared" ref="AA96" si="36">SUM(AA90:AA95)</f>
        <v>0</v>
      </c>
      <c r="AB96" s="248">
        <f t="shared" ref="AB96" si="37">SUM(AB90:AB95)</f>
        <v>0</v>
      </c>
      <c r="AC96" s="248">
        <f t="shared" ref="AC96" si="38">SUM(AC90:AC95)</f>
        <v>2.2624302476555052</v>
      </c>
      <c r="AD96" s="248">
        <f t="shared" ref="AD96" si="39">SUM(AD90:AD95)</f>
        <v>0</v>
      </c>
      <c r="AE96" s="248">
        <f t="shared" ref="AE96" si="40">SUM(AE90:AE95)</f>
        <v>11.656430419354837</v>
      </c>
      <c r="AF96" s="248">
        <f t="shared" ref="AF96" si="41">SUM(AF90:AF95)</f>
        <v>0</v>
      </c>
      <c r="AG96" s="248">
        <f t="shared" ref="AG96" si="42">SUM(AG90:AG95)</f>
        <v>0</v>
      </c>
      <c r="AH96" s="248">
        <f t="shared" ref="AH96" si="43">SUM(AH90:AH95)</f>
        <v>33.141806857904221</v>
      </c>
      <c r="AI96" s="248">
        <f t="shared" ref="AI96" si="44">SUM(AI90:AI95)</f>
        <v>771.84377670279673</v>
      </c>
      <c r="AJ96" s="248">
        <f t="shared" ref="AJ96" si="45">SUM(AJ90:AJ95)</f>
        <v>0</v>
      </c>
      <c r="AK96" s="248">
        <f t="shared" ref="AK96" si="46">SUM(AK90:AK95)</f>
        <v>0</v>
      </c>
      <c r="AL96" s="248">
        <f t="shared" si="31"/>
        <v>2184.6756284244725</v>
      </c>
    </row>
    <row r="97" spans="1:38" ht="14.4" customHeight="1">
      <c r="A97" s="437"/>
      <c r="B97" s="242" t="s">
        <v>46</v>
      </c>
      <c r="C97" s="243">
        <v>0</v>
      </c>
      <c r="D97" s="243">
        <v>0</v>
      </c>
      <c r="E97" s="243">
        <f>Industrie!$D$37</f>
        <v>71.714462088749301</v>
      </c>
      <c r="F97" s="243">
        <v>0</v>
      </c>
      <c r="G97" s="243">
        <v>0</v>
      </c>
      <c r="H97" s="243">
        <v>0</v>
      </c>
      <c r="I97" s="243">
        <v>0</v>
      </c>
      <c r="J97" s="243">
        <v>0</v>
      </c>
      <c r="K97" s="243">
        <v>0</v>
      </c>
      <c r="L97" s="243">
        <v>0</v>
      </c>
      <c r="M97" s="243">
        <v>0</v>
      </c>
      <c r="N97" s="243">
        <v>0</v>
      </c>
      <c r="O97" s="243">
        <v>0</v>
      </c>
      <c r="P97" s="243">
        <v>0</v>
      </c>
      <c r="Q97" s="243">
        <v>0</v>
      </c>
      <c r="R97" s="254">
        <f t="shared" si="30"/>
        <v>71.714462088749301</v>
      </c>
      <c r="U97" s="437"/>
      <c r="V97" s="242" t="s">
        <v>46</v>
      </c>
      <c r="W97" s="243">
        <v>0</v>
      </c>
      <c r="X97" s="243">
        <v>0</v>
      </c>
      <c r="Y97" s="243">
        <f>Industrie!$D$59</f>
        <v>71.714462088749301</v>
      </c>
      <c r="Z97" s="243">
        <v>0</v>
      </c>
      <c r="AA97" s="243">
        <v>0</v>
      </c>
      <c r="AB97" s="243">
        <v>0</v>
      </c>
      <c r="AC97" s="243">
        <v>0</v>
      </c>
      <c r="AD97" s="243">
        <v>0</v>
      </c>
      <c r="AE97" s="243">
        <v>0</v>
      </c>
      <c r="AF97" s="243">
        <v>0</v>
      </c>
      <c r="AG97" s="243">
        <v>0</v>
      </c>
      <c r="AH97" s="243">
        <v>0</v>
      </c>
      <c r="AI97" s="243">
        <v>0</v>
      </c>
      <c r="AJ97" s="243">
        <v>0</v>
      </c>
      <c r="AK97" s="243">
        <v>0</v>
      </c>
      <c r="AL97" s="254">
        <f t="shared" si="31"/>
        <v>71.714462088749301</v>
      </c>
    </row>
    <row r="98" spans="1:38" ht="14.4" customHeight="1">
      <c r="A98" s="437"/>
      <c r="B98" s="247" t="s">
        <v>47</v>
      </c>
      <c r="C98" s="248">
        <f>C97+C96</f>
        <v>0</v>
      </c>
      <c r="D98" s="248">
        <f t="shared" ref="D98:Q98" si="47">D97+D96</f>
        <v>0</v>
      </c>
      <c r="E98" s="248">
        <f t="shared" si="47"/>
        <v>1471.4880522710941</v>
      </c>
      <c r="F98" s="248">
        <f t="shared" si="47"/>
        <v>0</v>
      </c>
      <c r="G98" s="248">
        <f t="shared" si="47"/>
        <v>0</v>
      </c>
      <c r="H98" s="248">
        <f t="shared" si="47"/>
        <v>0</v>
      </c>
      <c r="I98" s="248">
        <f t="shared" si="47"/>
        <v>1.0772794144514546</v>
      </c>
      <c r="J98" s="248">
        <f t="shared" si="47"/>
        <v>0</v>
      </c>
      <c r="K98" s="248">
        <f t="shared" si="47"/>
        <v>0</v>
      </c>
      <c r="L98" s="248">
        <f t="shared" si="47"/>
        <v>0</v>
      </c>
      <c r="M98" s="248">
        <f t="shared" si="47"/>
        <v>0</v>
      </c>
      <c r="N98" s="248">
        <f t="shared" si="47"/>
        <v>17.725123610630455</v>
      </c>
      <c r="O98" s="248">
        <f t="shared" si="47"/>
        <v>835.11473710663142</v>
      </c>
      <c r="P98" s="248">
        <f t="shared" si="47"/>
        <v>0</v>
      </c>
      <c r="Q98" s="248">
        <f t="shared" si="47"/>
        <v>0</v>
      </c>
      <c r="R98" s="248">
        <f t="shared" si="30"/>
        <v>2325.4051924028072</v>
      </c>
      <c r="U98" s="437"/>
      <c r="V98" s="247" t="s">
        <v>47</v>
      </c>
      <c r="W98" s="248">
        <f>W97+W96</f>
        <v>0</v>
      </c>
      <c r="X98" s="248">
        <f t="shared" ref="X98" si="48">X97+X96</f>
        <v>0</v>
      </c>
      <c r="Y98" s="248">
        <f t="shared" ref="Y98" si="49">Y97+Y96</f>
        <v>1437.4856462855107</v>
      </c>
      <c r="Z98" s="248">
        <f t="shared" ref="Z98" si="50">Z97+Z96</f>
        <v>0</v>
      </c>
      <c r="AA98" s="248">
        <f t="shared" ref="AA98" si="51">AA97+AA96</f>
        <v>0</v>
      </c>
      <c r="AB98" s="248">
        <f t="shared" ref="AB98" si="52">AB97+AB96</f>
        <v>0</v>
      </c>
      <c r="AC98" s="248">
        <f t="shared" ref="AC98" si="53">AC97+AC96</f>
        <v>2.2624302476555052</v>
      </c>
      <c r="AD98" s="248">
        <f t="shared" ref="AD98" si="54">AD97+AD96</f>
        <v>0</v>
      </c>
      <c r="AE98" s="248">
        <f t="shared" ref="AE98" si="55">AE97+AE96</f>
        <v>11.656430419354837</v>
      </c>
      <c r="AF98" s="248">
        <f t="shared" ref="AF98" si="56">AF97+AF96</f>
        <v>0</v>
      </c>
      <c r="AG98" s="248">
        <f t="shared" ref="AG98" si="57">AG97+AG96</f>
        <v>0</v>
      </c>
      <c r="AH98" s="248">
        <f t="shared" ref="AH98" si="58">AH97+AH96</f>
        <v>33.141806857904221</v>
      </c>
      <c r="AI98" s="248">
        <f t="shared" ref="AI98" si="59">AI97+AI96</f>
        <v>771.84377670279673</v>
      </c>
      <c r="AJ98" s="248">
        <f t="shared" ref="AJ98" si="60">AJ97+AJ96</f>
        <v>0</v>
      </c>
      <c r="AK98" s="248">
        <f t="shared" ref="AK98" si="61">AK97+AK96</f>
        <v>0</v>
      </c>
      <c r="AL98" s="248">
        <f t="shared" si="31"/>
        <v>2256.3900905132218</v>
      </c>
    </row>
    <row r="107" spans="1:38" ht="14.4" customHeight="1">
      <c r="A107" s="437">
        <v>2030</v>
      </c>
      <c r="B107" s="441" t="s">
        <v>12</v>
      </c>
      <c r="C107" s="440" t="s">
        <v>14</v>
      </c>
      <c r="D107" s="440" t="s">
        <v>15</v>
      </c>
      <c r="E107" s="440" t="s">
        <v>16</v>
      </c>
      <c r="F107" s="440" t="s">
        <v>17</v>
      </c>
      <c r="G107" s="440" t="s">
        <v>365</v>
      </c>
      <c r="H107" s="440" t="s">
        <v>18</v>
      </c>
      <c r="I107" s="440" t="s">
        <v>19</v>
      </c>
      <c r="J107" s="440"/>
      <c r="K107" s="440"/>
      <c r="L107" s="440"/>
      <c r="M107" s="440"/>
      <c r="N107" s="440"/>
      <c r="O107" s="432" t="s">
        <v>366</v>
      </c>
      <c r="P107" s="432" t="s">
        <v>21</v>
      </c>
      <c r="Q107" s="432" t="s">
        <v>367</v>
      </c>
      <c r="R107" s="432" t="s">
        <v>23</v>
      </c>
      <c r="U107" s="437">
        <v>2030</v>
      </c>
      <c r="V107" s="438" t="s">
        <v>12</v>
      </c>
      <c r="W107" s="432" t="s">
        <v>14</v>
      </c>
      <c r="X107" s="432" t="s">
        <v>15</v>
      </c>
      <c r="Y107" s="432" t="s">
        <v>16</v>
      </c>
      <c r="Z107" s="432" t="s">
        <v>17</v>
      </c>
      <c r="AA107" s="432" t="s">
        <v>365</v>
      </c>
      <c r="AB107" s="432" t="s">
        <v>18</v>
      </c>
      <c r="AC107" s="434" t="s">
        <v>19</v>
      </c>
      <c r="AD107" s="435"/>
      <c r="AE107" s="435"/>
      <c r="AF107" s="435"/>
      <c r="AG107" s="435"/>
      <c r="AH107" s="436"/>
      <c r="AI107" s="432" t="s">
        <v>366</v>
      </c>
      <c r="AJ107" s="432" t="s">
        <v>21</v>
      </c>
      <c r="AK107" s="432" t="s">
        <v>367</v>
      </c>
      <c r="AL107" s="432" t="s">
        <v>23</v>
      </c>
    </row>
    <row r="108" spans="1:38" ht="45.6">
      <c r="A108" s="437"/>
      <c r="B108" s="441"/>
      <c r="C108" s="440"/>
      <c r="D108" s="440"/>
      <c r="E108" s="440"/>
      <c r="F108" s="440"/>
      <c r="G108" s="440"/>
      <c r="H108" s="440"/>
      <c r="I108" s="240" t="s">
        <v>354</v>
      </c>
      <c r="J108" s="240" t="s">
        <v>7</v>
      </c>
      <c r="K108" s="240" t="s">
        <v>355</v>
      </c>
      <c r="L108" s="240" t="s">
        <v>368</v>
      </c>
      <c r="M108" s="241" t="s">
        <v>369</v>
      </c>
      <c r="N108" s="240" t="s">
        <v>370</v>
      </c>
      <c r="O108" s="432"/>
      <c r="P108" s="432"/>
      <c r="Q108" s="432"/>
      <c r="R108" s="432"/>
      <c r="U108" s="437"/>
      <c r="V108" s="439"/>
      <c r="W108" s="433"/>
      <c r="X108" s="433"/>
      <c r="Y108" s="433"/>
      <c r="Z108" s="433"/>
      <c r="AA108" s="433"/>
      <c r="AB108" s="433"/>
      <c r="AC108" s="240" t="s">
        <v>354</v>
      </c>
      <c r="AD108" s="240" t="s">
        <v>7</v>
      </c>
      <c r="AE108" s="240" t="s">
        <v>355</v>
      </c>
      <c r="AF108" s="240" t="s">
        <v>368</v>
      </c>
      <c r="AG108" s="241" t="s">
        <v>369</v>
      </c>
      <c r="AH108" s="240" t="s">
        <v>370</v>
      </c>
      <c r="AI108" s="433"/>
      <c r="AJ108" s="433"/>
      <c r="AK108" s="433"/>
      <c r="AL108" s="433"/>
    </row>
    <row r="109" spans="1:38" ht="14.4" customHeight="1">
      <c r="A109" s="437"/>
      <c r="B109" s="242" t="s">
        <v>24</v>
      </c>
      <c r="C109" s="243">
        <v>0</v>
      </c>
      <c r="D109" s="244">
        <v>0</v>
      </c>
      <c r="E109" s="244">
        <v>0</v>
      </c>
      <c r="F109" s="243">
        <v>0</v>
      </c>
      <c r="G109" s="244">
        <v>0</v>
      </c>
      <c r="H109" s="244">
        <f>H115</f>
        <v>635.07421434438425</v>
      </c>
      <c r="I109" s="244">
        <f>IF((I115-$I$27)&gt;0,$I$27+(I115-$I$27)*0.5,I115)</f>
        <v>168.72240646159509</v>
      </c>
      <c r="J109" s="244">
        <v>0</v>
      </c>
      <c r="K109" s="244">
        <f>IF((K115-$K$27)&gt;0,$K$27+(K115-$K$27)*0.5,K115)</f>
        <v>302.20279525743666</v>
      </c>
      <c r="L109" s="244">
        <f>L115</f>
        <v>0</v>
      </c>
      <c r="M109" s="244">
        <v>0</v>
      </c>
      <c r="N109" s="244">
        <f>N115</f>
        <v>18.061108099058305</v>
      </c>
      <c r="O109" s="245">
        <v>0</v>
      </c>
      <c r="P109" s="244">
        <v>0</v>
      </c>
      <c r="Q109" s="244">
        <v>0</v>
      </c>
      <c r="R109" s="246">
        <f>SUM(C109:Q109)</f>
        <v>1124.0605241624744</v>
      </c>
      <c r="U109" s="437"/>
      <c r="V109" s="242" t="s">
        <v>24</v>
      </c>
      <c r="W109" s="243">
        <v>0</v>
      </c>
      <c r="X109" s="244">
        <v>0</v>
      </c>
      <c r="Y109" s="244">
        <v>0</v>
      </c>
      <c r="Z109" s="243">
        <v>0</v>
      </c>
      <c r="AA109" s="244">
        <v>0</v>
      </c>
      <c r="AB109" s="244">
        <f>AB115</f>
        <v>582.4009089148974</v>
      </c>
      <c r="AC109" s="244">
        <f>IF((AC115-AC27)&gt;0,AC27+(AC115-AC27)*0.5,AC115)</f>
        <v>150.70753956454871</v>
      </c>
      <c r="AD109" s="244">
        <v>0</v>
      </c>
      <c r="AE109" s="244">
        <f>IF((AE115-AE27)&gt;0,AE27+(AE115-AE27)*0.5,AE115)</f>
        <v>263.52292031142014</v>
      </c>
      <c r="AF109" s="244">
        <f>AF115</f>
        <v>0</v>
      </c>
      <c r="AG109" s="244">
        <v>0</v>
      </c>
      <c r="AH109" s="244">
        <f>AH115</f>
        <v>30.260437569902017</v>
      </c>
      <c r="AI109" s="245">
        <v>0</v>
      </c>
      <c r="AJ109" s="244">
        <v>0</v>
      </c>
      <c r="AK109" s="244">
        <v>0</v>
      </c>
      <c r="AL109" s="246">
        <f>SUM(W109:AK109)</f>
        <v>1026.8918063607682</v>
      </c>
    </row>
    <row r="110" spans="1:38" ht="14.4" customHeight="1">
      <c r="A110" s="437"/>
      <c r="B110" s="242" t="s">
        <v>28</v>
      </c>
      <c r="C110" s="243">
        <f>C115</f>
        <v>0</v>
      </c>
      <c r="D110" s="244">
        <f>D115</f>
        <v>0</v>
      </c>
      <c r="E110" s="244">
        <f>E115</f>
        <v>1441.8738056213069</v>
      </c>
      <c r="F110" s="243">
        <v>0</v>
      </c>
      <c r="G110" s="244">
        <v>0</v>
      </c>
      <c r="H110" s="244">
        <v>0</v>
      </c>
      <c r="I110" s="244">
        <f>IF((I115-$I$27)&gt;0,(I115-$I$27)*0.5,0)</f>
        <v>67.105600673595077</v>
      </c>
      <c r="J110" s="244">
        <v>0</v>
      </c>
      <c r="K110" s="244">
        <f>IF((K115-$K$27)&gt;0,(K115-$K$27)*0.5,0)</f>
        <v>302.20279525743666</v>
      </c>
      <c r="L110" s="244">
        <v>0</v>
      </c>
      <c r="M110" s="244">
        <v>0</v>
      </c>
      <c r="N110" s="244">
        <v>0</v>
      </c>
      <c r="O110" s="245">
        <v>0</v>
      </c>
      <c r="P110" s="244">
        <v>0</v>
      </c>
      <c r="Q110" s="244">
        <v>0</v>
      </c>
      <c r="R110" s="246">
        <f t="shared" ref="R110:R115" si="62">SUM(C110:Q110)</f>
        <v>1811.1822015523387</v>
      </c>
      <c r="U110" s="437"/>
      <c r="V110" s="242" t="s">
        <v>28</v>
      </c>
      <c r="W110" s="243">
        <f>W115</f>
        <v>0</v>
      </c>
      <c r="X110" s="244">
        <f>X115</f>
        <v>0</v>
      </c>
      <c r="Y110" s="244">
        <f>Y115</f>
        <v>1280.7562856470181</v>
      </c>
      <c r="Z110" s="243">
        <v>0</v>
      </c>
      <c r="AA110" s="244">
        <v>0</v>
      </c>
      <c r="AB110" s="244">
        <v>0</v>
      </c>
      <c r="AC110" s="244">
        <f>IF((AC115-AC27)&gt;0,(AC115-AC27)*0.5,0)</f>
        <v>49.090733776548731</v>
      </c>
      <c r="AD110" s="244">
        <v>0</v>
      </c>
      <c r="AE110" s="244">
        <f>IF((AE115-AE27)&gt;0,(AE115-AE27)*0.5,0)</f>
        <v>263.52292031142014</v>
      </c>
      <c r="AF110" s="244">
        <v>0</v>
      </c>
      <c r="AG110" s="244">
        <v>0</v>
      </c>
      <c r="AH110" s="244">
        <v>0</v>
      </c>
      <c r="AI110" s="245">
        <v>0</v>
      </c>
      <c r="AJ110" s="244">
        <v>0</v>
      </c>
      <c r="AK110" s="244">
        <v>0</v>
      </c>
      <c r="AL110" s="246">
        <f t="shared" ref="AL110:AL115" si="63">SUM(W110:AK110)</f>
        <v>1593.3699397349869</v>
      </c>
    </row>
    <row r="111" spans="1:38" ht="14.4" customHeight="1">
      <c r="A111" s="437"/>
      <c r="B111" s="242" t="s">
        <v>29</v>
      </c>
      <c r="C111" s="243">
        <v>0</v>
      </c>
      <c r="D111" s="244">
        <v>0</v>
      </c>
      <c r="E111" s="244">
        <v>0</v>
      </c>
      <c r="F111" s="243">
        <v>0</v>
      </c>
      <c r="G111" s="244">
        <v>0</v>
      </c>
      <c r="H111" s="244">
        <v>0</v>
      </c>
      <c r="I111" s="244">
        <v>0</v>
      </c>
      <c r="J111" s="244">
        <v>0</v>
      </c>
      <c r="K111" s="244">
        <v>0</v>
      </c>
      <c r="L111" s="244">
        <v>0</v>
      </c>
      <c r="M111" s="244">
        <v>0</v>
      </c>
      <c r="N111" s="244">
        <v>0</v>
      </c>
      <c r="O111" s="245">
        <v>0</v>
      </c>
      <c r="P111" s="244">
        <v>0</v>
      </c>
      <c r="Q111" s="244">
        <v>0</v>
      </c>
      <c r="R111" s="246">
        <f t="shared" si="62"/>
        <v>0</v>
      </c>
      <c r="U111" s="437"/>
      <c r="V111" s="242" t="s">
        <v>29</v>
      </c>
      <c r="W111" s="243">
        <v>0</v>
      </c>
      <c r="X111" s="244">
        <v>0</v>
      </c>
      <c r="Y111" s="244">
        <v>0</v>
      </c>
      <c r="Z111" s="243">
        <v>0</v>
      </c>
      <c r="AA111" s="244">
        <v>0</v>
      </c>
      <c r="AB111" s="244">
        <v>0</v>
      </c>
      <c r="AC111" s="244">
        <v>0</v>
      </c>
      <c r="AD111" s="244">
        <v>0</v>
      </c>
      <c r="AE111" s="244">
        <v>0</v>
      </c>
      <c r="AF111" s="244">
        <v>0</v>
      </c>
      <c r="AG111" s="244">
        <v>0</v>
      </c>
      <c r="AH111" s="244">
        <v>0</v>
      </c>
      <c r="AI111" s="245">
        <v>0</v>
      </c>
      <c r="AJ111" s="244">
        <v>0</v>
      </c>
      <c r="AK111" s="244">
        <v>0</v>
      </c>
      <c r="AL111" s="246">
        <f t="shared" si="63"/>
        <v>0</v>
      </c>
    </row>
    <row r="112" spans="1:38" ht="14.4" customHeight="1">
      <c r="A112" s="437"/>
      <c r="B112" s="242" t="s">
        <v>30</v>
      </c>
      <c r="C112" s="243">
        <v>0</v>
      </c>
      <c r="D112" s="244">
        <v>0</v>
      </c>
      <c r="E112" s="244">
        <v>0</v>
      </c>
      <c r="F112" s="243">
        <v>0</v>
      </c>
      <c r="G112" s="244">
        <v>0</v>
      </c>
      <c r="H112" s="244">
        <v>0</v>
      </c>
      <c r="I112" s="244">
        <v>0</v>
      </c>
      <c r="J112" s="244">
        <v>0</v>
      </c>
      <c r="K112" s="244">
        <v>0</v>
      </c>
      <c r="L112" s="244">
        <v>0</v>
      </c>
      <c r="M112" s="244">
        <v>0</v>
      </c>
      <c r="N112" s="244">
        <v>0</v>
      </c>
      <c r="O112" s="245">
        <v>0</v>
      </c>
      <c r="P112" s="244">
        <v>0</v>
      </c>
      <c r="Q112" s="244">
        <v>0</v>
      </c>
      <c r="R112" s="246">
        <f t="shared" si="62"/>
        <v>0</v>
      </c>
      <c r="U112" s="437"/>
      <c r="V112" s="242" t="s">
        <v>30</v>
      </c>
      <c r="W112" s="243">
        <v>0</v>
      </c>
      <c r="X112" s="244">
        <v>0</v>
      </c>
      <c r="Y112" s="244">
        <v>0</v>
      </c>
      <c r="Z112" s="243">
        <v>0</v>
      </c>
      <c r="AA112" s="244">
        <v>0</v>
      </c>
      <c r="AB112" s="244">
        <v>0</v>
      </c>
      <c r="AC112" s="244">
        <v>0</v>
      </c>
      <c r="AD112" s="244">
        <v>0</v>
      </c>
      <c r="AE112" s="244">
        <v>0</v>
      </c>
      <c r="AF112" s="244">
        <v>0</v>
      </c>
      <c r="AG112" s="244">
        <v>0</v>
      </c>
      <c r="AH112" s="244">
        <v>0</v>
      </c>
      <c r="AI112" s="245">
        <v>0</v>
      </c>
      <c r="AJ112" s="244">
        <v>0</v>
      </c>
      <c r="AK112" s="244">
        <v>0</v>
      </c>
      <c r="AL112" s="246">
        <f t="shared" si="63"/>
        <v>0</v>
      </c>
    </row>
    <row r="113" spans="1:38" ht="14.4" customHeight="1">
      <c r="A113" s="437"/>
      <c r="B113" s="242" t="s">
        <v>31</v>
      </c>
      <c r="C113" s="243">
        <v>0</v>
      </c>
      <c r="D113" s="244">
        <v>0</v>
      </c>
      <c r="E113" s="244">
        <v>0</v>
      </c>
      <c r="F113" s="243">
        <v>0</v>
      </c>
      <c r="G113" s="244">
        <v>0</v>
      </c>
      <c r="H113" s="244">
        <v>0</v>
      </c>
      <c r="I113" s="244">
        <v>0</v>
      </c>
      <c r="J113" s="244">
        <v>0</v>
      </c>
      <c r="K113" s="244">
        <v>0</v>
      </c>
      <c r="L113" s="244">
        <v>0</v>
      </c>
      <c r="M113" s="244">
        <v>0</v>
      </c>
      <c r="N113" s="244">
        <v>0</v>
      </c>
      <c r="O113" s="245">
        <v>0</v>
      </c>
      <c r="P113" s="244">
        <v>0</v>
      </c>
      <c r="Q113" s="244">
        <v>0</v>
      </c>
      <c r="R113" s="246">
        <f t="shared" si="62"/>
        <v>0</v>
      </c>
      <c r="U113" s="437"/>
      <c r="V113" s="242" t="s">
        <v>31</v>
      </c>
      <c r="W113" s="243">
        <v>0</v>
      </c>
      <c r="X113" s="244">
        <v>0</v>
      </c>
      <c r="Y113" s="244">
        <v>0</v>
      </c>
      <c r="Z113" s="243">
        <v>0</v>
      </c>
      <c r="AA113" s="244">
        <v>0</v>
      </c>
      <c r="AB113" s="244">
        <v>0</v>
      </c>
      <c r="AC113" s="244">
        <v>0</v>
      </c>
      <c r="AD113" s="244">
        <v>0</v>
      </c>
      <c r="AE113" s="244">
        <v>0</v>
      </c>
      <c r="AF113" s="244">
        <v>0</v>
      </c>
      <c r="AG113" s="244">
        <v>0</v>
      </c>
      <c r="AH113" s="244">
        <v>0</v>
      </c>
      <c r="AI113" s="245">
        <v>0</v>
      </c>
      <c r="AJ113" s="244">
        <v>0</v>
      </c>
      <c r="AK113" s="244">
        <v>0</v>
      </c>
      <c r="AL113" s="246">
        <f t="shared" si="63"/>
        <v>0</v>
      </c>
    </row>
    <row r="114" spans="1:38" ht="14.4" customHeight="1">
      <c r="A114" s="437"/>
      <c r="B114" s="242" t="s">
        <v>32</v>
      </c>
      <c r="C114" s="243">
        <v>0</v>
      </c>
      <c r="D114" s="244">
        <v>0</v>
      </c>
      <c r="E114" s="244">
        <v>0</v>
      </c>
      <c r="F114" s="243">
        <v>0</v>
      </c>
      <c r="G114" s="244">
        <v>0</v>
      </c>
      <c r="H114" s="244">
        <v>0</v>
      </c>
      <c r="I114" s="244">
        <v>0</v>
      </c>
      <c r="J114" s="244">
        <v>0</v>
      </c>
      <c r="K114" s="244">
        <v>0</v>
      </c>
      <c r="L114" s="244">
        <v>0</v>
      </c>
      <c r="M114" s="244">
        <v>0</v>
      </c>
      <c r="N114" s="244">
        <v>0</v>
      </c>
      <c r="O114" s="245">
        <v>0</v>
      </c>
      <c r="P114" s="244">
        <v>0</v>
      </c>
      <c r="Q114" s="244">
        <v>0</v>
      </c>
      <c r="R114" s="246">
        <f t="shared" si="62"/>
        <v>0</v>
      </c>
      <c r="U114" s="437"/>
      <c r="V114" s="242" t="s">
        <v>32</v>
      </c>
      <c r="W114" s="243">
        <v>0</v>
      </c>
      <c r="X114" s="244">
        <v>0</v>
      </c>
      <c r="Y114" s="244">
        <v>0</v>
      </c>
      <c r="Z114" s="243">
        <v>0</v>
      </c>
      <c r="AA114" s="244">
        <v>0</v>
      </c>
      <c r="AB114" s="244">
        <v>0</v>
      </c>
      <c r="AC114" s="244">
        <v>0</v>
      </c>
      <c r="AD114" s="244">
        <v>0</v>
      </c>
      <c r="AE114" s="244">
        <v>0</v>
      </c>
      <c r="AF114" s="244">
        <v>0</v>
      </c>
      <c r="AG114" s="244">
        <v>0</v>
      </c>
      <c r="AH114" s="244">
        <v>0</v>
      </c>
      <c r="AI114" s="245">
        <v>0</v>
      </c>
      <c r="AJ114" s="244">
        <v>0</v>
      </c>
      <c r="AK114" s="244">
        <v>0</v>
      </c>
      <c r="AL114" s="246">
        <f t="shared" si="63"/>
        <v>0</v>
      </c>
    </row>
    <row r="115" spans="1:38" ht="14.4" customHeight="1">
      <c r="A115" s="437"/>
      <c r="B115" s="247" t="s">
        <v>371</v>
      </c>
      <c r="C115" s="248">
        <f>C139+C137</f>
        <v>0</v>
      </c>
      <c r="D115" s="248">
        <f>D129+D139</f>
        <v>0</v>
      </c>
      <c r="E115" s="248">
        <f>E129+E139</f>
        <v>1441.8738056213069</v>
      </c>
      <c r="F115" s="248">
        <f t="shared" ref="F115:G115" si="64">SUM(F109:F114)</f>
        <v>0</v>
      </c>
      <c r="G115" s="248">
        <f t="shared" si="64"/>
        <v>0</v>
      </c>
      <c r="H115" s="248">
        <f>H129</f>
        <v>635.07421434438425</v>
      </c>
      <c r="I115" s="248">
        <f>I129+I137</f>
        <v>235.82800713519015</v>
      </c>
      <c r="J115" s="248">
        <f t="shared" ref="J115" si="65">SUM(J109:J114)</f>
        <v>0</v>
      </c>
      <c r="K115" s="248">
        <f>K129+K139</f>
        <v>604.40559051487332</v>
      </c>
      <c r="L115" s="248">
        <f>L129+L139</f>
        <v>0</v>
      </c>
      <c r="M115" s="248">
        <f t="shared" ref="M115" si="66">SUM(M109:M114)</f>
        <v>0</v>
      </c>
      <c r="N115" s="248">
        <f>N129+N139</f>
        <v>18.061108099058305</v>
      </c>
      <c r="O115" s="248">
        <f t="shared" ref="O115:Q115" si="67">SUM(O109:O114)</f>
        <v>0</v>
      </c>
      <c r="P115" s="248">
        <f t="shared" si="67"/>
        <v>0</v>
      </c>
      <c r="Q115" s="248">
        <f t="shared" si="67"/>
        <v>0</v>
      </c>
      <c r="R115" s="248">
        <f t="shared" si="62"/>
        <v>2935.2427257148129</v>
      </c>
      <c r="U115" s="437"/>
      <c r="V115" s="247" t="s">
        <v>371</v>
      </c>
      <c r="W115" s="248">
        <f>W139+W137</f>
        <v>0</v>
      </c>
      <c r="X115" s="248">
        <f>X129+X139</f>
        <v>0</v>
      </c>
      <c r="Y115" s="248">
        <f>Y129+Y139</f>
        <v>1280.7562856470181</v>
      </c>
      <c r="Z115" s="248">
        <f t="shared" ref="Z115:AA115" si="68">SUM(Z109:Z114)</f>
        <v>0</v>
      </c>
      <c r="AA115" s="248">
        <f t="shared" si="68"/>
        <v>0</v>
      </c>
      <c r="AB115" s="248">
        <f>AB129</f>
        <v>582.4009089148974</v>
      </c>
      <c r="AC115" s="248">
        <f>AC129+AC137</f>
        <v>199.79827334109746</v>
      </c>
      <c r="AD115" s="248">
        <f t="shared" ref="AD115" si="69">SUM(AD109:AD114)</f>
        <v>0</v>
      </c>
      <c r="AE115" s="248">
        <f>AE129+AE139</f>
        <v>527.04584062284027</v>
      </c>
      <c r="AF115" s="248">
        <f>AF129+AF139</f>
        <v>0</v>
      </c>
      <c r="AG115" s="248">
        <f t="shared" ref="AG115" si="70">SUM(AG109:AG114)</f>
        <v>0</v>
      </c>
      <c r="AH115" s="248">
        <f>AH129+AH139</f>
        <v>30.260437569902017</v>
      </c>
      <c r="AI115" s="248">
        <f t="shared" ref="AI115:AK115" si="71">SUM(AI109:AI114)</f>
        <v>0</v>
      </c>
      <c r="AJ115" s="248">
        <f t="shared" si="71"/>
        <v>0</v>
      </c>
      <c r="AK115" s="248">
        <f t="shared" si="71"/>
        <v>0</v>
      </c>
      <c r="AL115" s="248">
        <f t="shared" si="63"/>
        <v>2620.2617460957554</v>
      </c>
    </row>
    <row r="116" spans="1:38" ht="14.4" customHeight="1">
      <c r="A116" s="437"/>
      <c r="B116" s="249"/>
      <c r="C116" s="250"/>
      <c r="D116" s="219"/>
      <c r="E116" s="251"/>
      <c r="F116" s="250"/>
      <c r="G116" s="250"/>
      <c r="H116" s="250"/>
      <c r="I116" s="250"/>
      <c r="J116" s="250"/>
      <c r="K116" s="250"/>
      <c r="L116" s="250"/>
      <c r="M116" s="250"/>
      <c r="N116" s="250"/>
      <c r="O116" s="259"/>
      <c r="P116" s="250"/>
      <c r="Q116" s="250"/>
      <c r="R116" s="250"/>
      <c r="U116" s="437"/>
      <c r="V116" s="249"/>
      <c r="W116" s="250"/>
      <c r="X116" s="219"/>
      <c r="Y116" s="251"/>
      <c r="Z116" s="250"/>
      <c r="AA116" s="250"/>
      <c r="AB116" s="250"/>
      <c r="AC116" s="250"/>
      <c r="AD116" s="250"/>
      <c r="AE116" s="250"/>
      <c r="AF116" s="250"/>
      <c r="AG116" s="250"/>
      <c r="AH116" s="250"/>
      <c r="AI116" s="259"/>
      <c r="AJ116" s="250"/>
      <c r="AK116" s="250"/>
      <c r="AL116" s="250"/>
    </row>
    <row r="117" spans="1:38" ht="14.4" customHeight="1">
      <c r="A117" s="437"/>
      <c r="B117" s="252" t="s">
        <v>372</v>
      </c>
      <c r="C117" s="243">
        <v>0</v>
      </c>
      <c r="D117" s="253">
        <v>0</v>
      </c>
      <c r="E117" s="253">
        <v>0</v>
      </c>
      <c r="F117" s="243">
        <v>0</v>
      </c>
      <c r="G117" s="243">
        <v>0</v>
      </c>
      <c r="H117" s="243">
        <v>0</v>
      </c>
      <c r="I117" s="243">
        <v>0</v>
      </c>
      <c r="J117" s="243">
        <v>0</v>
      </c>
      <c r="K117" s="243">
        <v>0</v>
      </c>
      <c r="L117" s="243">
        <v>0</v>
      </c>
      <c r="M117" s="243">
        <v>0</v>
      </c>
      <c r="N117" s="243">
        <v>0</v>
      </c>
      <c r="O117" s="243">
        <v>0</v>
      </c>
      <c r="P117" s="243">
        <v>0</v>
      </c>
      <c r="Q117" s="243">
        <v>0</v>
      </c>
      <c r="R117" s="254">
        <f>SUM(C117:Q117)</f>
        <v>0</v>
      </c>
      <c r="U117" s="437"/>
      <c r="V117" s="252" t="s">
        <v>372</v>
      </c>
      <c r="W117" s="243">
        <v>0</v>
      </c>
      <c r="X117" s="253">
        <v>0</v>
      </c>
      <c r="Y117" s="253">
        <v>0</v>
      </c>
      <c r="Z117" s="243">
        <v>0</v>
      </c>
      <c r="AA117" s="243">
        <v>0</v>
      </c>
      <c r="AB117" s="243">
        <v>0</v>
      </c>
      <c r="AC117" s="243">
        <v>0</v>
      </c>
      <c r="AD117" s="243">
        <v>0</v>
      </c>
      <c r="AE117" s="243">
        <v>0</v>
      </c>
      <c r="AF117" s="243">
        <v>0</v>
      </c>
      <c r="AG117" s="243">
        <v>0</v>
      </c>
      <c r="AH117" s="243">
        <v>0</v>
      </c>
      <c r="AI117" s="243">
        <v>0</v>
      </c>
      <c r="AJ117" s="243">
        <v>0</v>
      </c>
      <c r="AK117" s="243">
        <v>0</v>
      </c>
      <c r="AL117" s="254">
        <f>SUM(W117:AK117)</f>
        <v>0</v>
      </c>
    </row>
    <row r="118" spans="1:38" ht="14.4" customHeight="1">
      <c r="A118" s="437"/>
      <c r="B118" s="252" t="s">
        <v>373</v>
      </c>
      <c r="C118" s="243">
        <f>$O$118*'Prod Energie'!$E$32/(-$J$13)</f>
        <v>0</v>
      </c>
      <c r="D118" s="243">
        <v>0</v>
      </c>
      <c r="E118" s="243">
        <f>O118*'Prod Energie'!$E$33/(-$K$13)</f>
        <v>45.022593855970975</v>
      </c>
      <c r="F118" s="243">
        <v>0</v>
      </c>
      <c r="G118" s="243">
        <v>0</v>
      </c>
      <c r="H118" s="243">
        <f>(O118)*('Prod Energie'!$E$34+'Prod Energie'!$E$39+'Prod Energie'!$E$40)/(-$L$13)</f>
        <v>635.07421434438425</v>
      </c>
      <c r="I118" s="255">
        <f>(O118)*('Prod Energie'!$E$38)/(-$M$13)</f>
        <v>234.62668246100137</v>
      </c>
      <c r="J118" s="255">
        <f>(O118)*$L$17*('Prod Energie'!$E$36)</f>
        <v>0</v>
      </c>
      <c r="K118" s="255">
        <f>(O118)*('Prod Energie'!$E$37)/(-O13)</f>
        <v>604.40559051487332</v>
      </c>
      <c r="L118" s="255">
        <f>(O118)*('Prod Energie'!$E$41)/(-P13)</f>
        <v>0</v>
      </c>
      <c r="M118" s="255">
        <v>0</v>
      </c>
      <c r="N118" s="255">
        <f>(O118)*('Prod Energie'!$E$35)/(-$Q$13)</f>
        <v>0</v>
      </c>
      <c r="O118" s="243">
        <f>O129/(1+$F$17+$F$18)</f>
        <v>-990.4970648313614</v>
      </c>
      <c r="P118" s="243">
        <v>0</v>
      </c>
      <c r="Q118" s="243">
        <v>0</v>
      </c>
      <c r="R118" s="254">
        <f t="shared" ref="R118:R129" si="72">SUM(C118:Q118)</f>
        <v>528.63201634486848</v>
      </c>
      <c r="U118" s="437"/>
      <c r="V118" s="252" t="s">
        <v>373</v>
      </c>
      <c r="W118" s="243">
        <f>$AI$77*'Prod Energie'!$E$53/(-$J$13)</f>
        <v>0</v>
      </c>
      <c r="X118" s="243">
        <v>0</v>
      </c>
      <c r="Y118" s="243">
        <f>AI118*'Prod Energie'!$E$54/(-$K$13)</f>
        <v>19.94250133546765</v>
      </c>
      <c r="Z118" s="243">
        <v>0</v>
      </c>
      <c r="AA118" s="243">
        <v>0</v>
      </c>
      <c r="AB118" s="243">
        <f>(AI118)*('Prod Energie'!$E$55+'Prod Energie'!$E$60+'Prod Energie'!$E$61)/(-$L$13)</f>
        <v>582.4009089148974</v>
      </c>
      <c r="AC118" s="255">
        <f>(AI118)*'Prod Energie'!$E$59/(-$M$13)</f>
        <v>196.30032882110487</v>
      </c>
      <c r="AD118" s="255">
        <f>(AI118)*('Prod Energie'!$E$57)/(-$N$13)</f>
        <v>0</v>
      </c>
      <c r="AE118" s="255">
        <f>(AI118)*('Prod Energie'!$E$58)/(-$O$13)</f>
        <v>505.67571818735644</v>
      </c>
      <c r="AF118" s="255">
        <f>(AI118)*('Prod Energie'!$E$62)/(-$P$13)</f>
        <v>0</v>
      </c>
      <c r="AG118" s="255">
        <v>0</v>
      </c>
      <c r="AH118" s="255">
        <f>(AI118)*'Prod Energie'!E97/(-$Q$13)</f>
        <v>0</v>
      </c>
      <c r="AI118" s="243">
        <f>AI129/(1+$F$17+$F$18)</f>
        <v>-877.47005876057665</v>
      </c>
      <c r="AJ118" s="243">
        <v>0</v>
      </c>
      <c r="AK118" s="243">
        <v>0</v>
      </c>
      <c r="AL118" s="254">
        <f t="shared" ref="AL118:AL129" si="73">SUM(W118:AK118)</f>
        <v>426.84939849824968</v>
      </c>
    </row>
    <row r="119" spans="1:38" ht="14.4" customHeight="1">
      <c r="A119" s="437"/>
      <c r="B119" s="252" t="s">
        <v>374</v>
      </c>
      <c r="C119" s="243">
        <v>0</v>
      </c>
      <c r="D119" s="243">
        <v>0</v>
      </c>
      <c r="E119" s="243">
        <v>0</v>
      </c>
      <c r="F119" s="243">
        <v>0</v>
      </c>
      <c r="G119" s="243">
        <v>0</v>
      </c>
      <c r="H119" s="243">
        <v>0</v>
      </c>
      <c r="I119" s="255">
        <f>$P$119*$L$18*V$17</f>
        <v>0</v>
      </c>
      <c r="J119" s="255">
        <f t="shared" ref="J119:N119" si="74">$P$119*$L$18*W$17</f>
        <v>0</v>
      </c>
      <c r="K119" s="255">
        <f t="shared" si="74"/>
        <v>0</v>
      </c>
      <c r="L119" s="255">
        <f t="shared" si="74"/>
        <v>0</v>
      </c>
      <c r="M119" s="255">
        <f t="shared" si="74"/>
        <v>0</v>
      </c>
      <c r="N119" s="255">
        <f t="shared" si="74"/>
        <v>0</v>
      </c>
      <c r="O119" s="243">
        <v>0</v>
      </c>
      <c r="P119" s="243">
        <f>P129/(1+$R$18)</f>
        <v>0</v>
      </c>
      <c r="Q119" s="243">
        <v>0</v>
      </c>
      <c r="R119" s="254">
        <f t="shared" si="72"/>
        <v>0</v>
      </c>
      <c r="U119" s="437"/>
      <c r="V119" s="252" t="s">
        <v>374</v>
      </c>
      <c r="W119" s="243">
        <v>0</v>
      </c>
      <c r="X119" s="243">
        <v>0</v>
      </c>
      <c r="Y119" s="243">
        <v>0</v>
      </c>
      <c r="Z119" s="243">
        <v>0</v>
      </c>
      <c r="AA119" s="243">
        <v>0</v>
      </c>
      <c r="AB119" s="243">
        <v>0</v>
      </c>
      <c r="AC119" s="255">
        <f>$AJ$119*$L$18*V$17</f>
        <v>0</v>
      </c>
      <c r="AD119" s="255">
        <f t="shared" ref="AD119:AH119" si="75">$AJ$119*$L$18*W$17</f>
        <v>0</v>
      </c>
      <c r="AE119" s="255">
        <f t="shared" si="75"/>
        <v>0</v>
      </c>
      <c r="AF119" s="255">
        <f t="shared" si="75"/>
        <v>0</v>
      </c>
      <c r="AG119" s="255">
        <f t="shared" si="75"/>
        <v>0</v>
      </c>
      <c r="AH119" s="255">
        <f t="shared" si="75"/>
        <v>0</v>
      </c>
      <c r="AI119" s="243">
        <v>0</v>
      </c>
      <c r="AJ119" s="243">
        <f>AJ129/(1+$R$18)</f>
        <v>0</v>
      </c>
      <c r="AK119" s="243">
        <v>0</v>
      </c>
      <c r="AL119" s="254">
        <f t="shared" si="73"/>
        <v>0</v>
      </c>
    </row>
    <row r="120" spans="1:38" ht="14.4" customHeight="1">
      <c r="A120" s="437"/>
      <c r="B120" s="252" t="s">
        <v>375</v>
      </c>
      <c r="C120" s="243">
        <v>0</v>
      </c>
      <c r="D120" s="243">
        <v>0</v>
      </c>
      <c r="E120" s="243">
        <v>0</v>
      </c>
      <c r="F120" s="243">
        <v>0</v>
      </c>
      <c r="G120" s="243">
        <v>0</v>
      </c>
      <c r="H120" s="243">
        <v>0</v>
      </c>
      <c r="I120" s="256">
        <v>0</v>
      </c>
      <c r="J120" s="256">
        <v>0</v>
      </c>
      <c r="K120" s="256">
        <v>0</v>
      </c>
      <c r="L120" s="256">
        <v>0</v>
      </c>
      <c r="M120" s="256">
        <v>0</v>
      </c>
      <c r="N120" s="256">
        <v>0</v>
      </c>
      <c r="O120" s="243">
        <v>0</v>
      </c>
      <c r="P120" s="243">
        <v>0</v>
      </c>
      <c r="Q120" s="243">
        <v>0</v>
      </c>
      <c r="R120" s="254">
        <f t="shared" si="72"/>
        <v>0</v>
      </c>
      <c r="U120" s="437"/>
      <c r="V120" s="252" t="s">
        <v>375</v>
      </c>
      <c r="W120" s="243">
        <v>0</v>
      </c>
      <c r="X120" s="243">
        <v>0</v>
      </c>
      <c r="Y120" s="243">
        <v>0</v>
      </c>
      <c r="Z120" s="243">
        <v>0</v>
      </c>
      <c r="AA120" s="243">
        <v>0</v>
      </c>
      <c r="AB120" s="243">
        <v>0</v>
      </c>
      <c r="AC120" s="256">
        <v>0</v>
      </c>
      <c r="AD120" s="256">
        <v>0</v>
      </c>
      <c r="AE120" s="256">
        <v>0</v>
      </c>
      <c r="AF120" s="256">
        <v>0</v>
      </c>
      <c r="AG120" s="256">
        <v>0</v>
      </c>
      <c r="AH120" s="256">
        <v>0</v>
      </c>
      <c r="AI120" s="243">
        <v>0</v>
      </c>
      <c r="AJ120" s="243">
        <v>0</v>
      </c>
      <c r="AK120" s="243">
        <v>0</v>
      </c>
      <c r="AL120" s="254">
        <f t="shared" si="73"/>
        <v>0</v>
      </c>
    </row>
    <row r="121" spans="1:38" ht="14.4" customHeight="1">
      <c r="A121" s="437"/>
      <c r="B121" s="252" t="s">
        <v>376</v>
      </c>
      <c r="C121" s="243">
        <v>0</v>
      </c>
      <c r="D121" s="243">
        <v>0</v>
      </c>
      <c r="E121" s="243">
        <v>0</v>
      </c>
      <c r="F121" s="243">
        <v>0</v>
      </c>
      <c r="G121" s="243">
        <v>0</v>
      </c>
      <c r="H121" s="243">
        <v>0</v>
      </c>
      <c r="I121" s="243">
        <v>0</v>
      </c>
      <c r="J121" s="243">
        <v>0</v>
      </c>
      <c r="K121" s="243">
        <v>0</v>
      </c>
      <c r="L121" s="243">
        <v>0</v>
      </c>
      <c r="M121" s="243">
        <v>0</v>
      </c>
      <c r="N121" s="243">
        <v>0</v>
      </c>
      <c r="O121" s="243">
        <v>0</v>
      </c>
      <c r="P121" s="243">
        <v>0</v>
      </c>
      <c r="Q121" s="243">
        <v>0</v>
      </c>
      <c r="R121" s="254">
        <f t="shared" si="72"/>
        <v>0</v>
      </c>
      <c r="U121" s="437"/>
      <c r="V121" s="252" t="s">
        <v>376</v>
      </c>
      <c r="W121" s="243">
        <v>0</v>
      </c>
      <c r="X121" s="243">
        <v>0</v>
      </c>
      <c r="Y121" s="243">
        <v>0</v>
      </c>
      <c r="Z121" s="243">
        <v>0</v>
      </c>
      <c r="AA121" s="243">
        <v>0</v>
      </c>
      <c r="AB121" s="243">
        <v>0</v>
      </c>
      <c r="AC121" s="243">
        <v>0</v>
      </c>
      <c r="AD121" s="243">
        <v>0</v>
      </c>
      <c r="AE121" s="243">
        <v>0</v>
      </c>
      <c r="AF121" s="243">
        <v>0</v>
      </c>
      <c r="AG121" s="243">
        <v>0</v>
      </c>
      <c r="AH121" s="243">
        <v>0</v>
      </c>
      <c r="AI121" s="243">
        <v>0</v>
      </c>
      <c r="AJ121" s="243">
        <v>0</v>
      </c>
      <c r="AK121" s="243">
        <v>0</v>
      </c>
      <c r="AL121" s="254">
        <f t="shared" si="73"/>
        <v>0</v>
      </c>
    </row>
    <row r="122" spans="1:38" ht="14.4" customHeight="1">
      <c r="A122" s="437"/>
      <c r="B122" s="252" t="s">
        <v>36</v>
      </c>
      <c r="C122" s="243">
        <v>0</v>
      </c>
      <c r="D122" s="243">
        <v>0</v>
      </c>
      <c r="E122" s="243">
        <v>0</v>
      </c>
      <c r="F122" s="243">
        <v>0</v>
      </c>
      <c r="G122" s="243">
        <v>0</v>
      </c>
      <c r="H122" s="243">
        <v>0</v>
      </c>
      <c r="I122" s="243">
        <v>0</v>
      </c>
      <c r="J122" s="243">
        <v>0</v>
      </c>
      <c r="K122" s="243">
        <v>0</v>
      </c>
      <c r="L122" s="243">
        <v>0</v>
      </c>
      <c r="M122" s="243">
        <v>0</v>
      </c>
      <c r="N122" s="243">
        <v>0</v>
      </c>
      <c r="O122" s="243">
        <v>0</v>
      </c>
      <c r="P122" s="243">
        <v>0</v>
      </c>
      <c r="Q122" s="243">
        <v>0</v>
      </c>
      <c r="R122" s="254">
        <f t="shared" si="72"/>
        <v>0</v>
      </c>
      <c r="U122" s="437"/>
      <c r="V122" s="252" t="s">
        <v>36</v>
      </c>
      <c r="W122" s="243">
        <v>0</v>
      </c>
      <c r="X122" s="243">
        <v>0</v>
      </c>
      <c r="Y122" s="243">
        <v>0</v>
      </c>
      <c r="Z122" s="243">
        <v>0</v>
      </c>
      <c r="AA122" s="243">
        <v>0</v>
      </c>
      <c r="AB122" s="243">
        <v>0</v>
      </c>
      <c r="AC122" s="243">
        <v>0</v>
      </c>
      <c r="AD122" s="243">
        <v>0</v>
      </c>
      <c r="AE122" s="243">
        <v>0</v>
      </c>
      <c r="AF122" s="243">
        <v>0</v>
      </c>
      <c r="AG122" s="243">
        <v>0</v>
      </c>
      <c r="AH122" s="243">
        <v>0</v>
      </c>
      <c r="AI122" s="243">
        <v>0</v>
      </c>
      <c r="AJ122" s="243">
        <v>0</v>
      </c>
      <c r="AK122" s="243">
        <v>0</v>
      </c>
      <c r="AL122" s="254">
        <f t="shared" si="73"/>
        <v>0</v>
      </c>
    </row>
    <row r="123" spans="1:38" ht="14.4" customHeight="1">
      <c r="A123" s="437"/>
      <c r="B123" s="252" t="s">
        <v>377</v>
      </c>
      <c r="C123" s="243">
        <v>0</v>
      </c>
      <c r="D123" s="243">
        <v>0</v>
      </c>
      <c r="E123" s="243">
        <v>0</v>
      </c>
      <c r="F123" s="243">
        <v>0</v>
      </c>
      <c r="G123" s="243">
        <v>0</v>
      </c>
      <c r="H123" s="243">
        <v>0</v>
      </c>
      <c r="I123" s="243">
        <v>0</v>
      </c>
      <c r="J123" s="243">
        <v>0</v>
      </c>
      <c r="K123" s="243">
        <v>0</v>
      </c>
      <c r="L123" s="243">
        <v>0</v>
      </c>
      <c r="M123" s="243">
        <v>0</v>
      </c>
      <c r="N123" s="243">
        <v>0</v>
      </c>
      <c r="O123" s="243">
        <v>0</v>
      </c>
      <c r="P123" s="243">
        <v>0</v>
      </c>
      <c r="Q123" s="243">
        <v>0</v>
      </c>
      <c r="R123" s="254">
        <f t="shared" si="72"/>
        <v>0</v>
      </c>
      <c r="U123" s="437"/>
      <c r="V123" s="252" t="s">
        <v>377</v>
      </c>
      <c r="W123" s="243">
        <v>0</v>
      </c>
      <c r="X123" s="243">
        <v>0</v>
      </c>
      <c r="Y123" s="243">
        <v>0</v>
      </c>
      <c r="Z123" s="243">
        <v>0</v>
      </c>
      <c r="AA123" s="243">
        <v>0</v>
      </c>
      <c r="AB123" s="243">
        <v>0</v>
      </c>
      <c r="AC123" s="243">
        <v>0</v>
      </c>
      <c r="AD123" s="243">
        <v>0</v>
      </c>
      <c r="AE123" s="243">
        <v>0</v>
      </c>
      <c r="AF123" s="243">
        <v>0</v>
      </c>
      <c r="AG123" s="243">
        <v>0</v>
      </c>
      <c r="AH123" s="243">
        <v>0</v>
      </c>
      <c r="AI123" s="243">
        <v>0</v>
      </c>
      <c r="AJ123" s="243">
        <v>0</v>
      </c>
      <c r="AK123" s="243">
        <v>0</v>
      </c>
      <c r="AL123" s="254">
        <f t="shared" si="73"/>
        <v>0</v>
      </c>
    </row>
    <row r="124" spans="1:38" ht="14.4" customHeight="1">
      <c r="A124" s="437"/>
      <c r="B124" s="252" t="s">
        <v>378</v>
      </c>
      <c r="C124" s="243">
        <v>0</v>
      </c>
      <c r="D124" s="243">
        <v>0</v>
      </c>
      <c r="E124" s="243">
        <v>0</v>
      </c>
      <c r="F124" s="243">
        <v>0</v>
      </c>
      <c r="G124" s="243">
        <v>0</v>
      </c>
      <c r="H124" s="243">
        <v>0</v>
      </c>
      <c r="I124" s="243">
        <v>0</v>
      </c>
      <c r="J124" s="243">
        <v>0</v>
      </c>
      <c r="K124" s="243">
        <v>0</v>
      </c>
      <c r="L124" s="243">
        <v>0</v>
      </c>
      <c r="M124" s="243">
        <v>0</v>
      </c>
      <c r="N124" s="243">
        <v>0</v>
      </c>
      <c r="O124" s="243">
        <v>0</v>
      </c>
      <c r="P124" s="243">
        <v>0</v>
      </c>
      <c r="Q124" s="243">
        <v>0</v>
      </c>
      <c r="R124" s="254">
        <f t="shared" si="72"/>
        <v>0</v>
      </c>
      <c r="U124" s="437"/>
      <c r="V124" s="252" t="s">
        <v>378</v>
      </c>
      <c r="W124" s="243">
        <v>0</v>
      </c>
      <c r="X124" s="243">
        <v>0</v>
      </c>
      <c r="Y124" s="243">
        <v>0</v>
      </c>
      <c r="Z124" s="243">
        <v>0</v>
      </c>
      <c r="AA124" s="243">
        <v>0</v>
      </c>
      <c r="AB124" s="243">
        <v>0</v>
      </c>
      <c r="AC124" s="243">
        <v>0</v>
      </c>
      <c r="AD124" s="243">
        <v>0</v>
      </c>
      <c r="AE124" s="243">
        <v>0</v>
      </c>
      <c r="AF124" s="243">
        <v>0</v>
      </c>
      <c r="AG124" s="243">
        <v>0</v>
      </c>
      <c r="AH124" s="243">
        <v>0</v>
      </c>
      <c r="AI124" s="243">
        <v>0</v>
      </c>
      <c r="AJ124" s="243">
        <v>0</v>
      </c>
      <c r="AK124" s="243">
        <v>0</v>
      </c>
      <c r="AL124" s="254">
        <f t="shared" si="73"/>
        <v>0</v>
      </c>
    </row>
    <row r="125" spans="1:38" ht="14.4" customHeight="1">
      <c r="A125" s="437"/>
      <c r="B125" s="252" t="s">
        <v>379</v>
      </c>
      <c r="C125" s="243">
        <v>0</v>
      </c>
      <c r="D125" s="243">
        <v>0</v>
      </c>
      <c r="E125" s="243">
        <v>0</v>
      </c>
      <c r="F125" s="243">
        <v>0</v>
      </c>
      <c r="G125" s="243">
        <v>0</v>
      </c>
      <c r="H125" s="243">
        <v>0</v>
      </c>
      <c r="I125" s="243">
        <v>0</v>
      </c>
      <c r="J125" s="243">
        <v>0</v>
      </c>
      <c r="K125" s="243">
        <v>0</v>
      </c>
      <c r="L125" s="243">
        <v>0</v>
      </c>
      <c r="M125" s="243">
        <v>0</v>
      </c>
      <c r="N125" s="243">
        <v>0</v>
      </c>
      <c r="O125" s="243">
        <v>0</v>
      </c>
      <c r="P125" s="243">
        <v>0</v>
      </c>
      <c r="Q125" s="243">
        <v>0</v>
      </c>
      <c r="R125" s="254">
        <f t="shared" si="72"/>
        <v>0</v>
      </c>
      <c r="U125" s="437"/>
      <c r="V125" s="252" t="s">
        <v>379</v>
      </c>
      <c r="W125" s="243">
        <v>0</v>
      </c>
      <c r="X125" s="243">
        <v>0</v>
      </c>
      <c r="Y125" s="243">
        <v>0</v>
      </c>
      <c r="Z125" s="243">
        <v>0</v>
      </c>
      <c r="AA125" s="243">
        <v>0</v>
      </c>
      <c r="AB125" s="243">
        <v>0</v>
      </c>
      <c r="AC125" s="243">
        <v>0</v>
      </c>
      <c r="AD125" s="243">
        <v>0</v>
      </c>
      <c r="AE125" s="243">
        <v>0</v>
      </c>
      <c r="AF125" s="243">
        <v>0</v>
      </c>
      <c r="AG125" s="243">
        <v>0</v>
      </c>
      <c r="AH125" s="243">
        <v>0</v>
      </c>
      <c r="AI125" s="243">
        <v>0</v>
      </c>
      <c r="AJ125" s="243">
        <v>0</v>
      </c>
      <c r="AK125" s="243">
        <v>0</v>
      </c>
      <c r="AL125" s="254">
        <f t="shared" si="73"/>
        <v>0</v>
      </c>
    </row>
    <row r="126" spans="1:38" ht="14.4" customHeight="1">
      <c r="A126" s="437"/>
      <c r="B126" s="252" t="s">
        <v>37</v>
      </c>
      <c r="C126" s="243">
        <v>0</v>
      </c>
      <c r="D126" s="243">
        <v>0</v>
      </c>
      <c r="E126" s="243">
        <v>0</v>
      </c>
      <c r="F126" s="243">
        <v>0</v>
      </c>
      <c r="G126" s="243">
        <v>0</v>
      </c>
      <c r="H126" s="243">
        <v>0</v>
      </c>
      <c r="I126" s="243">
        <v>0</v>
      </c>
      <c r="J126" s="243">
        <v>0</v>
      </c>
      <c r="K126" s="243">
        <v>0</v>
      </c>
      <c r="L126" s="243">
        <v>0</v>
      </c>
      <c r="M126" s="243">
        <v>0</v>
      </c>
      <c r="N126" s="243">
        <v>0</v>
      </c>
      <c r="O126" s="243">
        <v>0</v>
      </c>
      <c r="P126" s="243">
        <v>0</v>
      </c>
      <c r="Q126" s="243">
        <v>0</v>
      </c>
      <c r="R126" s="254">
        <f t="shared" si="72"/>
        <v>0</v>
      </c>
      <c r="U126" s="437"/>
      <c r="V126" s="252" t="s">
        <v>37</v>
      </c>
      <c r="W126" s="243">
        <v>0</v>
      </c>
      <c r="X126" s="243">
        <v>0</v>
      </c>
      <c r="Y126" s="243">
        <v>0</v>
      </c>
      <c r="Z126" s="243">
        <v>0</v>
      </c>
      <c r="AA126" s="243">
        <v>0</v>
      </c>
      <c r="AB126" s="243">
        <v>0</v>
      </c>
      <c r="AC126" s="243">
        <v>0</v>
      </c>
      <c r="AD126" s="243">
        <v>0</v>
      </c>
      <c r="AE126" s="243">
        <v>0</v>
      </c>
      <c r="AF126" s="243">
        <v>0</v>
      </c>
      <c r="AG126" s="243">
        <v>0</v>
      </c>
      <c r="AH126" s="243">
        <v>0</v>
      </c>
      <c r="AI126" s="243">
        <v>0</v>
      </c>
      <c r="AJ126" s="243">
        <v>0</v>
      </c>
      <c r="AK126" s="243">
        <v>0</v>
      </c>
      <c r="AL126" s="254">
        <f t="shared" si="73"/>
        <v>0</v>
      </c>
    </row>
    <row r="127" spans="1:38" ht="14.4" customHeight="1">
      <c r="A127" s="437"/>
      <c r="B127" s="252" t="s">
        <v>38</v>
      </c>
      <c r="C127" s="243">
        <v>0</v>
      </c>
      <c r="D127" s="243">
        <v>0</v>
      </c>
      <c r="E127" s="243">
        <v>0</v>
      </c>
      <c r="F127" s="243">
        <v>0</v>
      </c>
      <c r="G127" s="243">
        <v>0</v>
      </c>
      <c r="H127" s="243">
        <v>0</v>
      </c>
      <c r="I127" s="243">
        <v>0</v>
      </c>
      <c r="J127" s="243">
        <v>0</v>
      </c>
      <c r="K127" s="243">
        <v>0</v>
      </c>
      <c r="L127" s="243">
        <v>0</v>
      </c>
      <c r="M127" s="243">
        <v>0</v>
      </c>
      <c r="N127" s="243">
        <v>0</v>
      </c>
      <c r="O127" s="243">
        <f>O118*$F$17</f>
        <v>11.731644621505229</v>
      </c>
      <c r="P127" s="243">
        <v>0</v>
      </c>
      <c r="Q127" s="243">
        <v>0</v>
      </c>
      <c r="R127" s="254">
        <f t="shared" si="72"/>
        <v>11.731644621505229</v>
      </c>
      <c r="U127" s="437"/>
      <c r="V127" s="252" t="s">
        <v>38</v>
      </c>
      <c r="W127" s="243">
        <v>0</v>
      </c>
      <c r="X127" s="243">
        <v>0</v>
      </c>
      <c r="Y127" s="243">
        <v>0</v>
      </c>
      <c r="Z127" s="243">
        <v>0</v>
      </c>
      <c r="AA127" s="243">
        <v>0</v>
      </c>
      <c r="AB127" s="243">
        <v>0</v>
      </c>
      <c r="AC127" s="243">
        <v>0</v>
      </c>
      <c r="AD127" s="243">
        <v>0</v>
      </c>
      <c r="AE127" s="243">
        <v>0</v>
      </c>
      <c r="AF127" s="243">
        <v>0</v>
      </c>
      <c r="AG127" s="243">
        <v>0</v>
      </c>
      <c r="AH127" s="243">
        <v>0</v>
      </c>
      <c r="AI127" s="243">
        <f>AI118*$F$17</f>
        <v>10.392930237650978</v>
      </c>
      <c r="AJ127" s="243">
        <v>0</v>
      </c>
      <c r="AK127" s="243">
        <v>0</v>
      </c>
      <c r="AL127" s="254">
        <f t="shared" si="73"/>
        <v>10.392930237650978</v>
      </c>
    </row>
    <row r="128" spans="1:38" ht="14.4" customHeight="1">
      <c r="A128" s="437"/>
      <c r="B128" s="252" t="s">
        <v>39</v>
      </c>
      <c r="C128" s="243">
        <v>0</v>
      </c>
      <c r="D128" s="243">
        <v>0</v>
      </c>
      <c r="E128" s="243">
        <v>0</v>
      </c>
      <c r="F128" s="243">
        <v>0</v>
      </c>
      <c r="G128" s="243">
        <v>0</v>
      </c>
      <c r="H128" s="243">
        <v>0</v>
      </c>
      <c r="I128" s="243">
        <v>0</v>
      </c>
      <c r="J128" s="243">
        <v>0</v>
      </c>
      <c r="K128" s="243">
        <v>0</v>
      </c>
      <c r="L128" s="243">
        <v>0</v>
      </c>
      <c r="M128" s="243">
        <v>0</v>
      </c>
      <c r="N128" s="243">
        <v>0</v>
      </c>
      <c r="O128" s="243">
        <f>O118*$F$18</f>
        <v>97.449176513948288</v>
      </c>
      <c r="P128" s="243">
        <f>P119*$R$18</f>
        <v>0</v>
      </c>
      <c r="Q128" s="243">
        <v>0</v>
      </c>
      <c r="R128" s="254">
        <f t="shared" si="72"/>
        <v>97.449176513948288</v>
      </c>
      <c r="S128" s="259"/>
      <c r="U128" s="437"/>
      <c r="V128" s="252" t="s">
        <v>39</v>
      </c>
      <c r="W128" s="243">
        <v>0</v>
      </c>
      <c r="X128" s="243">
        <v>0</v>
      </c>
      <c r="Y128" s="243">
        <v>0</v>
      </c>
      <c r="Z128" s="243">
        <v>0</v>
      </c>
      <c r="AA128" s="243">
        <v>0</v>
      </c>
      <c r="AB128" s="243">
        <v>0</v>
      </c>
      <c r="AC128" s="243">
        <v>0</v>
      </c>
      <c r="AD128" s="243">
        <v>0</v>
      </c>
      <c r="AE128" s="243">
        <v>0</v>
      </c>
      <c r="AF128" s="243">
        <v>0</v>
      </c>
      <c r="AG128" s="243">
        <v>0</v>
      </c>
      <c r="AH128" s="243">
        <v>0</v>
      </c>
      <c r="AI128" s="243">
        <f>AI118*$F$18</f>
        <v>86.329114621275963</v>
      </c>
      <c r="AJ128" s="243">
        <f>AJ119*$R$18</f>
        <v>0</v>
      </c>
      <c r="AK128" s="243">
        <v>0</v>
      </c>
      <c r="AL128" s="254">
        <f t="shared" si="73"/>
        <v>86.329114621275963</v>
      </c>
    </row>
    <row r="129" spans="1:38" ht="14.4" customHeight="1">
      <c r="A129" s="437"/>
      <c r="B129" s="247" t="s">
        <v>40</v>
      </c>
      <c r="C129" s="248">
        <f>SUM(C117:C128)</f>
        <v>0</v>
      </c>
      <c r="D129" s="248">
        <f t="shared" ref="D129:N129" si="76">SUM(D117:D128)</f>
        <v>0</v>
      </c>
      <c r="E129" s="248">
        <f t="shared" si="76"/>
        <v>45.022593855970975</v>
      </c>
      <c r="F129" s="248">
        <f t="shared" si="76"/>
        <v>0</v>
      </c>
      <c r="G129" s="248">
        <f t="shared" si="76"/>
        <v>0</v>
      </c>
      <c r="H129" s="248">
        <f t="shared" si="76"/>
        <v>635.07421434438425</v>
      </c>
      <c r="I129" s="248">
        <f t="shared" si="76"/>
        <v>234.62668246100137</v>
      </c>
      <c r="J129" s="248">
        <f t="shared" si="76"/>
        <v>0</v>
      </c>
      <c r="K129" s="248">
        <f t="shared" si="76"/>
        <v>604.40559051487332</v>
      </c>
      <c r="L129" s="248">
        <f t="shared" si="76"/>
        <v>0</v>
      </c>
      <c r="M129" s="248">
        <f t="shared" si="76"/>
        <v>0</v>
      </c>
      <c r="N129" s="248">
        <f t="shared" si="76"/>
        <v>0</v>
      </c>
      <c r="O129" s="248">
        <f>-O139</f>
        <v>-881.31624369590793</v>
      </c>
      <c r="P129" s="248">
        <f>-P131</f>
        <v>0</v>
      </c>
      <c r="Q129" s="248">
        <f t="shared" ref="Q129" si="77">SUM(Q117:Q128)</f>
        <v>0</v>
      </c>
      <c r="R129" s="248">
        <f t="shared" si="72"/>
        <v>637.81283748032195</v>
      </c>
      <c r="U129" s="437"/>
      <c r="V129" s="247" t="s">
        <v>40</v>
      </c>
      <c r="W129" s="248">
        <f>SUM(W117:W128)</f>
        <v>0</v>
      </c>
      <c r="X129" s="248">
        <f t="shared" ref="X129:AH129" si="78">SUM(X117:X128)</f>
        <v>0</v>
      </c>
      <c r="Y129" s="248">
        <f t="shared" si="78"/>
        <v>19.94250133546765</v>
      </c>
      <c r="Z129" s="248">
        <f t="shared" si="78"/>
        <v>0</v>
      </c>
      <c r="AA129" s="248">
        <f t="shared" si="78"/>
        <v>0</v>
      </c>
      <c r="AB129" s="248">
        <f t="shared" si="78"/>
        <v>582.4009089148974</v>
      </c>
      <c r="AC129" s="248">
        <f t="shared" si="78"/>
        <v>196.30032882110487</v>
      </c>
      <c r="AD129" s="248">
        <f t="shared" si="78"/>
        <v>0</v>
      </c>
      <c r="AE129" s="248">
        <f t="shared" si="78"/>
        <v>505.67571818735644</v>
      </c>
      <c r="AF129" s="248">
        <f t="shared" si="78"/>
        <v>0</v>
      </c>
      <c r="AG129" s="248">
        <f t="shared" si="78"/>
        <v>0</v>
      </c>
      <c r="AH129" s="248">
        <f t="shared" si="78"/>
        <v>0</v>
      </c>
      <c r="AI129" s="248">
        <f>-AI139</f>
        <v>-780.74801390164976</v>
      </c>
      <c r="AJ129" s="248">
        <f>-AJ131</f>
        <v>0</v>
      </c>
      <c r="AK129" s="248">
        <f t="shared" ref="AK129" si="79">SUM(AK117:AK128)</f>
        <v>0</v>
      </c>
      <c r="AL129" s="248">
        <f t="shared" si="73"/>
        <v>523.57144335717658</v>
      </c>
    </row>
    <row r="130" spans="1:38" ht="14.4" customHeight="1">
      <c r="A130" s="437"/>
      <c r="B130" s="249"/>
      <c r="C130" s="250"/>
      <c r="D130" s="250"/>
      <c r="E130" s="257"/>
      <c r="F130" s="250"/>
      <c r="G130" s="250"/>
      <c r="H130" s="250"/>
      <c r="I130" s="257"/>
      <c r="J130" s="250"/>
      <c r="K130" s="250"/>
      <c r="L130" s="250"/>
      <c r="M130" s="258"/>
      <c r="N130" s="250"/>
      <c r="O130" s="250"/>
      <c r="P130" s="250"/>
      <c r="Q130" s="250"/>
      <c r="R130" s="250"/>
      <c r="U130" s="437"/>
      <c r="V130" s="249"/>
      <c r="W130" s="250"/>
      <c r="X130" s="250"/>
      <c r="Y130" s="257"/>
      <c r="Z130" s="250"/>
      <c r="AA130" s="250"/>
      <c r="AB130" s="250"/>
      <c r="AC130" s="257"/>
      <c r="AD130" s="250"/>
      <c r="AE130" s="250"/>
      <c r="AF130" s="250"/>
      <c r="AG130" s="258"/>
      <c r="AH130" s="250"/>
      <c r="AI130" s="250"/>
      <c r="AJ130" s="250"/>
      <c r="AK130" s="250"/>
      <c r="AL130" s="250"/>
    </row>
    <row r="131" spans="1:38" ht="14.4" customHeight="1">
      <c r="A131" s="437"/>
      <c r="B131" s="252" t="s">
        <v>41</v>
      </c>
      <c r="C131" s="243">
        <v>0</v>
      </c>
      <c r="D131" s="243">
        <v>0</v>
      </c>
      <c r="E131" s="243">
        <f>Industrie!$E$35</f>
        <v>14.891166572758591</v>
      </c>
      <c r="F131" s="243">
        <v>0</v>
      </c>
      <c r="G131" s="243">
        <v>0</v>
      </c>
      <c r="H131" s="243">
        <v>0</v>
      </c>
      <c r="I131" s="243">
        <f>Industrie!$E$38*$I$49/SUM($I$49:$N$49)</f>
        <v>1.2013246741887709</v>
      </c>
      <c r="J131" s="243">
        <f>Industrie!$E$38*$J$49/SUM($I$49:$N$49)</f>
        <v>0</v>
      </c>
      <c r="K131" s="243">
        <f>Industrie!$E$38*$K$49/SUM($I$49:$N$49)</f>
        <v>0</v>
      </c>
      <c r="L131" s="243">
        <f>Industrie!$E$38*$L$49/SUM($I$49:$N$49)</f>
        <v>0</v>
      </c>
      <c r="M131" s="243">
        <f>Industrie!$E$38*$M$49/SUM($I$49:$N$49)</f>
        <v>0</v>
      </c>
      <c r="N131" s="243">
        <f>Industrie!$E$38*$N$49/SUM($I$49:$N$49)</f>
        <v>0</v>
      </c>
      <c r="O131" s="243">
        <f>Industrie!$E$36</f>
        <v>37.96209588367396</v>
      </c>
      <c r="P131" s="243">
        <f>Industrie!$E$39</f>
        <v>0</v>
      </c>
      <c r="Q131" s="243">
        <v>0</v>
      </c>
      <c r="R131" s="254">
        <f>SUM(C131:Q131)</f>
        <v>54.054587130621321</v>
      </c>
      <c r="U131" s="437"/>
      <c r="V131" s="252" t="s">
        <v>41</v>
      </c>
      <c r="W131" s="243">
        <v>0</v>
      </c>
      <c r="X131" s="243">
        <v>0</v>
      </c>
      <c r="Y131" s="243">
        <f>Industrie!$E$56</f>
        <v>9.1864793832152696</v>
      </c>
      <c r="Z131" s="243">
        <v>0</v>
      </c>
      <c r="AA131" s="243">
        <v>0</v>
      </c>
      <c r="AB131" s="243">
        <v>0</v>
      </c>
      <c r="AC131" s="243">
        <f>Industrie!$E$62*$AC$49/SUM($I$49:$N$49)</f>
        <v>3.497944519992588</v>
      </c>
      <c r="AD131" s="243">
        <f>Industrie!$E$62*$AD$49/SUM($I$49:$N$49)</f>
        <v>0</v>
      </c>
      <c r="AE131" s="243">
        <f>Industrie!$E$62*$AE$49/SUM($I$49:$N$49)</f>
        <v>0</v>
      </c>
      <c r="AF131" s="243">
        <f>Industrie!$E$62*$AF$49/SUM($I$49:$N$49)</f>
        <v>0</v>
      </c>
      <c r="AG131" s="243">
        <f>Industrie!$E$62*$AG$49/SUM($I$49:$N$49)</f>
        <v>0</v>
      </c>
      <c r="AH131" s="243">
        <f>Industrie!$E$62*$AH$49/SUM($I$49:$N$49)</f>
        <v>0</v>
      </c>
      <c r="AI131" s="243">
        <f>Industrie!$E$57</f>
        <v>38.312299428588929</v>
      </c>
      <c r="AJ131" s="243">
        <f>Industrie!$E$63</f>
        <v>0</v>
      </c>
      <c r="AK131" s="243">
        <v>0</v>
      </c>
      <c r="AL131" s="254">
        <f>SUM(W131:AK131)</f>
        <v>50.996723331796787</v>
      </c>
    </row>
    <row r="132" spans="1:38" ht="14.4" customHeight="1">
      <c r="A132" s="437"/>
      <c r="B132" s="252" t="s">
        <v>42</v>
      </c>
      <c r="C132" s="243">
        <v>0</v>
      </c>
      <c r="D132" s="243">
        <v>0</v>
      </c>
      <c r="E132" s="243">
        <f>Transports!$G$44</f>
        <v>1182.3427108368273</v>
      </c>
      <c r="F132" s="243">
        <v>0</v>
      </c>
      <c r="G132" s="243">
        <v>0</v>
      </c>
      <c r="H132" s="243">
        <v>0</v>
      </c>
      <c r="I132" s="243">
        <v>0</v>
      </c>
      <c r="J132" s="243">
        <v>0</v>
      </c>
      <c r="K132" s="243">
        <v>0</v>
      </c>
      <c r="L132" s="243">
        <v>0</v>
      </c>
      <c r="M132" s="243">
        <v>0</v>
      </c>
      <c r="N132" s="243">
        <v>0</v>
      </c>
      <c r="O132" s="243">
        <f>Transports!$G$45</f>
        <v>38.595421954342527</v>
      </c>
      <c r="P132" s="243">
        <v>0</v>
      </c>
      <c r="Q132" s="243">
        <v>0</v>
      </c>
      <c r="R132" s="254">
        <f t="shared" ref="R132:R139" si="80">SUM(C132:Q132)</f>
        <v>1220.9381327911699</v>
      </c>
      <c r="U132" s="437"/>
      <c r="V132" s="252" t="s">
        <v>42</v>
      </c>
      <c r="W132" s="243">
        <v>0</v>
      </c>
      <c r="X132" s="243">
        <v>0</v>
      </c>
      <c r="Y132" s="243">
        <f>Transports!$G$71</f>
        <v>1085.6811435067389</v>
      </c>
      <c r="Z132" s="243">
        <v>0</v>
      </c>
      <c r="AA132" s="243">
        <v>0</v>
      </c>
      <c r="AB132" s="243">
        <v>0</v>
      </c>
      <c r="AC132" s="243">
        <v>0</v>
      </c>
      <c r="AD132" s="243">
        <v>0</v>
      </c>
      <c r="AE132" s="243">
        <v>0</v>
      </c>
      <c r="AF132" s="243">
        <v>0</v>
      </c>
      <c r="AG132" s="243">
        <v>0</v>
      </c>
      <c r="AH132" s="243">
        <v>0</v>
      </c>
      <c r="AI132" s="243">
        <f>Transports!$G$72</f>
        <v>69.094599185721961</v>
      </c>
      <c r="AJ132" s="243">
        <v>0</v>
      </c>
      <c r="AK132" s="243">
        <v>0</v>
      </c>
      <c r="AL132" s="254">
        <f t="shared" ref="AL132:AL139" si="81">SUM(W132:AK132)</f>
        <v>1154.7757426924609</v>
      </c>
    </row>
    <row r="133" spans="1:38" ht="14.4" customHeight="1">
      <c r="A133" s="437"/>
      <c r="B133" s="252" t="s">
        <v>43</v>
      </c>
      <c r="C133" s="243">
        <v>0</v>
      </c>
      <c r="D133" s="243">
        <v>0</v>
      </c>
      <c r="E133" s="243">
        <f>'Résidentiel-tertiaire'!$E$163</f>
        <v>52.758407900334646</v>
      </c>
      <c r="F133" s="243">
        <v>0</v>
      </c>
      <c r="G133" s="243">
        <v>0</v>
      </c>
      <c r="H133" s="243">
        <v>0</v>
      </c>
      <c r="I133" s="243">
        <f>'Résidentiel-tertiaire'!$E$164*$I$51/SUM($I$51:$N$51)</f>
        <v>0</v>
      </c>
      <c r="J133" s="243">
        <f>'Résidentiel-tertiaire'!$E$164*$J$51/SUM($I$51:$N$51)</f>
        <v>0</v>
      </c>
      <c r="K133" s="243">
        <f>'Résidentiel-tertiaire'!$E$164*$K$51/SUM($I$51:$N$51)</f>
        <v>0</v>
      </c>
      <c r="L133" s="243">
        <f>'Résidentiel-tertiaire'!$E$164*$L$51/SUM($I$51:$N$51)</f>
        <v>0</v>
      </c>
      <c r="M133" s="243">
        <f>'Résidentiel-tertiaire'!$E$164*$M$51/SUM($I$51:$N$51)</f>
        <v>0</v>
      </c>
      <c r="N133" s="243">
        <f>'Résidentiel-tertiaire'!$E$164*$N$51/SUM($I$51:$N$51)</f>
        <v>17.709326760557058</v>
      </c>
      <c r="O133" s="243">
        <f>'Résidentiel-tertiaire'!$E$165</f>
        <v>254.92485371198367</v>
      </c>
      <c r="P133" s="243">
        <v>0</v>
      </c>
      <c r="Q133" s="243">
        <v>0</v>
      </c>
      <c r="R133" s="254">
        <f t="shared" si="80"/>
        <v>325.39258837287537</v>
      </c>
      <c r="U133" s="437"/>
      <c r="V133" s="252" t="s">
        <v>43</v>
      </c>
      <c r="W133" s="243">
        <v>0</v>
      </c>
      <c r="X133" s="243">
        <v>0</v>
      </c>
      <c r="Y133" s="243">
        <f>'Résidentiel-tertiaire'!$E$177</f>
        <v>44.261966666666666</v>
      </c>
      <c r="Z133" s="243">
        <v>0</v>
      </c>
      <c r="AA133" s="243">
        <v>0</v>
      </c>
      <c r="AB133" s="243">
        <v>0</v>
      </c>
      <c r="AC133" s="243">
        <f>'Résidentiel-tertiaire'!$E$178*$AC$51/SUM($I$51:$N$51)</f>
        <v>0</v>
      </c>
      <c r="AD133" s="243">
        <f>'Résidentiel-tertiaire'!$E$178*$AD$51/SUM($I$51:$N$51)</f>
        <v>0</v>
      </c>
      <c r="AE133" s="243">
        <f>'Résidentiel-tertiaire'!$E$178*$AE$51/SUM($I$51:$N$51)</f>
        <v>0</v>
      </c>
      <c r="AF133" s="243">
        <f>'Résidentiel-tertiaire'!$E$178*$AF$51/SUM($I$51:$N$51)</f>
        <v>0</v>
      </c>
      <c r="AG133" s="243">
        <f>'Résidentiel-tertiaire'!$E$178*$AG$51/SUM($I$51:$N$51)</f>
        <v>0</v>
      </c>
      <c r="AH133" s="243">
        <f>'Résidentiel-tertiaire'!$E$178*$AH$51/SUM($I$51:$N$51)</f>
        <v>29.95888684437675</v>
      </c>
      <c r="AI133" s="243">
        <f>'Résidentiel-tertiaire'!$E$179</f>
        <v>202.13118350076877</v>
      </c>
      <c r="AJ133" s="243">
        <v>0</v>
      </c>
      <c r="AK133" s="243">
        <v>0</v>
      </c>
      <c r="AL133" s="254">
        <f t="shared" si="81"/>
        <v>276.35203701181217</v>
      </c>
    </row>
    <row r="134" spans="1:38" ht="14.4" customHeight="1">
      <c r="A134" s="437"/>
      <c r="B134" s="252" t="s">
        <v>44</v>
      </c>
      <c r="C134" s="243">
        <v>0</v>
      </c>
      <c r="D134" s="243">
        <v>0</v>
      </c>
      <c r="E134" s="243">
        <f>'Résidentiel-tertiaire'!$E$168</f>
        <v>0</v>
      </c>
      <c r="F134" s="243">
        <v>0</v>
      </c>
      <c r="G134" s="243">
        <v>0</v>
      </c>
      <c r="H134" s="243">
        <v>0</v>
      </c>
      <c r="I134" s="243">
        <f>'Résidentiel-tertiaire'!$E$169*$I$52/SUM($I$52:$N$52)</f>
        <v>0</v>
      </c>
      <c r="J134" s="243">
        <f>'Résidentiel-tertiaire'!$E$169*$J$52/SUM($I$52:$N$52)</f>
        <v>0</v>
      </c>
      <c r="K134" s="243">
        <f>'Résidentiel-tertiaire'!$E$169*$K$52/SUM($I$52:$N$52)</f>
        <v>0</v>
      </c>
      <c r="L134" s="243">
        <f>'Résidentiel-tertiaire'!$E$169*$L$52/SUM($I$52:$N$52)</f>
        <v>0</v>
      </c>
      <c r="M134" s="243">
        <f>'Résidentiel-tertiaire'!$E$169*$M$52/SUM($I$52:$N$52)</f>
        <v>0</v>
      </c>
      <c r="N134" s="243">
        <f>'Résidentiel-tertiaire'!$E$169*$N$52/SUM($I$52:$N$52)</f>
        <v>0.3517813385012471</v>
      </c>
      <c r="O134" s="243">
        <f>'Résidentiel-tertiaire'!$E$170</f>
        <v>549.26067790929039</v>
      </c>
      <c r="P134" s="243">
        <v>0</v>
      </c>
      <c r="Q134" s="243">
        <v>0</v>
      </c>
      <c r="R134" s="254">
        <f t="shared" si="80"/>
        <v>549.61245924779166</v>
      </c>
      <c r="U134" s="437"/>
      <c r="V134" s="252" t="s">
        <v>44</v>
      </c>
      <c r="W134" s="243">
        <v>0</v>
      </c>
      <c r="X134" s="243">
        <v>0</v>
      </c>
      <c r="Y134" s="243">
        <f>'Résidentiel-tertiaire'!$E$182</f>
        <v>0</v>
      </c>
      <c r="Z134" s="243">
        <v>0</v>
      </c>
      <c r="AA134" s="243">
        <v>0</v>
      </c>
      <c r="AB134" s="243">
        <v>0</v>
      </c>
      <c r="AC134" s="243">
        <f>'Résidentiel-tertiaire'!$E$183*$AC$52/SUM($I$52:$N$52)</f>
        <v>0</v>
      </c>
      <c r="AD134" s="243">
        <f>'Résidentiel-tertiaire'!$E$183*$AD$52/SUM($I$52:$N$52)</f>
        <v>0</v>
      </c>
      <c r="AE134" s="243">
        <f>'Résidentiel-tertiaire'!$E$183*$AE$52/SUM($I$52:$N$52)</f>
        <v>0</v>
      </c>
      <c r="AF134" s="243">
        <f>'Résidentiel-tertiaire'!$E$183*$AF$52/SUM($I$52:$N$52)</f>
        <v>0</v>
      </c>
      <c r="AG134" s="243">
        <f>'Résidentiel-tertiaire'!$E$183*$AG$52/SUM($I$52:$N$52)</f>
        <v>0</v>
      </c>
      <c r="AH134" s="243">
        <f>'Résidentiel-tertiaire'!$E$183*$AH$52/SUM($I$52:$N$52)</f>
        <v>0.30155072552526552</v>
      </c>
      <c r="AI134" s="243">
        <f>'Résidentiel-tertiaire'!$E$184</f>
        <v>470.8321272291098</v>
      </c>
      <c r="AJ134" s="243">
        <v>0</v>
      </c>
      <c r="AK134" s="243">
        <v>0</v>
      </c>
      <c r="AL134" s="254">
        <f t="shared" si="81"/>
        <v>471.13367795463506</v>
      </c>
    </row>
    <row r="135" spans="1:38" ht="14.4" customHeight="1">
      <c r="A135" s="437"/>
      <c r="B135" s="252" t="s">
        <v>4</v>
      </c>
      <c r="C135" s="243">
        <v>0</v>
      </c>
      <c r="D135" s="243">
        <v>0</v>
      </c>
      <c r="E135" s="243">
        <f>Agriculture!$M$27</f>
        <v>66.886774711238289</v>
      </c>
      <c r="F135" s="243">
        <v>0</v>
      </c>
      <c r="G135" s="243">
        <v>0</v>
      </c>
      <c r="H135" s="243">
        <v>0</v>
      </c>
      <c r="I135" s="243">
        <v>0</v>
      </c>
      <c r="J135" s="243">
        <v>0</v>
      </c>
      <c r="K135" s="243">
        <v>0</v>
      </c>
      <c r="L135" s="243">
        <v>0</v>
      </c>
      <c r="M135" s="243">
        <v>0</v>
      </c>
      <c r="N135" s="243">
        <v>0</v>
      </c>
      <c r="O135" s="243">
        <f>Agriculture!$M$28</f>
        <v>0.5731942366174172</v>
      </c>
      <c r="P135" s="243">
        <v>0</v>
      </c>
      <c r="Q135" s="243">
        <v>0</v>
      </c>
      <c r="R135" s="254">
        <f t="shared" si="80"/>
        <v>67.4599689478557</v>
      </c>
      <c r="U135" s="437"/>
      <c r="V135" s="252" t="s">
        <v>4</v>
      </c>
      <c r="W135" s="243">
        <v>0</v>
      </c>
      <c r="X135" s="243">
        <v>0</v>
      </c>
      <c r="Y135" s="243">
        <f>Agriculture!$Q$43</f>
        <v>41.712043010752687</v>
      </c>
      <c r="Z135" s="243">
        <v>0</v>
      </c>
      <c r="AA135" s="243">
        <v>0</v>
      </c>
      <c r="AB135" s="243">
        <v>0</v>
      </c>
      <c r="AC135" s="243">
        <v>0</v>
      </c>
      <c r="AD135" s="243">
        <v>0</v>
      </c>
      <c r="AE135" s="243">
        <f>Agriculture!$Q$45</f>
        <v>21.370122435483871</v>
      </c>
      <c r="AF135" s="243">
        <v>0</v>
      </c>
      <c r="AG135" s="243">
        <v>0</v>
      </c>
      <c r="AH135" s="243">
        <v>0</v>
      </c>
      <c r="AI135" s="243">
        <f>Agriculture!$Q$44</f>
        <v>0.37780455746030617</v>
      </c>
      <c r="AJ135" s="243">
        <v>0</v>
      </c>
      <c r="AK135" s="243">
        <v>0</v>
      </c>
      <c r="AL135" s="254">
        <f t="shared" si="81"/>
        <v>63.459970003696867</v>
      </c>
    </row>
    <row r="136" spans="1:38" ht="14.4" customHeight="1">
      <c r="A136" s="437"/>
      <c r="B136" s="252" t="s">
        <v>380</v>
      </c>
      <c r="C136" s="243">
        <v>0</v>
      </c>
      <c r="D136" s="243">
        <v>0</v>
      </c>
      <c r="E136" s="243">
        <v>0</v>
      </c>
      <c r="F136" s="243">
        <v>0</v>
      </c>
      <c r="G136" s="243">
        <v>0</v>
      </c>
      <c r="H136" s="243">
        <v>0</v>
      </c>
      <c r="I136" s="243">
        <v>0</v>
      </c>
      <c r="J136" s="243">
        <v>0</v>
      </c>
      <c r="K136" s="243">
        <v>0</v>
      </c>
      <c r="L136" s="243">
        <v>0</v>
      </c>
      <c r="M136" s="243">
        <v>0</v>
      </c>
      <c r="N136" s="243">
        <v>0</v>
      </c>
      <c r="O136" s="243">
        <v>0</v>
      </c>
      <c r="P136" s="243">
        <v>0</v>
      </c>
      <c r="Q136" s="243">
        <v>0</v>
      </c>
      <c r="R136" s="254">
        <f t="shared" si="80"/>
        <v>0</v>
      </c>
      <c r="U136" s="437"/>
      <c r="V136" s="252" t="s">
        <v>380</v>
      </c>
      <c r="W136" s="243">
        <v>0</v>
      </c>
      <c r="X136" s="243">
        <v>0</v>
      </c>
      <c r="Y136" s="243">
        <v>0</v>
      </c>
      <c r="Z136" s="243">
        <v>0</v>
      </c>
      <c r="AA136" s="243">
        <v>0</v>
      </c>
      <c r="AB136" s="243">
        <v>0</v>
      </c>
      <c r="AC136" s="243">
        <v>0</v>
      </c>
      <c r="AD136" s="243">
        <v>0</v>
      </c>
      <c r="AE136" s="243">
        <v>0</v>
      </c>
      <c r="AF136" s="243">
        <v>0</v>
      </c>
      <c r="AG136" s="243">
        <v>0</v>
      </c>
      <c r="AH136" s="243">
        <v>0</v>
      </c>
      <c r="AI136" s="243">
        <v>0</v>
      </c>
      <c r="AJ136" s="243">
        <v>0</v>
      </c>
      <c r="AK136" s="243">
        <v>0</v>
      </c>
      <c r="AL136" s="254">
        <f t="shared" si="81"/>
        <v>0</v>
      </c>
    </row>
    <row r="137" spans="1:38" ht="14.4" customHeight="1">
      <c r="A137" s="437"/>
      <c r="B137" s="247" t="s">
        <v>45</v>
      </c>
      <c r="C137" s="248">
        <f>SUM(C131:C136)</f>
        <v>0</v>
      </c>
      <c r="D137" s="248">
        <f t="shared" ref="D137:Q137" si="82">SUM(D131:D136)</f>
        <v>0</v>
      </c>
      <c r="E137" s="248">
        <f t="shared" si="82"/>
        <v>1316.8790600211589</v>
      </c>
      <c r="F137" s="248">
        <f t="shared" si="82"/>
        <v>0</v>
      </c>
      <c r="G137" s="248">
        <f t="shared" si="82"/>
        <v>0</v>
      </c>
      <c r="H137" s="248">
        <f t="shared" si="82"/>
        <v>0</v>
      </c>
      <c r="I137" s="248">
        <f t="shared" si="82"/>
        <v>1.2013246741887709</v>
      </c>
      <c r="J137" s="248">
        <f t="shared" si="82"/>
        <v>0</v>
      </c>
      <c r="K137" s="248">
        <f t="shared" si="82"/>
        <v>0</v>
      </c>
      <c r="L137" s="248">
        <f t="shared" si="82"/>
        <v>0</v>
      </c>
      <c r="M137" s="248">
        <f t="shared" si="82"/>
        <v>0</v>
      </c>
      <c r="N137" s="248">
        <f t="shared" si="82"/>
        <v>18.061108099058305</v>
      </c>
      <c r="O137" s="248">
        <f t="shared" si="82"/>
        <v>881.31624369590793</v>
      </c>
      <c r="P137" s="248">
        <f t="shared" si="82"/>
        <v>0</v>
      </c>
      <c r="Q137" s="248">
        <f t="shared" si="82"/>
        <v>0</v>
      </c>
      <c r="R137" s="248">
        <f t="shared" si="80"/>
        <v>2217.4577364903139</v>
      </c>
      <c r="U137" s="437"/>
      <c r="V137" s="247" t="s">
        <v>45</v>
      </c>
      <c r="W137" s="248">
        <f>SUM(W131:W136)</f>
        <v>0</v>
      </c>
      <c r="X137" s="248">
        <f t="shared" ref="X137:AK137" si="83">SUM(X131:X136)</f>
        <v>0</v>
      </c>
      <c r="Y137" s="248">
        <f t="shared" si="83"/>
        <v>1180.8416325673736</v>
      </c>
      <c r="Z137" s="248">
        <f t="shared" si="83"/>
        <v>0</v>
      </c>
      <c r="AA137" s="248">
        <f t="shared" si="83"/>
        <v>0</v>
      </c>
      <c r="AB137" s="248">
        <f t="shared" si="83"/>
        <v>0</v>
      </c>
      <c r="AC137" s="248">
        <f t="shared" si="83"/>
        <v>3.497944519992588</v>
      </c>
      <c r="AD137" s="248">
        <f t="shared" si="83"/>
        <v>0</v>
      </c>
      <c r="AE137" s="248">
        <f t="shared" si="83"/>
        <v>21.370122435483871</v>
      </c>
      <c r="AF137" s="248">
        <f t="shared" si="83"/>
        <v>0</v>
      </c>
      <c r="AG137" s="248">
        <f t="shared" si="83"/>
        <v>0</v>
      </c>
      <c r="AH137" s="248">
        <f t="shared" si="83"/>
        <v>30.260437569902017</v>
      </c>
      <c r="AI137" s="248">
        <f t="shared" si="83"/>
        <v>780.74801390164976</v>
      </c>
      <c r="AJ137" s="248">
        <f t="shared" si="83"/>
        <v>0</v>
      </c>
      <c r="AK137" s="248">
        <f t="shared" si="83"/>
        <v>0</v>
      </c>
      <c r="AL137" s="248">
        <f t="shared" si="81"/>
        <v>2016.7181509944019</v>
      </c>
    </row>
    <row r="138" spans="1:38" ht="14.4" customHeight="1">
      <c r="A138" s="437"/>
      <c r="B138" s="242" t="s">
        <v>46</v>
      </c>
      <c r="C138" s="243">
        <v>0</v>
      </c>
      <c r="D138" s="243">
        <v>0</v>
      </c>
      <c r="E138" s="243">
        <f>Industrie!$E$37</f>
        <v>79.972151744176841</v>
      </c>
      <c r="F138" s="243">
        <v>0</v>
      </c>
      <c r="G138" s="243">
        <v>0</v>
      </c>
      <c r="H138" s="243">
        <v>0</v>
      </c>
      <c r="I138" s="243">
        <v>0</v>
      </c>
      <c r="J138" s="243">
        <v>0</v>
      </c>
      <c r="K138" s="243">
        <v>0</v>
      </c>
      <c r="L138" s="243">
        <v>0</v>
      </c>
      <c r="M138" s="243">
        <v>0</v>
      </c>
      <c r="N138" s="243">
        <v>0</v>
      </c>
      <c r="O138" s="243">
        <v>0</v>
      </c>
      <c r="P138" s="243">
        <v>0</v>
      </c>
      <c r="Q138" s="243">
        <v>0</v>
      </c>
      <c r="R138" s="254">
        <f t="shared" si="80"/>
        <v>79.972151744176841</v>
      </c>
      <c r="U138" s="437"/>
      <c r="V138" s="242" t="s">
        <v>46</v>
      </c>
      <c r="W138" s="243">
        <v>0</v>
      </c>
      <c r="X138" s="243">
        <v>0</v>
      </c>
      <c r="Y138" s="243">
        <f>Industrie!$E$59</f>
        <v>79.972151744176841</v>
      </c>
      <c r="Z138" s="243">
        <v>0</v>
      </c>
      <c r="AA138" s="243">
        <v>0</v>
      </c>
      <c r="AB138" s="243">
        <v>0</v>
      </c>
      <c r="AC138" s="243">
        <v>0</v>
      </c>
      <c r="AD138" s="243">
        <v>0</v>
      </c>
      <c r="AE138" s="243">
        <v>0</v>
      </c>
      <c r="AF138" s="243">
        <v>0</v>
      </c>
      <c r="AG138" s="243">
        <v>0</v>
      </c>
      <c r="AH138" s="243">
        <v>0</v>
      </c>
      <c r="AI138" s="243">
        <v>0</v>
      </c>
      <c r="AJ138" s="243">
        <v>0</v>
      </c>
      <c r="AK138" s="243">
        <v>0</v>
      </c>
      <c r="AL138" s="254">
        <f t="shared" si="81"/>
        <v>79.972151744176841</v>
      </c>
    </row>
    <row r="139" spans="1:38" ht="14.4" customHeight="1">
      <c r="A139" s="437"/>
      <c r="B139" s="247" t="s">
        <v>47</v>
      </c>
      <c r="C139" s="248">
        <f>C138+C137</f>
        <v>0</v>
      </c>
      <c r="D139" s="248">
        <f t="shared" ref="D139:Q139" si="84">D138+D137</f>
        <v>0</v>
      </c>
      <c r="E139" s="248">
        <f t="shared" si="84"/>
        <v>1396.8512117653358</v>
      </c>
      <c r="F139" s="248">
        <f t="shared" si="84"/>
        <v>0</v>
      </c>
      <c r="G139" s="248">
        <f t="shared" si="84"/>
        <v>0</v>
      </c>
      <c r="H139" s="248">
        <f t="shared" si="84"/>
        <v>0</v>
      </c>
      <c r="I139" s="248">
        <f t="shared" si="84"/>
        <v>1.2013246741887709</v>
      </c>
      <c r="J139" s="248">
        <f t="shared" si="84"/>
        <v>0</v>
      </c>
      <c r="K139" s="248">
        <f t="shared" si="84"/>
        <v>0</v>
      </c>
      <c r="L139" s="248">
        <f t="shared" si="84"/>
        <v>0</v>
      </c>
      <c r="M139" s="248">
        <f t="shared" si="84"/>
        <v>0</v>
      </c>
      <c r="N139" s="248">
        <f t="shared" si="84"/>
        <v>18.061108099058305</v>
      </c>
      <c r="O139" s="248">
        <f t="shared" si="84"/>
        <v>881.31624369590793</v>
      </c>
      <c r="P139" s="248">
        <f t="shared" si="84"/>
        <v>0</v>
      </c>
      <c r="Q139" s="248">
        <f t="shared" si="84"/>
        <v>0</v>
      </c>
      <c r="R139" s="248">
        <f t="shared" si="80"/>
        <v>2297.429888234491</v>
      </c>
      <c r="U139" s="437"/>
      <c r="V139" s="247" t="s">
        <v>47</v>
      </c>
      <c r="W139" s="248">
        <f>W138+W137</f>
        <v>0</v>
      </c>
      <c r="X139" s="248">
        <f t="shared" ref="X139:AK139" si="85">X138+X137</f>
        <v>0</v>
      </c>
      <c r="Y139" s="248">
        <f t="shared" si="85"/>
        <v>1260.8137843115505</v>
      </c>
      <c r="Z139" s="248">
        <f t="shared" si="85"/>
        <v>0</v>
      </c>
      <c r="AA139" s="248">
        <f t="shared" si="85"/>
        <v>0</v>
      </c>
      <c r="AB139" s="248">
        <f t="shared" si="85"/>
        <v>0</v>
      </c>
      <c r="AC139" s="248">
        <f t="shared" si="85"/>
        <v>3.497944519992588</v>
      </c>
      <c r="AD139" s="248">
        <f t="shared" si="85"/>
        <v>0</v>
      </c>
      <c r="AE139" s="248">
        <f t="shared" si="85"/>
        <v>21.370122435483871</v>
      </c>
      <c r="AF139" s="248">
        <f t="shared" si="85"/>
        <v>0</v>
      </c>
      <c r="AG139" s="248">
        <f t="shared" si="85"/>
        <v>0</v>
      </c>
      <c r="AH139" s="248">
        <f t="shared" si="85"/>
        <v>30.260437569902017</v>
      </c>
      <c r="AI139" s="248">
        <f t="shared" si="85"/>
        <v>780.74801390164976</v>
      </c>
      <c r="AJ139" s="248">
        <f t="shared" si="85"/>
        <v>0</v>
      </c>
      <c r="AK139" s="248">
        <f t="shared" si="85"/>
        <v>0</v>
      </c>
      <c r="AL139" s="248">
        <f t="shared" si="81"/>
        <v>2096.6903027385788</v>
      </c>
    </row>
    <row r="148" spans="1:38" ht="14.4" customHeight="1">
      <c r="A148" s="437">
        <v>2035</v>
      </c>
      <c r="B148" s="441" t="s">
        <v>12</v>
      </c>
      <c r="C148" s="440" t="s">
        <v>14</v>
      </c>
      <c r="D148" s="440" t="s">
        <v>15</v>
      </c>
      <c r="E148" s="440" t="s">
        <v>16</v>
      </c>
      <c r="F148" s="440" t="s">
        <v>17</v>
      </c>
      <c r="G148" s="440" t="s">
        <v>365</v>
      </c>
      <c r="H148" s="440" t="s">
        <v>18</v>
      </c>
      <c r="I148" s="440" t="s">
        <v>19</v>
      </c>
      <c r="J148" s="440"/>
      <c r="K148" s="440"/>
      <c r="L148" s="440"/>
      <c r="M148" s="440"/>
      <c r="N148" s="440"/>
      <c r="O148" s="432" t="s">
        <v>366</v>
      </c>
      <c r="P148" s="432" t="s">
        <v>21</v>
      </c>
      <c r="Q148" s="432" t="s">
        <v>367</v>
      </c>
      <c r="R148" s="432" t="s">
        <v>23</v>
      </c>
      <c r="U148" s="437">
        <v>2035</v>
      </c>
      <c r="V148" s="438" t="s">
        <v>12</v>
      </c>
      <c r="W148" s="432" t="s">
        <v>14</v>
      </c>
      <c r="X148" s="432" t="s">
        <v>15</v>
      </c>
      <c r="Y148" s="432" t="s">
        <v>16</v>
      </c>
      <c r="Z148" s="432" t="s">
        <v>17</v>
      </c>
      <c r="AA148" s="432" t="s">
        <v>365</v>
      </c>
      <c r="AB148" s="432" t="s">
        <v>18</v>
      </c>
      <c r="AC148" s="434" t="s">
        <v>19</v>
      </c>
      <c r="AD148" s="435"/>
      <c r="AE148" s="435"/>
      <c r="AF148" s="435"/>
      <c r="AG148" s="435"/>
      <c r="AH148" s="436"/>
      <c r="AI148" s="432" t="s">
        <v>366</v>
      </c>
      <c r="AJ148" s="432" t="s">
        <v>21</v>
      </c>
      <c r="AK148" s="432" t="s">
        <v>367</v>
      </c>
      <c r="AL148" s="432" t="s">
        <v>23</v>
      </c>
    </row>
    <row r="149" spans="1:38" ht="45.6">
      <c r="A149" s="437"/>
      <c r="B149" s="441"/>
      <c r="C149" s="440"/>
      <c r="D149" s="440"/>
      <c r="E149" s="440"/>
      <c r="F149" s="440"/>
      <c r="G149" s="440"/>
      <c r="H149" s="440"/>
      <c r="I149" s="240" t="s">
        <v>354</v>
      </c>
      <c r="J149" s="240" t="s">
        <v>7</v>
      </c>
      <c r="K149" s="240" t="s">
        <v>355</v>
      </c>
      <c r="L149" s="240" t="s">
        <v>368</v>
      </c>
      <c r="M149" s="241" t="s">
        <v>369</v>
      </c>
      <c r="N149" s="240" t="s">
        <v>370</v>
      </c>
      <c r="O149" s="432"/>
      <c r="P149" s="432"/>
      <c r="Q149" s="432"/>
      <c r="R149" s="432"/>
      <c r="U149" s="437"/>
      <c r="V149" s="439"/>
      <c r="W149" s="433"/>
      <c r="X149" s="433"/>
      <c r="Y149" s="433"/>
      <c r="Z149" s="433"/>
      <c r="AA149" s="433"/>
      <c r="AB149" s="433"/>
      <c r="AC149" s="240" t="s">
        <v>354</v>
      </c>
      <c r="AD149" s="240" t="s">
        <v>7</v>
      </c>
      <c r="AE149" s="240" t="s">
        <v>355</v>
      </c>
      <c r="AF149" s="240" t="s">
        <v>368</v>
      </c>
      <c r="AG149" s="241" t="s">
        <v>369</v>
      </c>
      <c r="AH149" s="240" t="s">
        <v>370</v>
      </c>
      <c r="AI149" s="433"/>
      <c r="AJ149" s="433"/>
      <c r="AK149" s="433"/>
      <c r="AL149" s="433"/>
    </row>
    <row r="150" spans="1:38" ht="14.4" customHeight="1">
      <c r="A150" s="437"/>
      <c r="B150" s="242" t="s">
        <v>24</v>
      </c>
      <c r="C150" s="243">
        <v>0</v>
      </c>
      <c r="D150" s="244">
        <v>0</v>
      </c>
      <c r="E150" s="244">
        <v>0</v>
      </c>
      <c r="F150" s="243">
        <v>0</v>
      </c>
      <c r="G150" s="244">
        <v>0</v>
      </c>
      <c r="H150" s="244">
        <f>H156</f>
        <v>661.58602630044641</v>
      </c>
      <c r="I150" s="244">
        <f>IF((I156-$I$27)&gt;0,$I$27+(I156-$I$27)*0.5,I156)</f>
        <v>199.37227167943712</v>
      </c>
      <c r="J150" s="244">
        <v>0</v>
      </c>
      <c r="K150" s="244">
        <f>IF((K156-$K$27)&gt;0,$K$27+(K156-$K$27)*0.5,K156)</f>
        <v>380.98843006535202</v>
      </c>
      <c r="L150" s="244">
        <f>L156</f>
        <v>18.637366632798134</v>
      </c>
      <c r="M150" s="244">
        <v>0</v>
      </c>
      <c r="N150" s="244">
        <f>N156</f>
        <v>19.621423156656697</v>
      </c>
      <c r="O150" s="245">
        <v>0</v>
      </c>
      <c r="P150" s="244">
        <v>0</v>
      </c>
      <c r="Q150" s="244">
        <v>0</v>
      </c>
      <c r="R150" s="246">
        <f>SUM(C150:Q150)</f>
        <v>1280.2055178346905</v>
      </c>
      <c r="U150" s="437"/>
      <c r="V150" s="242" t="s">
        <v>24</v>
      </c>
      <c r="W150" s="243">
        <v>0</v>
      </c>
      <c r="X150" s="244">
        <v>0</v>
      </c>
      <c r="Y150" s="244">
        <v>0</v>
      </c>
      <c r="Z150" s="243">
        <v>0</v>
      </c>
      <c r="AA150" s="244">
        <v>0</v>
      </c>
      <c r="AB150" s="244">
        <f>AB156</f>
        <v>604.98841845254572</v>
      </c>
      <c r="AC150" s="244">
        <f>IF((AC156-AC27)&gt;0,AC27+(AC156-AC27)*0.5,AC156)</f>
        <v>263.20234713855177</v>
      </c>
      <c r="AD150" s="244">
        <v>0</v>
      </c>
      <c r="AE150" s="244">
        <f>IF((AE156-AE27)&gt;0,AE27+(AE156-AE27)*0.5,AE156)</f>
        <v>267.12287291754166</v>
      </c>
      <c r="AF150" s="244">
        <f>AF156</f>
        <v>16.395373921656088</v>
      </c>
      <c r="AG150" s="244">
        <v>0</v>
      </c>
      <c r="AH150" s="244">
        <f>AH156</f>
        <v>30.133845885241819</v>
      </c>
      <c r="AI150" s="245">
        <v>0</v>
      </c>
      <c r="AJ150" s="244">
        <v>0</v>
      </c>
      <c r="AK150" s="244">
        <v>0</v>
      </c>
      <c r="AL150" s="246">
        <f>SUM(W150:AK150)</f>
        <v>1181.8428583155369</v>
      </c>
    </row>
    <row r="151" spans="1:38" ht="14.4" customHeight="1">
      <c r="A151" s="437"/>
      <c r="B151" s="242" t="s">
        <v>28</v>
      </c>
      <c r="C151" s="243">
        <f>C156</f>
        <v>0</v>
      </c>
      <c r="D151" s="244">
        <f>D156</f>
        <v>0</v>
      </c>
      <c r="E151" s="244">
        <f>E156</f>
        <v>1379.8427323160706</v>
      </c>
      <c r="F151" s="243">
        <v>0</v>
      </c>
      <c r="G151" s="244">
        <v>0</v>
      </c>
      <c r="H151" s="244">
        <v>0</v>
      </c>
      <c r="I151" s="244">
        <f>IF((I156-$I$27)&gt;0,(I156-$I$27)*0.5,0)</f>
        <v>97.75546589143714</v>
      </c>
      <c r="J151" s="244">
        <v>0</v>
      </c>
      <c r="K151" s="244">
        <f>IF((K156-$K$27)&gt;0,(K156-$K$27)*0.5,0)</f>
        <v>380.98843006535202</v>
      </c>
      <c r="L151" s="244">
        <v>0</v>
      </c>
      <c r="M151" s="244">
        <v>0</v>
      </c>
      <c r="N151" s="244">
        <v>0</v>
      </c>
      <c r="O151" s="245">
        <v>0</v>
      </c>
      <c r="P151" s="244">
        <v>0</v>
      </c>
      <c r="Q151" s="244">
        <v>0</v>
      </c>
      <c r="R151" s="246">
        <f t="shared" ref="R151:R156" si="86">SUM(C151:Q151)</f>
        <v>1858.5866282728598</v>
      </c>
      <c r="U151" s="437"/>
      <c r="V151" s="242" t="s">
        <v>28</v>
      </c>
      <c r="W151" s="243">
        <f>W156</f>
        <v>0</v>
      </c>
      <c r="X151" s="244">
        <f>X156</f>
        <v>0</v>
      </c>
      <c r="Y151" s="244">
        <f>Y156</f>
        <v>1001.4096972536167</v>
      </c>
      <c r="Z151" s="243">
        <v>0</v>
      </c>
      <c r="AA151" s="244">
        <v>0</v>
      </c>
      <c r="AB151" s="244">
        <v>0</v>
      </c>
      <c r="AC151" s="244">
        <f>IF((AC156-AC27)&gt;0,(AC156-AC27)*0.5,0)</f>
        <v>161.58554135055175</v>
      </c>
      <c r="AD151" s="244">
        <v>0</v>
      </c>
      <c r="AE151" s="244">
        <f>IF((AE156-AE27)&gt;0,(AE156-AE27)*0.5,0)</f>
        <v>267.12287291754166</v>
      </c>
      <c r="AF151" s="244">
        <v>0</v>
      </c>
      <c r="AG151" s="244">
        <v>0</v>
      </c>
      <c r="AH151" s="244">
        <v>0</v>
      </c>
      <c r="AI151" s="245">
        <v>0</v>
      </c>
      <c r="AJ151" s="244">
        <v>0</v>
      </c>
      <c r="AK151" s="244">
        <v>0</v>
      </c>
      <c r="AL151" s="246">
        <f t="shared" ref="AL151:AL156" si="87">SUM(W151:AK151)</f>
        <v>1430.11811152171</v>
      </c>
    </row>
    <row r="152" spans="1:38" ht="14.4" customHeight="1">
      <c r="A152" s="437"/>
      <c r="B152" s="242" t="s">
        <v>29</v>
      </c>
      <c r="C152" s="243">
        <v>0</v>
      </c>
      <c r="D152" s="244">
        <v>0</v>
      </c>
      <c r="E152" s="244">
        <v>0</v>
      </c>
      <c r="F152" s="243">
        <v>0</v>
      </c>
      <c r="G152" s="244">
        <v>0</v>
      </c>
      <c r="H152" s="244">
        <v>0</v>
      </c>
      <c r="I152" s="244">
        <v>0</v>
      </c>
      <c r="J152" s="244">
        <v>0</v>
      </c>
      <c r="K152" s="244">
        <v>0</v>
      </c>
      <c r="L152" s="244">
        <v>0</v>
      </c>
      <c r="M152" s="244">
        <v>0</v>
      </c>
      <c r="N152" s="244">
        <v>0</v>
      </c>
      <c r="O152" s="245">
        <v>0</v>
      </c>
      <c r="P152" s="244">
        <v>0</v>
      </c>
      <c r="Q152" s="244">
        <v>0</v>
      </c>
      <c r="R152" s="246">
        <f t="shared" si="86"/>
        <v>0</v>
      </c>
      <c r="U152" s="437"/>
      <c r="V152" s="242" t="s">
        <v>29</v>
      </c>
      <c r="W152" s="243">
        <v>0</v>
      </c>
      <c r="X152" s="244">
        <v>0</v>
      </c>
      <c r="Y152" s="244">
        <v>0</v>
      </c>
      <c r="Z152" s="243">
        <v>0</v>
      </c>
      <c r="AA152" s="244">
        <v>0</v>
      </c>
      <c r="AB152" s="244">
        <v>0</v>
      </c>
      <c r="AC152" s="244">
        <v>0</v>
      </c>
      <c r="AD152" s="244">
        <v>0</v>
      </c>
      <c r="AE152" s="244">
        <v>0</v>
      </c>
      <c r="AF152" s="244">
        <v>0</v>
      </c>
      <c r="AG152" s="244">
        <v>0</v>
      </c>
      <c r="AH152" s="244">
        <v>0</v>
      </c>
      <c r="AI152" s="245">
        <v>0</v>
      </c>
      <c r="AJ152" s="244">
        <v>0</v>
      </c>
      <c r="AK152" s="244">
        <v>0</v>
      </c>
      <c r="AL152" s="246">
        <f t="shared" si="87"/>
        <v>0</v>
      </c>
    </row>
    <row r="153" spans="1:38" ht="14.4" customHeight="1">
      <c r="A153" s="437"/>
      <c r="B153" s="242" t="s">
        <v>30</v>
      </c>
      <c r="C153" s="243">
        <v>0</v>
      </c>
      <c r="D153" s="244">
        <v>0</v>
      </c>
      <c r="E153" s="244">
        <v>0</v>
      </c>
      <c r="F153" s="243">
        <v>0</v>
      </c>
      <c r="G153" s="244">
        <v>0</v>
      </c>
      <c r="H153" s="244">
        <v>0</v>
      </c>
      <c r="I153" s="244">
        <v>0</v>
      </c>
      <c r="J153" s="244">
        <v>0</v>
      </c>
      <c r="K153" s="244">
        <v>0</v>
      </c>
      <c r="L153" s="244">
        <v>0</v>
      </c>
      <c r="M153" s="244">
        <v>0</v>
      </c>
      <c r="N153" s="244">
        <v>0</v>
      </c>
      <c r="O153" s="245">
        <v>0</v>
      </c>
      <c r="P153" s="244">
        <v>0</v>
      </c>
      <c r="Q153" s="244">
        <v>0</v>
      </c>
      <c r="R153" s="246">
        <f t="shared" si="86"/>
        <v>0</v>
      </c>
      <c r="U153" s="437"/>
      <c r="V153" s="242" t="s">
        <v>30</v>
      </c>
      <c r="W153" s="243">
        <v>0</v>
      </c>
      <c r="X153" s="244">
        <v>0</v>
      </c>
      <c r="Y153" s="244">
        <v>0</v>
      </c>
      <c r="Z153" s="243">
        <v>0</v>
      </c>
      <c r="AA153" s="244">
        <v>0</v>
      </c>
      <c r="AB153" s="244">
        <v>0</v>
      </c>
      <c r="AC153" s="244">
        <v>0</v>
      </c>
      <c r="AD153" s="244">
        <v>0</v>
      </c>
      <c r="AE153" s="244">
        <v>0</v>
      </c>
      <c r="AF153" s="244">
        <v>0</v>
      </c>
      <c r="AG153" s="244">
        <v>0</v>
      </c>
      <c r="AH153" s="244">
        <v>0</v>
      </c>
      <c r="AI153" s="245">
        <v>0</v>
      </c>
      <c r="AJ153" s="244">
        <v>0</v>
      </c>
      <c r="AK153" s="244">
        <v>0</v>
      </c>
      <c r="AL153" s="246">
        <f t="shared" si="87"/>
        <v>0</v>
      </c>
    </row>
    <row r="154" spans="1:38" ht="14.4" customHeight="1">
      <c r="A154" s="437"/>
      <c r="B154" s="242" t="s">
        <v>31</v>
      </c>
      <c r="C154" s="243">
        <v>0</v>
      </c>
      <c r="D154" s="244">
        <v>0</v>
      </c>
      <c r="E154" s="244">
        <v>0</v>
      </c>
      <c r="F154" s="243">
        <v>0</v>
      </c>
      <c r="G154" s="244">
        <v>0</v>
      </c>
      <c r="H154" s="244">
        <v>0</v>
      </c>
      <c r="I154" s="244">
        <v>0</v>
      </c>
      <c r="J154" s="244">
        <v>0</v>
      </c>
      <c r="K154" s="244">
        <v>0</v>
      </c>
      <c r="L154" s="244">
        <v>0</v>
      </c>
      <c r="M154" s="244">
        <v>0</v>
      </c>
      <c r="N154" s="244">
        <v>0</v>
      </c>
      <c r="O154" s="245">
        <v>0</v>
      </c>
      <c r="P154" s="244">
        <v>0</v>
      </c>
      <c r="Q154" s="244">
        <v>0</v>
      </c>
      <c r="R154" s="246">
        <f t="shared" si="86"/>
        <v>0</v>
      </c>
      <c r="U154" s="437"/>
      <c r="V154" s="242" t="s">
        <v>31</v>
      </c>
      <c r="W154" s="243">
        <v>0</v>
      </c>
      <c r="X154" s="244">
        <v>0</v>
      </c>
      <c r="Y154" s="244">
        <v>0</v>
      </c>
      <c r="Z154" s="243">
        <v>0</v>
      </c>
      <c r="AA154" s="244">
        <v>0</v>
      </c>
      <c r="AB154" s="244">
        <v>0</v>
      </c>
      <c r="AC154" s="244">
        <v>0</v>
      </c>
      <c r="AD154" s="244">
        <v>0</v>
      </c>
      <c r="AE154" s="244">
        <v>0</v>
      </c>
      <c r="AF154" s="244">
        <v>0</v>
      </c>
      <c r="AG154" s="244">
        <v>0</v>
      </c>
      <c r="AH154" s="244">
        <v>0</v>
      </c>
      <c r="AI154" s="245">
        <v>0</v>
      </c>
      <c r="AJ154" s="244">
        <v>0</v>
      </c>
      <c r="AK154" s="244">
        <v>0</v>
      </c>
      <c r="AL154" s="246">
        <f t="shared" si="87"/>
        <v>0</v>
      </c>
    </row>
    <row r="155" spans="1:38" ht="14.4" customHeight="1">
      <c r="A155" s="437"/>
      <c r="B155" s="242" t="s">
        <v>32</v>
      </c>
      <c r="C155" s="243">
        <v>0</v>
      </c>
      <c r="D155" s="244">
        <v>0</v>
      </c>
      <c r="E155" s="244">
        <v>0</v>
      </c>
      <c r="F155" s="243">
        <v>0</v>
      </c>
      <c r="G155" s="244">
        <v>0</v>
      </c>
      <c r="H155" s="244">
        <v>0</v>
      </c>
      <c r="I155" s="244">
        <v>0</v>
      </c>
      <c r="J155" s="244">
        <v>0</v>
      </c>
      <c r="K155" s="244">
        <v>0</v>
      </c>
      <c r="L155" s="244">
        <v>0</v>
      </c>
      <c r="M155" s="244">
        <v>0</v>
      </c>
      <c r="N155" s="244">
        <v>0</v>
      </c>
      <c r="O155" s="245">
        <v>0</v>
      </c>
      <c r="P155" s="244">
        <v>0</v>
      </c>
      <c r="Q155" s="244">
        <v>0</v>
      </c>
      <c r="R155" s="246">
        <f t="shared" si="86"/>
        <v>0</v>
      </c>
      <c r="U155" s="437"/>
      <c r="V155" s="242" t="s">
        <v>32</v>
      </c>
      <c r="W155" s="243">
        <v>0</v>
      </c>
      <c r="X155" s="244">
        <v>0</v>
      </c>
      <c r="Y155" s="244">
        <v>0</v>
      </c>
      <c r="Z155" s="243">
        <v>0</v>
      </c>
      <c r="AA155" s="244">
        <v>0</v>
      </c>
      <c r="AB155" s="244">
        <v>0</v>
      </c>
      <c r="AC155" s="244">
        <v>0</v>
      </c>
      <c r="AD155" s="244">
        <v>0</v>
      </c>
      <c r="AE155" s="244">
        <v>0</v>
      </c>
      <c r="AF155" s="244">
        <v>0</v>
      </c>
      <c r="AG155" s="244">
        <v>0</v>
      </c>
      <c r="AH155" s="244">
        <v>0</v>
      </c>
      <c r="AI155" s="245">
        <v>0</v>
      </c>
      <c r="AJ155" s="244">
        <v>0</v>
      </c>
      <c r="AK155" s="244">
        <v>0</v>
      </c>
      <c r="AL155" s="246">
        <f t="shared" si="87"/>
        <v>0</v>
      </c>
    </row>
    <row r="156" spans="1:38" ht="14.4" customHeight="1">
      <c r="A156" s="437"/>
      <c r="B156" s="247" t="s">
        <v>371</v>
      </c>
      <c r="C156" s="248">
        <f>C180+C178</f>
        <v>0</v>
      </c>
      <c r="D156" s="248">
        <f>D170+D180</f>
        <v>0</v>
      </c>
      <c r="E156" s="248">
        <f>E170+E180</f>
        <v>1379.8427323160706</v>
      </c>
      <c r="F156" s="248">
        <f t="shared" ref="F156:G156" si="88">SUM(F150:F155)</f>
        <v>0</v>
      </c>
      <c r="G156" s="248">
        <f t="shared" si="88"/>
        <v>0</v>
      </c>
      <c r="H156" s="248">
        <f>H170</f>
        <v>661.58602630044641</v>
      </c>
      <c r="I156" s="248">
        <f>I170+I178</f>
        <v>297.12773757087427</v>
      </c>
      <c r="J156" s="248">
        <f t="shared" ref="J156" si="89">SUM(J150:J155)</f>
        <v>0</v>
      </c>
      <c r="K156" s="248">
        <f>K170+K180</f>
        <v>761.97686013070404</v>
      </c>
      <c r="L156" s="248">
        <f>L170+L180</f>
        <v>18.637366632798134</v>
      </c>
      <c r="M156" s="248">
        <f t="shared" ref="M156" si="90">SUM(M150:M155)</f>
        <v>0</v>
      </c>
      <c r="N156" s="248">
        <f>N170+N180</f>
        <v>19.621423156656697</v>
      </c>
      <c r="O156" s="248">
        <f t="shared" ref="O156:Q156" si="91">SUM(O150:O155)</f>
        <v>0</v>
      </c>
      <c r="P156" s="248">
        <f t="shared" si="91"/>
        <v>0</v>
      </c>
      <c r="Q156" s="248">
        <f t="shared" si="91"/>
        <v>0</v>
      </c>
      <c r="R156" s="248">
        <f t="shared" si="86"/>
        <v>3138.7921461075503</v>
      </c>
      <c r="U156" s="437"/>
      <c r="V156" s="247" t="s">
        <v>371</v>
      </c>
      <c r="W156" s="248">
        <f>W180+W178</f>
        <v>0</v>
      </c>
      <c r="X156" s="248">
        <f>X170+X180</f>
        <v>0</v>
      </c>
      <c r="Y156" s="248">
        <f>Y170+Y180</f>
        <v>1001.4096972536167</v>
      </c>
      <c r="Z156" s="248">
        <f t="shared" ref="Z156:AA156" si="92">SUM(Z150:Z155)</f>
        <v>0</v>
      </c>
      <c r="AA156" s="248">
        <f t="shared" si="92"/>
        <v>0</v>
      </c>
      <c r="AB156" s="248">
        <f>AB170</f>
        <v>604.98841845254572</v>
      </c>
      <c r="AC156" s="248">
        <f>AC170+AC178</f>
        <v>424.78788848910352</v>
      </c>
      <c r="AD156" s="248">
        <f t="shared" ref="AD156" si="93">SUM(AD150:AD155)</f>
        <v>0</v>
      </c>
      <c r="AE156" s="248">
        <f>AE170+AE180</f>
        <v>534.24574583508331</v>
      </c>
      <c r="AF156" s="248">
        <f>AF170+AF180</f>
        <v>16.395373921656088</v>
      </c>
      <c r="AG156" s="248">
        <f t="shared" ref="AG156" si="94">SUM(AG150:AG155)</f>
        <v>0</v>
      </c>
      <c r="AH156" s="248">
        <f>AH170+AH180</f>
        <v>30.133845885241819</v>
      </c>
      <c r="AI156" s="248">
        <f t="shared" ref="AI156:AK156" si="95">SUM(AI150:AI155)</f>
        <v>0</v>
      </c>
      <c r="AJ156" s="248">
        <f t="shared" si="95"/>
        <v>0</v>
      </c>
      <c r="AK156" s="248">
        <f t="shared" si="95"/>
        <v>0</v>
      </c>
      <c r="AL156" s="248">
        <f t="shared" si="87"/>
        <v>2611.9609698372478</v>
      </c>
    </row>
    <row r="157" spans="1:38" ht="14.4" customHeight="1">
      <c r="A157" s="437"/>
      <c r="B157" s="249"/>
      <c r="C157" s="250"/>
      <c r="D157" s="219"/>
      <c r="E157" s="251"/>
      <c r="F157" s="250"/>
      <c r="G157" s="250"/>
      <c r="H157" s="250"/>
      <c r="I157" s="250"/>
      <c r="J157" s="250"/>
      <c r="K157" s="250"/>
      <c r="L157" s="250"/>
      <c r="M157" s="250"/>
      <c r="N157" s="250"/>
      <c r="O157" s="259"/>
      <c r="P157" s="250"/>
      <c r="Q157" s="250"/>
      <c r="R157" s="250"/>
      <c r="U157" s="437"/>
      <c r="V157" s="249"/>
      <c r="W157" s="250"/>
      <c r="X157" s="219"/>
      <c r="Y157" s="251"/>
      <c r="Z157" s="250"/>
      <c r="AA157" s="250"/>
      <c r="AB157" s="250"/>
      <c r="AC157" s="250"/>
      <c r="AD157" s="250"/>
      <c r="AE157" s="250"/>
      <c r="AF157" s="250"/>
      <c r="AG157" s="250"/>
      <c r="AH157" s="250"/>
      <c r="AI157" s="259"/>
      <c r="AJ157" s="250"/>
      <c r="AK157" s="250"/>
      <c r="AL157" s="250"/>
    </row>
    <row r="158" spans="1:38" ht="14.4" customHeight="1">
      <c r="A158" s="437"/>
      <c r="B158" s="252" t="s">
        <v>372</v>
      </c>
      <c r="C158" s="243">
        <v>0</v>
      </c>
      <c r="D158" s="253">
        <v>0</v>
      </c>
      <c r="E158" s="253">
        <v>0</v>
      </c>
      <c r="F158" s="243">
        <v>0</v>
      </c>
      <c r="G158" s="243">
        <v>0</v>
      </c>
      <c r="H158" s="243">
        <v>0</v>
      </c>
      <c r="I158" s="243">
        <v>0</v>
      </c>
      <c r="J158" s="243">
        <v>0</v>
      </c>
      <c r="K158" s="243">
        <v>0</v>
      </c>
      <c r="L158" s="243">
        <v>0</v>
      </c>
      <c r="M158" s="243">
        <v>0</v>
      </c>
      <c r="N158" s="243">
        <v>0</v>
      </c>
      <c r="O158" s="243">
        <v>0</v>
      </c>
      <c r="P158" s="243">
        <v>0</v>
      </c>
      <c r="Q158" s="243">
        <v>0</v>
      </c>
      <c r="R158" s="254">
        <f>SUM(C158:Q158)</f>
        <v>0</v>
      </c>
      <c r="U158" s="437"/>
      <c r="V158" s="252" t="s">
        <v>372</v>
      </c>
      <c r="W158" s="243">
        <v>0</v>
      </c>
      <c r="X158" s="253">
        <v>0</v>
      </c>
      <c r="Y158" s="253">
        <v>0</v>
      </c>
      <c r="Z158" s="243">
        <v>0</v>
      </c>
      <c r="AA158" s="243">
        <v>0</v>
      </c>
      <c r="AB158" s="243">
        <v>0</v>
      </c>
      <c r="AC158" s="243">
        <v>0</v>
      </c>
      <c r="AD158" s="243">
        <v>0</v>
      </c>
      <c r="AE158" s="243">
        <v>0</v>
      </c>
      <c r="AF158" s="243">
        <v>0</v>
      </c>
      <c r="AG158" s="243">
        <v>0</v>
      </c>
      <c r="AH158" s="243">
        <v>0</v>
      </c>
      <c r="AI158" s="243">
        <v>0</v>
      </c>
      <c r="AJ158" s="243">
        <v>0</v>
      </c>
      <c r="AK158" s="243">
        <v>0</v>
      </c>
      <c r="AL158" s="254">
        <f>SUM(W158:AK158)</f>
        <v>0</v>
      </c>
    </row>
    <row r="159" spans="1:38" ht="14.4" customHeight="1">
      <c r="A159" s="437"/>
      <c r="B159" s="252" t="s">
        <v>373</v>
      </c>
      <c r="C159" s="243">
        <f>$O$159*'Prod Energie'!$F$32/(-$J$13)</f>
        <v>0</v>
      </c>
      <c r="D159" s="243">
        <v>0</v>
      </c>
      <c r="E159" s="243">
        <f>O159*'Prod Energie'!$F$33/(-$K$13)</f>
        <v>50.829181725813086</v>
      </c>
      <c r="F159" s="243">
        <v>0</v>
      </c>
      <c r="G159" s="243">
        <v>0</v>
      </c>
      <c r="H159" s="243">
        <f>(O159)*('Prod Energie'!$F$34+'Prod Energie'!$F$39+'Prod Energie'!$F$40)/(-$L$13)</f>
        <v>661.58602630044641</v>
      </c>
      <c r="I159" s="255">
        <f>(O159)*('Prod Energie'!$F$38)/(-$M$13)</f>
        <v>295.79491919030841</v>
      </c>
      <c r="J159" s="255">
        <f>(O159)*$L$17*('Prod Energie'!$F$36)</f>
        <v>0</v>
      </c>
      <c r="K159" s="255">
        <f>(O159)*('Prod Energie'!$F$37)/(-O13)</f>
        <v>761.97686013070404</v>
      </c>
      <c r="L159" s="255">
        <f>(O159)*('Prod Energie'!$F$41)/(-P13)</f>
        <v>18.637366632798134</v>
      </c>
      <c r="M159" s="255">
        <v>0</v>
      </c>
      <c r="N159" s="255">
        <f>(O159)*'Prod Energie'!F35/(-$Q$13)</f>
        <v>0</v>
      </c>
      <c r="O159" s="243">
        <f>O170/(1+$F$17+$F$18)</f>
        <v>-1118.241997967888</v>
      </c>
      <c r="P159" s="243">
        <v>0</v>
      </c>
      <c r="Q159" s="243">
        <v>0</v>
      </c>
      <c r="R159" s="254">
        <f t="shared" ref="R159:R170" si="96">SUM(C159:Q159)</f>
        <v>670.58235601218212</v>
      </c>
      <c r="U159" s="437"/>
      <c r="V159" s="252" t="s">
        <v>373</v>
      </c>
      <c r="W159" s="243">
        <f>$AI$159*'Prod Energie'!$F$53/(-$J$13)</f>
        <v>0</v>
      </c>
      <c r="X159" s="243">
        <v>0</v>
      </c>
      <c r="Y159" s="243">
        <f>AI159*'Prod Energie'!$F$54/(-$K$13)</f>
        <v>0</v>
      </c>
      <c r="Z159" s="243">
        <v>0</v>
      </c>
      <c r="AA159" s="243">
        <v>0</v>
      </c>
      <c r="AB159" s="243">
        <f>(AI159)*('Prod Energie'!$F$55+'Prod Energie'!$F$60+'Prod Energie'!$F$61)/(-$L$13)</f>
        <v>604.98841845254572</v>
      </c>
      <c r="AC159" s="255">
        <f>(AI159)*'Prod Energie'!$F$59/(-$M$13)</f>
        <v>419.08004985109397</v>
      </c>
      <c r="AD159" s="255">
        <f>(AI159)*('Prod Energie'!$F$57)/(-$N$13)</f>
        <v>0</v>
      </c>
      <c r="AE159" s="255">
        <f>(AI159)*('Prod Energie'!$F$58)/(-$O$13)</f>
        <v>503.16193138347046</v>
      </c>
      <c r="AF159" s="255">
        <f>(AI159)*('Prod Energie'!$F$62)/(-$P$13)</f>
        <v>16.395373921656088</v>
      </c>
      <c r="AG159" s="255">
        <v>0</v>
      </c>
      <c r="AH159" s="255">
        <f>(AI159)*('Prod Energie'!$F$56)/(-$Q$13)</f>
        <v>0</v>
      </c>
      <c r="AI159" s="243">
        <f>AI170/(1+$F$17+$F$18)</f>
        <v>-983.72243529936509</v>
      </c>
      <c r="AJ159" s="243">
        <v>0</v>
      </c>
      <c r="AK159" s="243">
        <v>0</v>
      </c>
      <c r="AL159" s="254">
        <f t="shared" ref="AL159:AL170" si="97">SUM(W159:AK159)</f>
        <v>559.90333830940108</v>
      </c>
    </row>
    <row r="160" spans="1:38" ht="14.4" customHeight="1">
      <c r="A160" s="437"/>
      <c r="B160" s="252" t="s">
        <v>374</v>
      </c>
      <c r="C160" s="243">
        <v>0</v>
      </c>
      <c r="D160" s="243">
        <v>0</v>
      </c>
      <c r="E160" s="243">
        <v>0</v>
      </c>
      <c r="F160" s="243">
        <v>0</v>
      </c>
      <c r="G160" s="243">
        <v>0</v>
      </c>
      <c r="H160" s="243">
        <v>0</v>
      </c>
      <c r="I160" s="255">
        <f>$P$160*$L$18*V$17</f>
        <v>0</v>
      </c>
      <c r="J160" s="255">
        <f t="shared" ref="J160:N160" si="98">$P$160*$L$18*W$17</f>
        <v>0</v>
      </c>
      <c r="K160" s="255">
        <f t="shared" si="98"/>
        <v>0</v>
      </c>
      <c r="L160" s="255">
        <f t="shared" si="98"/>
        <v>0</v>
      </c>
      <c r="M160" s="255">
        <f t="shared" si="98"/>
        <v>0</v>
      </c>
      <c r="N160" s="255">
        <f t="shared" si="98"/>
        <v>0</v>
      </c>
      <c r="O160" s="243">
        <v>0</v>
      </c>
      <c r="P160" s="243">
        <f>P170/(1+$R$18)</f>
        <v>0</v>
      </c>
      <c r="Q160" s="243">
        <v>0</v>
      </c>
      <c r="R160" s="254">
        <f t="shared" si="96"/>
        <v>0</v>
      </c>
      <c r="U160" s="437"/>
      <c r="V160" s="252" t="s">
        <v>374</v>
      </c>
      <c r="W160" s="243">
        <v>0</v>
      </c>
      <c r="X160" s="243">
        <v>0</v>
      </c>
      <c r="Y160" s="243">
        <v>0</v>
      </c>
      <c r="Z160" s="243">
        <v>0</v>
      </c>
      <c r="AA160" s="243">
        <v>0</v>
      </c>
      <c r="AB160" s="243">
        <v>0</v>
      </c>
      <c r="AC160" s="255">
        <f>$AJ$160*$L$18*V$17</f>
        <v>0</v>
      </c>
      <c r="AD160" s="255">
        <f t="shared" ref="AD160:AH160" si="99">$AJ$160*$L$18*W$17</f>
        <v>0</v>
      </c>
      <c r="AE160" s="255">
        <f t="shared" si="99"/>
        <v>0</v>
      </c>
      <c r="AF160" s="255">
        <f t="shared" si="99"/>
        <v>0</v>
      </c>
      <c r="AG160" s="255">
        <f t="shared" si="99"/>
        <v>0</v>
      </c>
      <c r="AH160" s="255">
        <f t="shared" si="99"/>
        <v>0</v>
      </c>
      <c r="AI160" s="243">
        <v>0</v>
      </c>
      <c r="AJ160" s="243">
        <f>AJ170/(1+$R$18)</f>
        <v>0</v>
      </c>
      <c r="AK160" s="243">
        <v>0</v>
      </c>
      <c r="AL160" s="254">
        <f t="shared" si="97"/>
        <v>0</v>
      </c>
    </row>
    <row r="161" spans="1:38" ht="14.4" customHeight="1">
      <c r="A161" s="437"/>
      <c r="B161" s="252" t="s">
        <v>375</v>
      </c>
      <c r="C161" s="243">
        <v>0</v>
      </c>
      <c r="D161" s="243">
        <v>0</v>
      </c>
      <c r="E161" s="243">
        <v>0</v>
      </c>
      <c r="F161" s="243">
        <v>0</v>
      </c>
      <c r="G161" s="243">
        <v>0</v>
      </c>
      <c r="H161" s="243">
        <v>0</v>
      </c>
      <c r="I161" s="256">
        <v>0</v>
      </c>
      <c r="J161" s="256">
        <v>0</v>
      </c>
      <c r="K161" s="256">
        <v>0</v>
      </c>
      <c r="L161" s="256">
        <v>0</v>
      </c>
      <c r="M161" s="256">
        <v>0</v>
      </c>
      <c r="N161" s="256">
        <v>0</v>
      </c>
      <c r="O161" s="243">
        <v>0</v>
      </c>
      <c r="P161" s="243">
        <v>0</v>
      </c>
      <c r="Q161" s="243">
        <v>0</v>
      </c>
      <c r="R161" s="254">
        <f t="shared" si="96"/>
        <v>0</v>
      </c>
      <c r="U161" s="437"/>
      <c r="V161" s="252" t="s">
        <v>375</v>
      </c>
      <c r="W161" s="243">
        <v>0</v>
      </c>
      <c r="X161" s="243">
        <v>0</v>
      </c>
      <c r="Y161" s="243">
        <v>0</v>
      </c>
      <c r="Z161" s="243">
        <v>0</v>
      </c>
      <c r="AA161" s="243">
        <v>0</v>
      </c>
      <c r="AB161" s="243">
        <v>0</v>
      </c>
      <c r="AC161" s="256">
        <v>0</v>
      </c>
      <c r="AD161" s="256">
        <v>0</v>
      </c>
      <c r="AE161" s="256">
        <v>0</v>
      </c>
      <c r="AF161" s="256">
        <v>0</v>
      </c>
      <c r="AG161" s="256">
        <v>0</v>
      </c>
      <c r="AH161" s="256">
        <v>0</v>
      </c>
      <c r="AI161" s="243">
        <v>0</v>
      </c>
      <c r="AJ161" s="243">
        <v>0</v>
      </c>
      <c r="AK161" s="243">
        <v>0</v>
      </c>
      <c r="AL161" s="254">
        <f t="shared" si="97"/>
        <v>0</v>
      </c>
    </row>
    <row r="162" spans="1:38" ht="14.4" customHeight="1">
      <c r="A162" s="437"/>
      <c r="B162" s="252" t="s">
        <v>376</v>
      </c>
      <c r="C162" s="243">
        <v>0</v>
      </c>
      <c r="D162" s="243">
        <v>0</v>
      </c>
      <c r="E162" s="243">
        <v>0</v>
      </c>
      <c r="F162" s="243">
        <v>0</v>
      </c>
      <c r="G162" s="243">
        <v>0</v>
      </c>
      <c r="H162" s="243">
        <v>0</v>
      </c>
      <c r="I162" s="243">
        <v>0</v>
      </c>
      <c r="J162" s="243">
        <v>0</v>
      </c>
      <c r="K162" s="243">
        <v>0</v>
      </c>
      <c r="L162" s="243">
        <v>0</v>
      </c>
      <c r="M162" s="243">
        <v>0</v>
      </c>
      <c r="N162" s="243">
        <v>0</v>
      </c>
      <c r="O162" s="243">
        <v>0</v>
      </c>
      <c r="P162" s="243">
        <v>0</v>
      </c>
      <c r="Q162" s="243">
        <v>0</v>
      </c>
      <c r="R162" s="254">
        <f t="shared" si="96"/>
        <v>0</v>
      </c>
      <c r="U162" s="437"/>
      <c r="V162" s="252" t="s">
        <v>376</v>
      </c>
      <c r="W162" s="243">
        <v>0</v>
      </c>
      <c r="X162" s="243">
        <v>0</v>
      </c>
      <c r="Y162" s="243">
        <v>0</v>
      </c>
      <c r="Z162" s="243">
        <v>0</v>
      </c>
      <c r="AA162" s="243">
        <v>0</v>
      </c>
      <c r="AB162" s="243">
        <v>0</v>
      </c>
      <c r="AC162" s="243">
        <v>0</v>
      </c>
      <c r="AD162" s="243">
        <v>0</v>
      </c>
      <c r="AE162" s="243">
        <v>0</v>
      </c>
      <c r="AF162" s="243">
        <v>0</v>
      </c>
      <c r="AG162" s="243">
        <v>0</v>
      </c>
      <c r="AH162" s="243">
        <v>0</v>
      </c>
      <c r="AI162" s="243">
        <v>0</v>
      </c>
      <c r="AJ162" s="243">
        <v>0</v>
      </c>
      <c r="AK162" s="243">
        <v>0</v>
      </c>
      <c r="AL162" s="254">
        <f t="shared" si="97"/>
        <v>0</v>
      </c>
    </row>
    <row r="163" spans="1:38" ht="14.4" customHeight="1">
      <c r="A163" s="437"/>
      <c r="B163" s="252" t="s">
        <v>36</v>
      </c>
      <c r="C163" s="243">
        <v>0</v>
      </c>
      <c r="D163" s="243">
        <v>0</v>
      </c>
      <c r="E163" s="243">
        <v>0</v>
      </c>
      <c r="F163" s="243">
        <v>0</v>
      </c>
      <c r="G163" s="243">
        <v>0</v>
      </c>
      <c r="H163" s="243">
        <v>0</v>
      </c>
      <c r="I163" s="243">
        <v>0</v>
      </c>
      <c r="J163" s="243">
        <v>0</v>
      </c>
      <c r="K163" s="243">
        <v>0</v>
      </c>
      <c r="L163" s="243">
        <v>0</v>
      </c>
      <c r="M163" s="243">
        <v>0</v>
      </c>
      <c r="N163" s="243">
        <v>0</v>
      </c>
      <c r="O163" s="243">
        <v>0</v>
      </c>
      <c r="P163" s="243">
        <v>0</v>
      </c>
      <c r="Q163" s="243">
        <v>0</v>
      </c>
      <c r="R163" s="254">
        <f t="shared" si="96"/>
        <v>0</v>
      </c>
      <c r="U163" s="437"/>
      <c r="V163" s="252" t="s">
        <v>36</v>
      </c>
      <c r="W163" s="243">
        <v>0</v>
      </c>
      <c r="X163" s="243">
        <v>0</v>
      </c>
      <c r="Y163" s="243">
        <v>0</v>
      </c>
      <c r="Z163" s="243">
        <v>0</v>
      </c>
      <c r="AA163" s="243">
        <v>0</v>
      </c>
      <c r="AB163" s="243">
        <v>0</v>
      </c>
      <c r="AC163" s="243">
        <v>0</v>
      </c>
      <c r="AD163" s="243">
        <v>0</v>
      </c>
      <c r="AE163" s="243">
        <v>0</v>
      </c>
      <c r="AF163" s="243">
        <v>0</v>
      </c>
      <c r="AG163" s="243">
        <v>0</v>
      </c>
      <c r="AH163" s="243">
        <v>0</v>
      </c>
      <c r="AI163" s="243">
        <v>0</v>
      </c>
      <c r="AJ163" s="243">
        <v>0</v>
      </c>
      <c r="AK163" s="243">
        <v>0</v>
      </c>
      <c r="AL163" s="254">
        <f t="shared" si="97"/>
        <v>0</v>
      </c>
    </row>
    <row r="164" spans="1:38" ht="14.4" customHeight="1">
      <c r="A164" s="437"/>
      <c r="B164" s="252" t="s">
        <v>377</v>
      </c>
      <c r="C164" s="243">
        <v>0</v>
      </c>
      <c r="D164" s="243">
        <v>0</v>
      </c>
      <c r="E164" s="243">
        <v>0</v>
      </c>
      <c r="F164" s="243">
        <v>0</v>
      </c>
      <c r="G164" s="243">
        <v>0</v>
      </c>
      <c r="H164" s="243">
        <v>0</v>
      </c>
      <c r="I164" s="243">
        <v>0</v>
      </c>
      <c r="J164" s="243">
        <v>0</v>
      </c>
      <c r="K164" s="243">
        <v>0</v>
      </c>
      <c r="L164" s="243">
        <v>0</v>
      </c>
      <c r="M164" s="243">
        <v>0</v>
      </c>
      <c r="N164" s="243">
        <v>0</v>
      </c>
      <c r="O164" s="243">
        <v>0</v>
      </c>
      <c r="P164" s="243">
        <v>0</v>
      </c>
      <c r="Q164" s="243">
        <v>0</v>
      </c>
      <c r="R164" s="254">
        <f t="shared" si="96"/>
        <v>0</v>
      </c>
      <c r="U164" s="437"/>
      <c r="V164" s="252" t="s">
        <v>377</v>
      </c>
      <c r="W164" s="243">
        <v>0</v>
      </c>
      <c r="X164" s="243">
        <v>0</v>
      </c>
      <c r="Y164" s="243">
        <v>0</v>
      </c>
      <c r="Z164" s="243">
        <v>0</v>
      </c>
      <c r="AA164" s="243">
        <v>0</v>
      </c>
      <c r="AB164" s="243">
        <v>0</v>
      </c>
      <c r="AC164" s="243">
        <v>0</v>
      </c>
      <c r="AD164" s="243">
        <v>0</v>
      </c>
      <c r="AE164" s="243">
        <v>0</v>
      </c>
      <c r="AF164" s="243">
        <v>0</v>
      </c>
      <c r="AG164" s="243">
        <v>0</v>
      </c>
      <c r="AH164" s="243">
        <v>0</v>
      </c>
      <c r="AI164" s="243">
        <v>0</v>
      </c>
      <c r="AJ164" s="243">
        <v>0</v>
      </c>
      <c r="AK164" s="243">
        <v>0</v>
      </c>
      <c r="AL164" s="254">
        <f t="shared" si="97"/>
        <v>0</v>
      </c>
    </row>
    <row r="165" spans="1:38" ht="14.4" customHeight="1">
      <c r="A165" s="437"/>
      <c r="B165" s="252" t="s">
        <v>378</v>
      </c>
      <c r="C165" s="243">
        <v>0</v>
      </c>
      <c r="D165" s="243">
        <v>0</v>
      </c>
      <c r="E165" s="243">
        <v>0</v>
      </c>
      <c r="F165" s="243">
        <v>0</v>
      </c>
      <c r="G165" s="243">
        <v>0</v>
      </c>
      <c r="H165" s="243">
        <v>0</v>
      </c>
      <c r="I165" s="243">
        <v>0</v>
      </c>
      <c r="J165" s="243">
        <v>0</v>
      </c>
      <c r="K165" s="243">
        <v>0</v>
      </c>
      <c r="L165" s="243">
        <v>0</v>
      </c>
      <c r="M165" s="243">
        <v>0</v>
      </c>
      <c r="N165" s="243">
        <v>0</v>
      </c>
      <c r="O165" s="243">
        <v>0</v>
      </c>
      <c r="P165" s="243">
        <v>0</v>
      </c>
      <c r="Q165" s="243">
        <v>0</v>
      </c>
      <c r="R165" s="254">
        <f t="shared" si="96"/>
        <v>0</v>
      </c>
      <c r="U165" s="437"/>
      <c r="V165" s="252" t="s">
        <v>378</v>
      </c>
      <c r="W165" s="243">
        <v>0</v>
      </c>
      <c r="X165" s="243">
        <v>0</v>
      </c>
      <c r="Y165" s="243">
        <v>0</v>
      </c>
      <c r="Z165" s="243">
        <v>0</v>
      </c>
      <c r="AA165" s="243">
        <v>0</v>
      </c>
      <c r="AB165" s="243">
        <v>0</v>
      </c>
      <c r="AC165" s="243">
        <v>0</v>
      </c>
      <c r="AD165" s="243">
        <v>0</v>
      </c>
      <c r="AE165" s="243">
        <v>0</v>
      </c>
      <c r="AF165" s="243">
        <v>0</v>
      </c>
      <c r="AG165" s="243">
        <v>0</v>
      </c>
      <c r="AH165" s="243">
        <v>0</v>
      </c>
      <c r="AI165" s="243">
        <v>0</v>
      </c>
      <c r="AJ165" s="243">
        <v>0</v>
      </c>
      <c r="AK165" s="243">
        <v>0</v>
      </c>
      <c r="AL165" s="254">
        <f t="shared" si="97"/>
        <v>0</v>
      </c>
    </row>
    <row r="166" spans="1:38" ht="14.4" customHeight="1">
      <c r="A166" s="437"/>
      <c r="B166" s="252" t="s">
        <v>379</v>
      </c>
      <c r="C166" s="243">
        <v>0</v>
      </c>
      <c r="D166" s="243">
        <v>0</v>
      </c>
      <c r="E166" s="243">
        <v>0</v>
      </c>
      <c r="F166" s="243">
        <v>0</v>
      </c>
      <c r="G166" s="243">
        <v>0</v>
      </c>
      <c r="H166" s="243">
        <v>0</v>
      </c>
      <c r="I166" s="243">
        <v>0</v>
      </c>
      <c r="J166" s="243">
        <v>0</v>
      </c>
      <c r="K166" s="243">
        <v>0</v>
      </c>
      <c r="L166" s="243">
        <v>0</v>
      </c>
      <c r="M166" s="243">
        <v>0</v>
      </c>
      <c r="N166" s="243">
        <v>0</v>
      </c>
      <c r="O166" s="243">
        <v>0</v>
      </c>
      <c r="P166" s="243">
        <v>0</v>
      </c>
      <c r="Q166" s="243">
        <v>0</v>
      </c>
      <c r="R166" s="254">
        <f t="shared" si="96"/>
        <v>0</v>
      </c>
      <c r="U166" s="437"/>
      <c r="V166" s="252" t="s">
        <v>379</v>
      </c>
      <c r="W166" s="243">
        <v>0</v>
      </c>
      <c r="X166" s="243">
        <v>0</v>
      </c>
      <c r="Y166" s="243">
        <v>0</v>
      </c>
      <c r="Z166" s="243">
        <v>0</v>
      </c>
      <c r="AA166" s="243">
        <v>0</v>
      </c>
      <c r="AB166" s="243">
        <v>0</v>
      </c>
      <c r="AC166" s="243">
        <v>0</v>
      </c>
      <c r="AD166" s="243">
        <v>0</v>
      </c>
      <c r="AE166" s="243">
        <v>0</v>
      </c>
      <c r="AF166" s="243">
        <v>0</v>
      </c>
      <c r="AG166" s="243">
        <v>0</v>
      </c>
      <c r="AH166" s="243">
        <v>0</v>
      </c>
      <c r="AI166" s="243">
        <v>0</v>
      </c>
      <c r="AJ166" s="243">
        <v>0</v>
      </c>
      <c r="AK166" s="243">
        <v>0</v>
      </c>
      <c r="AL166" s="254">
        <f t="shared" si="97"/>
        <v>0</v>
      </c>
    </row>
    <row r="167" spans="1:38" ht="14.4" customHeight="1">
      <c r="A167" s="437"/>
      <c r="B167" s="252" t="s">
        <v>37</v>
      </c>
      <c r="C167" s="243">
        <v>0</v>
      </c>
      <c r="D167" s="243">
        <v>0</v>
      </c>
      <c r="E167" s="243">
        <v>0</v>
      </c>
      <c r="F167" s="243">
        <v>0</v>
      </c>
      <c r="G167" s="243">
        <v>0</v>
      </c>
      <c r="H167" s="243">
        <v>0</v>
      </c>
      <c r="I167" s="243">
        <v>0</v>
      </c>
      <c r="J167" s="243">
        <v>0</v>
      </c>
      <c r="K167" s="243">
        <v>0</v>
      </c>
      <c r="L167" s="243">
        <v>0</v>
      </c>
      <c r="M167" s="243">
        <v>0</v>
      </c>
      <c r="N167" s="243">
        <v>0</v>
      </c>
      <c r="O167" s="243">
        <v>0</v>
      </c>
      <c r="P167" s="243">
        <v>0</v>
      </c>
      <c r="Q167" s="243">
        <v>0</v>
      </c>
      <c r="R167" s="254">
        <f t="shared" si="96"/>
        <v>0</v>
      </c>
      <c r="U167" s="437"/>
      <c r="V167" s="252" t="s">
        <v>37</v>
      </c>
      <c r="W167" s="243">
        <v>0</v>
      </c>
      <c r="X167" s="243">
        <v>0</v>
      </c>
      <c r="Y167" s="243">
        <v>0</v>
      </c>
      <c r="Z167" s="243">
        <v>0</v>
      </c>
      <c r="AA167" s="243">
        <v>0</v>
      </c>
      <c r="AB167" s="243">
        <v>0</v>
      </c>
      <c r="AC167" s="243">
        <v>0</v>
      </c>
      <c r="AD167" s="243">
        <v>0</v>
      </c>
      <c r="AE167" s="243">
        <v>0</v>
      </c>
      <c r="AF167" s="243">
        <v>0</v>
      </c>
      <c r="AG167" s="243">
        <v>0</v>
      </c>
      <c r="AH167" s="243">
        <v>0</v>
      </c>
      <c r="AI167" s="243">
        <v>0</v>
      </c>
      <c r="AJ167" s="243">
        <v>0</v>
      </c>
      <c r="AK167" s="243">
        <v>0</v>
      </c>
      <c r="AL167" s="254">
        <f t="shared" si="97"/>
        <v>0</v>
      </c>
    </row>
    <row r="168" spans="1:38" ht="14.4" customHeight="1">
      <c r="A168" s="437"/>
      <c r="B168" s="252" t="s">
        <v>38</v>
      </c>
      <c r="C168" s="243">
        <v>0</v>
      </c>
      <c r="D168" s="243">
        <v>0</v>
      </c>
      <c r="E168" s="243">
        <v>0</v>
      </c>
      <c r="F168" s="243">
        <v>0</v>
      </c>
      <c r="G168" s="243">
        <v>0</v>
      </c>
      <c r="H168" s="243">
        <v>0</v>
      </c>
      <c r="I168" s="243">
        <v>0</v>
      </c>
      <c r="J168" s="243">
        <v>0</v>
      </c>
      <c r="K168" s="243">
        <v>0</v>
      </c>
      <c r="L168" s="243">
        <v>0</v>
      </c>
      <c r="M168" s="243">
        <v>0</v>
      </c>
      <c r="N168" s="243">
        <v>0</v>
      </c>
      <c r="O168" s="243">
        <f>O159*$F$17</f>
        <v>13.244681066505532</v>
      </c>
      <c r="P168" s="243">
        <v>0</v>
      </c>
      <c r="Q168" s="243">
        <v>0</v>
      </c>
      <c r="R168" s="254">
        <f t="shared" si="96"/>
        <v>13.244681066505532</v>
      </c>
      <c r="U168" s="437"/>
      <c r="V168" s="252" t="s">
        <v>38</v>
      </c>
      <c r="W168" s="243">
        <v>0</v>
      </c>
      <c r="X168" s="243">
        <v>0</v>
      </c>
      <c r="Y168" s="243">
        <v>0</v>
      </c>
      <c r="Z168" s="243">
        <v>0</v>
      </c>
      <c r="AA168" s="243">
        <v>0</v>
      </c>
      <c r="AB168" s="243">
        <v>0</v>
      </c>
      <c r="AC168" s="243">
        <v>0</v>
      </c>
      <c r="AD168" s="243">
        <v>0</v>
      </c>
      <c r="AE168" s="243">
        <v>0</v>
      </c>
      <c r="AF168" s="243">
        <v>0</v>
      </c>
      <c r="AG168" s="243">
        <v>0</v>
      </c>
      <c r="AH168" s="243">
        <v>0</v>
      </c>
      <c r="AI168" s="243">
        <f>AI159*$F$17</f>
        <v>11.651404559284281</v>
      </c>
      <c r="AJ168" s="243">
        <v>0</v>
      </c>
      <c r="AK168" s="243">
        <v>0</v>
      </c>
      <c r="AL168" s="254">
        <f t="shared" si="97"/>
        <v>11.651404559284281</v>
      </c>
    </row>
    <row r="169" spans="1:38" ht="14.4" customHeight="1">
      <c r="A169" s="437"/>
      <c r="B169" s="252" t="s">
        <v>39</v>
      </c>
      <c r="C169" s="243">
        <v>0</v>
      </c>
      <c r="D169" s="243">
        <v>0</v>
      </c>
      <c r="E169" s="243">
        <v>0</v>
      </c>
      <c r="F169" s="243">
        <v>0</v>
      </c>
      <c r="G169" s="243">
        <v>0</v>
      </c>
      <c r="H169" s="243">
        <v>0</v>
      </c>
      <c r="I169" s="243">
        <v>0</v>
      </c>
      <c r="J169" s="243">
        <v>0</v>
      </c>
      <c r="K169" s="243">
        <v>0</v>
      </c>
      <c r="L169" s="243">
        <v>0</v>
      </c>
      <c r="M169" s="243">
        <v>0</v>
      </c>
      <c r="N169" s="243">
        <v>0</v>
      </c>
      <c r="O169" s="243">
        <f>O159*$F$18</f>
        <v>110.0172486264117</v>
      </c>
      <c r="P169" s="243">
        <f>P160*$R$18</f>
        <v>0</v>
      </c>
      <c r="Q169" s="243">
        <v>0</v>
      </c>
      <c r="R169" s="254">
        <f t="shared" si="96"/>
        <v>110.0172486264117</v>
      </c>
      <c r="U169" s="437"/>
      <c r="V169" s="252" t="s">
        <v>39</v>
      </c>
      <c r="W169" s="243">
        <v>0</v>
      </c>
      <c r="X169" s="243">
        <v>0</v>
      </c>
      <c r="Y169" s="243">
        <v>0</v>
      </c>
      <c r="Z169" s="243">
        <v>0</v>
      </c>
      <c r="AA169" s="243">
        <v>0</v>
      </c>
      <c r="AB169" s="243">
        <v>0</v>
      </c>
      <c r="AC169" s="243">
        <v>0</v>
      </c>
      <c r="AD169" s="243">
        <v>0</v>
      </c>
      <c r="AE169" s="243">
        <v>0</v>
      </c>
      <c r="AF169" s="243">
        <v>0</v>
      </c>
      <c r="AG169" s="243">
        <v>0</v>
      </c>
      <c r="AH169" s="243">
        <v>0</v>
      </c>
      <c r="AI169" s="243">
        <f>AI159*$F$18</f>
        <v>96.782660587227682</v>
      </c>
      <c r="AJ169" s="243">
        <f>AJ160*$R$18</f>
        <v>0</v>
      </c>
      <c r="AK169" s="243">
        <v>0</v>
      </c>
      <c r="AL169" s="254">
        <f t="shared" si="97"/>
        <v>96.782660587227682</v>
      </c>
    </row>
    <row r="170" spans="1:38" ht="14.4" customHeight="1">
      <c r="A170" s="437"/>
      <c r="B170" s="247" t="s">
        <v>40</v>
      </c>
      <c r="C170" s="248">
        <f>SUM(C158:C169)</f>
        <v>0</v>
      </c>
      <c r="D170" s="248">
        <f t="shared" ref="D170:N170" si="100">SUM(D158:D169)</f>
        <v>0</v>
      </c>
      <c r="E170" s="248">
        <f t="shared" si="100"/>
        <v>50.829181725813086</v>
      </c>
      <c r="F170" s="248">
        <f t="shared" si="100"/>
        <v>0</v>
      </c>
      <c r="G170" s="248">
        <f t="shared" si="100"/>
        <v>0</v>
      </c>
      <c r="H170" s="248">
        <f t="shared" si="100"/>
        <v>661.58602630044641</v>
      </c>
      <c r="I170" s="248">
        <f t="shared" si="100"/>
        <v>295.79491919030841</v>
      </c>
      <c r="J170" s="248">
        <f t="shared" si="100"/>
        <v>0</v>
      </c>
      <c r="K170" s="248">
        <f t="shared" si="100"/>
        <v>761.97686013070404</v>
      </c>
      <c r="L170" s="248">
        <f t="shared" si="100"/>
        <v>18.637366632798134</v>
      </c>
      <c r="M170" s="248">
        <f t="shared" si="100"/>
        <v>0</v>
      </c>
      <c r="N170" s="248">
        <f t="shared" si="100"/>
        <v>0</v>
      </c>
      <c r="O170" s="248">
        <f>-O180</f>
        <v>-994.98006827497068</v>
      </c>
      <c r="P170" s="248">
        <f>-P172</f>
        <v>0</v>
      </c>
      <c r="Q170" s="248">
        <f t="shared" ref="Q170" si="101">SUM(Q158:Q169)</f>
        <v>0</v>
      </c>
      <c r="R170" s="248">
        <f t="shared" si="96"/>
        <v>793.84428570509942</v>
      </c>
      <c r="U170" s="437"/>
      <c r="V170" s="247" t="s">
        <v>40</v>
      </c>
      <c r="W170" s="248">
        <f>SUM(W158:W169)</f>
        <v>0</v>
      </c>
      <c r="X170" s="248">
        <f t="shared" ref="X170:AH170" si="102">SUM(X158:X169)</f>
        <v>0</v>
      </c>
      <c r="Y170" s="248">
        <f t="shared" si="102"/>
        <v>0</v>
      </c>
      <c r="Z170" s="248">
        <f t="shared" si="102"/>
        <v>0</v>
      </c>
      <c r="AA170" s="248">
        <f t="shared" si="102"/>
        <v>0</v>
      </c>
      <c r="AB170" s="248">
        <f t="shared" si="102"/>
        <v>604.98841845254572</v>
      </c>
      <c r="AC170" s="248">
        <f t="shared" si="102"/>
        <v>419.08004985109397</v>
      </c>
      <c r="AD170" s="248">
        <f t="shared" si="102"/>
        <v>0</v>
      </c>
      <c r="AE170" s="248">
        <f t="shared" si="102"/>
        <v>503.16193138347046</v>
      </c>
      <c r="AF170" s="248">
        <f t="shared" si="102"/>
        <v>16.395373921656088</v>
      </c>
      <c r="AG170" s="248">
        <f t="shared" si="102"/>
        <v>0</v>
      </c>
      <c r="AH170" s="248">
        <f t="shared" si="102"/>
        <v>0</v>
      </c>
      <c r="AI170" s="248">
        <f>-AI180</f>
        <v>-875.28837015285319</v>
      </c>
      <c r="AJ170" s="248">
        <f>-AJ172</f>
        <v>0</v>
      </c>
      <c r="AK170" s="248">
        <f t="shared" ref="AK170" si="103">SUM(AK158:AK169)</f>
        <v>0</v>
      </c>
      <c r="AL170" s="248">
        <f t="shared" si="97"/>
        <v>668.33740345591298</v>
      </c>
    </row>
    <row r="171" spans="1:38" ht="14.4" customHeight="1">
      <c r="A171" s="437"/>
      <c r="B171" s="249"/>
      <c r="C171" s="250"/>
      <c r="D171" s="250"/>
      <c r="E171" s="257"/>
      <c r="F171" s="250"/>
      <c r="G171" s="250"/>
      <c r="H171" s="250"/>
      <c r="I171" s="257"/>
      <c r="J171" s="250"/>
      <c r="K171" s="250"/>
      <c r="L171" s="250"/>
      <c r="M171" s="258"/>
      <c r="N171" s="250"/>
      <c r="O171" s="250"/>
      <c r="P171" s="250"/>
      <c r="Q171" s="250"/>
      <c r="R171" s="250"/>
      <c r="U171" s="437"/>
      <c r="V171" s="249"/>
      <c r="W171" s="250"/>
      <c r="X171" s="250"/>
      <c r="Y171" s="257"/>
      <c r="Z171" s="250"/>
      <c r="AA171" s="250"/>
      <c r="AB171" s="250"/>
      <c r="AC171" s="257"/>
      <c r="AD171" s="250"/>
      <c r="AE171" s="250"/>
      <c r="AF171" s="250"/>
      <c r="AG171" s="258"/>
      <c r="AH171" s="250"/>
      <c r="AI171" s="250"/>
      <c r="AJ171" s="250"/>
      <c r="AK171" s="250"/>
      <c r="AL171" s="250"/>
    </row>
    <row r="172" spans="1:38" ht="14.4" customHeight="1">
      <c r="A172" s="437"/>
      <c r="B172" s="252" t="s">
        <v>41</v>
      </c>
      <c r="C172" s="243">
        <v>0</v>
      </c>
      <c r="D172" s="243">
        <v>0</v>
      </c>
      <c r="E172" s="243">
        <f>Industrie!$F$35</f>
        <v>16.244840063531591</v>
      </c>
      <c r="F172" s="243">
        <v>0</v>
      </c>
      <c r="G172" s="243">
        <v>0</v>
      </c>
      <c r="H172" s="243">
        <v>0</v>
      </c>
      <c r="I172" s="243">
        <f>Industrie!$F$38*$I$49/SUM($I$49:$N$49)</f>
        <v>1.3328183805658449</v>
      </c>
      <c r="J172" s="243">
        <f>Industrie!$F$38*$J$49/SUM($I$49:$N$49)</f>
        <v>0</v>
      </c>
      <c r="K172" s="243">
        <f>Industrie!$F$38*$K$49/SUM($I$49:$N$49)</f>
        <v>0</v>
      </c>
      <c r="L172" s="243">
        <f>Industrie!$F$38*$L$49/SUM($I$49:$N$49)</f>
        <v>0</v>
      </c>
      <c r="M172" s="243">
        <f>Industrie!$F$38*$M$49/SUM($I$49:$N$49)</f>
        <v>0</v>
      </c>
      <c r="N172" s="243">
        <f>Industrie!$F$38*$N$49/SUM($I$49:$N$49)</f>
        <v>0</v>
      </c>
      <c r="O172" s="243">
        <f>Industrie!$F$36</f>
        <v>41.413019798924523</v>
      </c>
      <c r="P172" s="243">
        <f>Industrie!$F$39</f>
        <v>0</v>
      </c>
      <c r="Q172" s="243">
        <v>0</v>
      </c>
      <c r="R172" s="254">
        <f>SUM(C172:Q172)</f>
        <v>58.990678243021961</v>
      </c>
      <c r="U172" s="437"/>
      <c r="V172" s="252" t="s">
        <v>41</v>
      </c>
      <c r="W172" s="243">
        <v>0</v>
      </c>
      <c r="X172" s="243">
        <v>0</v>
      </c>
      <c r="Y172" s="243">
        <f>Industrie!$F$56</f>
        <v>6.5625303861655855</v>
      </c>
      <c r="Z172" s="243">
        <v>0</v>
      </c>
      <c r="AA172" s="243">
        <v>0</v>
      </c>
      <c r="AB172" s="243">
        <v>0</v>
      </c>
      <c r="AC172" s="243">
        <f>Industrie!$F$62*$AC$49/SUM($I$49:$N$49)</f>
        <v>5.7078386380095694</v>
      </c>
      <c r="AD172" s="243">
        <f>Industrie!$F$62*$AD$49/SUM($I$49:$N$49)</f>
        <v>0</v>
      </c>
      <c r="AE172" s="243">
        <f>Industrie!$F$62*$AE$49/SUM($I$49:$N$49)</f>
        <v>0</v>
      </c>
      <c r="AF172" s="243">
        <f>Industrie!$F$62*$AF$49/SUM($I$49:$N$49)</f>
        <v>0</v>
      </c>
      <c r="AG172" s="243">
        <f>Industrie!$F$62*$AG$49/SUM($I$49:$N$49)</f>
        <v>0</v>
      </c>
      <c r="AH172" s="243">
        <f>Industrie!$F$62*$AH$49/SUM($I$49:$N$49)</f>
        <v>0</v>
      </c>
      <c r="AI172" s="243">
        <f>Industrie!$F$57</f>
        <v>41.766413149847146</v>
      </c>
      <c r="AJ172" s="243">
        <f>Industrie!$F$63</f>
        <v>0</v>
      </c>
      <c r="AK172" s="243">
        <v>0</v>
      </c>
      <c r="AL172" s="254">
        <f>SUM(W172:AK172)</f>
        <v>54.036782174022299</v>
      </c>
    </row>
    <row r="173" spans="1:38" ht="14.4" customHeight="1">
      <c r="A173" s="437"/>
      <c r="B173" s="252" t="s">
        <v>42</v>
      </c>
      <c r="C173" s="243">
        <v>0</v>
      </c>
      <c r="D173" s="243">
        <v>0</v>
      </c>
      <c r="E173" s="243">
        <f>Transports!$H$44</f>
        <v>1098.8617616378565</v>
      </c>
      <c r="F173" s="243">
        <v>0</v>
      </c>
      <c r="G173" s="243">
        <v>0</v>
      </c>
      <c r="H173" s="243">
        <v>0</v>
      </c>
      <c r="I173" s="243">
        <v>0</v>
      </c>
      <c r="J173" s="243">
        <v>0</v>
      </c>
      <c r="K173" s="243">
        <v>0</v>
      </c>
      <c r="L173" s="243">
        <v>0</v>
      </c>
      <c r="M173" s="243">
        <v>0</v>
      </c>
      <c r="N173" s="243">
        <v>0</v>
      </c>
      <c r="O173" s="243">
        <f>Transports!$H$45</f>
        <v>81.171146956712974</v>
      </c>
      <c r="P173" s="243">
        <v>0</v>
      </c>
      <c r="Q173" s="243">
        <v>0</v>
      </c>
      <c r="R173" s="254">
        <f t="shared" ref="R173:R180" si="104">SUM(C173:Q173)</f>
        <v>1180.0329085945696</v>
      </c>
      <c r="U173" s="437"/>
      <c r="V173" s="252" t="s">
        <v>42</v>
      </c>
      <c r="W173" s="243">
        <v>0</v>
      </c>
      <c r="X173" s="243">
        <v>0</v>
      </c>
      <c r="Y173" s="243">
        <f>Transports!$H$71</f>
        <v>841.64097531424261</v>
      </c>
      <c r="Z173" s="243">
        <v>0</v>
      </c>
      <c r="AA173" s="243">
        <v>0</v>
      </c>
      <c r="AB173" s="243">
        <v>0</v>
      </c>
      <c r="AC173" s="243">
        <v>0</v>
      </c>
      <c r="AD173" s="243">
        <v>0</v>
      </c>
      <c r="AE173" s="243">
        <v>0</v>
      </c>
      <c r="AF173" s="243">
        <v>0</v>
      </c>
      <c r="AG173" s="243">
        <v>0</v>
      </c>
      <c r="AH173" s="243">
        <v>0</v>
      </c>
      <c r="AI173" s="243">
        <f>Transports!$H$72</f>
        <v>174.50281159005419</v>
      </c>
      <c r="AJ173" s="243">
        <v>0</v>
      </c>
      <c r="AK173" s="243">
        <v>0</v>
      </c>
      <c r="AL173" s="254">
        <f t="shared" ref="AL173:AL180" si="105">SUM(W173:AK173)</f>
        <v>1016.1437869042968</v>
      </c>
    </row>
    <row r="174" spans="1:38" ht="14.4" customHeight="1">
      <c r="A174" s="437"/>
      <c r="B174" s="252" t="s">
        <v>43</v>
      </c>
      <c r="C174" s="243">
        <v>0</v>
      </c>
      <c r="D174" s="243">
        <v>0</v>
      </c>
      <c r="E174" s="243">
        <f>'Résidentiel-tertiaire'!$F$163</f>
        <v>57.319807264554285</v>
      </c>
      <c r="F174" s="243">
        <v>0</v>
      </c>
      <c r="G174" s="243">
        <v>0</v>
      </c>
      <c r="H174" s="243">
        <v>0</v>
      </c>
      <c r="I174" s="243">
        <f>'Résidentiel-tertiaire'!$F$164*$I$51/SUM($I$51:$N$51)</f>
        <v>0</v>
      </c>
      <c r="J174" s="243">
        <f>'Résidentiel-tertiaire'!$F$164*$J$51/SUM($I$51:$N$51)</f>
        <v>0</v>
      </c>
      <c r="K174" s="243">
        <f>'Résidentiel-tertiaire'!$F$164*$K$51/SUM($I$51:$N$51)</f>
        <v>0</v>
      </c>
      <c r="L174" s="243">
        <f>'Résidentiel-tertiaire'!$F$164*$L$51/SUM($I$51:$N$51)</f>
        <v>0</v>
      </c>
      <c r="M174" s="243">
        <f>'Résidentiel-tertiaire'!$F$164*$M$51/SUM($I$51:$N$51)</f>
        <v>0</v>
      </c>
      <c r="N174" s="243">
        <f>'Résidentiel-tertiaire'!$F$164*$N$51/SUM($I$51:$N$51)</f>
        <v>19.240444075146275</v>
      </c>
      <c r="O174" s="243">
        <f>'Résidentiel-tertiaire'!$F$165</f>
        <v>276.9652092102445</v>
      </c>
      <c r="P174" s="243">
        <v>0</v>
      </c>
      <c r="Q174" s="243">
        <v>0</v>
      </c>
      <c r="R174" s="254">
        <f t="shared" si="104"/>
        <v>353.52546054994502</v>
      </c>
      <c r="U174" s="437"/>
      <c r="V174" s="252" t="s">
        <v>43</v>
      </c>
      <c r="W174" s="243">
        <v>0</v>
      </c>
      <c r="X174" s="243">
        <v>0</v>
      </c>
      <c r="Y174" s="243">
        <f>'Résidentiel-tertiaire'!$F$177</f>
        <v>33.196475</v>
      </c>
      <c r="Z174" s="243">
        <v>0</v>
      </c>
      <c r="AA174" s="243">
        <v>0</v>
      </c>
      <c r="AB174" s="243">
        <v>0</v>
      </c>
      <c r="AC174" s="243">
        <f>'Résidentiel-tertiaire'!$F$178*$AC$51/SUM($I$51:$N$51)</f>
        <v>0</v>
      </c>
      <c r="AD174" s="243">
        <f>'Résidentiel-tertiaire'!$F$178*$AD$51/SUM($I$51:$N$51)</f>
        <v>0</v>
      </c>
      <c r="AE174" s="243">
        <f>'Résidentiel-tertiaire'!$F$178*$AE$51/SUM($I$51:$N$51)</f>
        <v>0</v>
      </c>
      <c r="AF174" s="243">
        <f>'Résidentiel-tertiaire'!$F$178*$AF$51/SUM($I$51:$N$51)</f>
        <v>0</v>
      </c>
      <c r="AG174" s="243">
        <f>'Résidentiel-tertiaire'!$F$178*$AG$51/SUM($I$51:$N$51)</f>
        <v>0</v>
      </c>
      <c r="AH174" s="243">
        <f>'Résidentiel-tertiaire'!$F$178*$AH$51/SUM($I$51:$N$51)</f>
        <v>29.847919075037051</v>
      </c>
      <c r="AI174" s="243">
        <f>'Résidentiel-tertiaire'!$F$179</f>
        <v>212.28403450769761</v>
      </c>
      <c r="AJ174" s="243">
        <v>0</v>
      </c>
      <c r="AK174" s="243">
        <v>0</v>
      </c>
      <c r="AL174" s="254">
        <f t="shared" si="105"/>
        <v>275.32842858273466</v>
      </c>
    </row>
    <row r="175" spans="1:38" ht="14.4" customHeight="1">
      <c r="A175" s="437"/>
      <c r="B175" s="252" t="s">
        <v>44</v>
      </c>
      <c r="C175" s="243">
        <v>0</v>
      </c>
      <c r="D175" s="243">
        <v>0</v>
      </c>
      <c r="E175" s="243">
        <f>'Résidentiel-tertiaire'!$F$168</f>
        <v>0</v>
      </c>
      <c r="F175" s="243">
        <v>0</v>
      </c>
      <c r="G175" s="243">
        <v>0</v>
      </c>
      <c r="H175" s="243">
        <v>0</v>
      </c>
      <c r="I175" s="243">
        <f>'Résidentiel-tertiaire'!$F$169*$I$52/SUM($I$52:$N$52)</f>
        <v>0</v>
      </c>
      <c r="J175" s="243">
        <f>'Résidentiel-tertiaire'!$F$169*$J$52/SUM($I$52:$N$52)</f>
        <v>0</v>
      </c>
      <c r="K175" s="243">
        <f>'Résidentiel-tertiaire'!$F$169*$K$52/SUM($I$52:$N$52)</f>
        <v>0</v>
      </c>
      <c r="L175" s="243">
        <f>'Résidentiel-tertiaire'!$F$169*$L$52/SUM($I$52:$N$52)</f>
        <v>0</v>
      </c>
      <c r="M175" s="243">
        <f>'Résidentiel-tertiaire'!$F$169*$M$52/SUM($I$52:$N$52)</f>
        <v>0</v>
      </c>
      <c r="N175" s="243">
        <f>'Résidentiel-tertiaire'!$F$169*$N$52/SUM($I$52:$N$52)</f>
        <v>0.38097908151042015</v>
      </c>
      <c r="O175" s="243">
        <f>'Résidentiel-tertiaire'!$F$170</f>
        <v>594.84914541289788</v>
      </c>
      <c r="P175" s="243">
        <v>0</v>
      </c>
      <c r="Q175" s="243">
        <v>0</v>
      </c>
      <c r="R175" s="254">
        <f t="shared" si="104"/>
        <v>595.2301244944083</v>
      </c>
      <c r="U175" s="437"/>
      <c r="V175" s="252" t="s">
        <v>44</v>
      </c>
      <c r="W175" s="243">
        <v>0</v>
      </c>
      <c r="X175" s="243">
        <v>0</v>
      </c>
      <c r="Y175" s="243">
        <f>'Résidentiel-tertiaire'!$F$182</f>
        <v>0</v>
      </c>
      <c r="Z175" s="243">
        <v>0</v>
      </c>
      <c r="AA175" s="243">
        <v>0</v>
      </c>
      <c r="AB175" s="243">
        <v>0</v>
      </c>
      <c r="AC175" s="243">
        <f>'Résidentiel-tertiaire'!$F$183*$AC$52/SUM($I$52:$N$52)</f>
        <v>0</v>
      </c>
      <c r="AD175" s="243">
        <f>'Résidentiel-tertiaire'!$F$183*$AD$52/SUM($I$52:$N$52)</f>
        <v>0</v>
      </c>
      <c r="AE175" s="243">
        <f>'Résidentiel-tertiaire'!$F$183*$AE$52/SUM($I$52:$N$52)</f>
        <v>0</v>
      </c>
      <c r="AF175" s="243">
        <f>'Résidentiel-tertiaire'!$F$183*$AF$52/SUM($I$52:$N$52)</f>
        <v>0</v>
      </c>
      <c r="AG175" s="243">
        <f>'Résidentiel-tertiaire'!$F$183*$AG$52/SUM($I$52:$N$52)</f>
        <v>0</v>
      </c>
      <c r="AH175" s="243">
        <f>'Résidentiel-tertiaire'!$F$183*$AH$52/SUM($I$52:$N$52)</f>
        <v>0.28592681020476568</v>
      </c>
      <c r="AI175" s="243">
        <f>'Résidentiel-tertiaire'!$F$184</f>
        <v>446.43742125324206</v>
      </c>
      <c r="AJ175" s="243">
        <v>0</v>
      </c>
      <c r="AK175" s="243">
        <v>0</v>
      </c>
      <c r="AL175" s="254">
        <f t="shared" si="105"/>
        <v>446.72334806344685</v>
      </c>
    </row>
    <row r="176" spans="1:38" ht="14.4" customHeight="1">
      <c r="A176" s="437"/>
      <c r="B176" s="252" t="s">
        <v>4</v>
      </c>
      <c r="C176" s="243">
        <v>0</v>
      </c>
      <c r="D176" s="243">
        <v>0</v>
      </c>
      <c r="E176" s="243">
        <f>Agriculture!$P$27</f>
        <v>67.861457329171003</v>
      </c>
      <c r="F176" s="243">
        <v>0</v>
      </c>
      <c r="G176" s="243">
        <v>0</v>
      </c>
      <c r="H176" s="243">
        <v>0</v>
      </c>
      <c r="I176" s="243">
        <v>0</v>
      </c>
      <c r="J176" s="243">
        <v>0</v>
      </c>
      <c r="K176" s="243">
        <v>0</v>
      </c>
      <c r="L176" s="243">
        <v>0</v>
      </c>
      <c r="M176" s="243">
        <v>0</v>
      </c>
      <c r="N176" s="243">
        <v>0</v>
      </c>
      <c r="O176" s="243">
        <f>Agriculture!$P$28</f>
        <v>0.58154689619088484</v>
      </c>
      <c r="P176" s="243">
        <v>0</v>
      </c>
      <c r="Q176" s="243">
        <v>0</v>
      </c>
      <c r="R176" s="254">
        <f t="shared" si="104"/>
        <v>68.443004225361889</v>
      </c>
      <c r="U176" s="437"/>
      <c r="V176" s="252" t="s">
        <v>4</v>
      </c>
      <c r="W176" s="243">
        <v>0</v>
      </c>
      <c r="X176" s="243">
        <v>0</v>
      </c>
      <c r="Y176" s="243">
        <f>Agriculture!$U$43</f>
        <v>31.284032258064514</v>
      </c>
      <c r="Z176" s="243">
        <v>0</v>
      </c>
      <c r="AA176" s="243">
        <v>0</v>
      </c>
      <c r="AB176" s="243">
        <v>0</v>
      </c>
      <c r="AC176" s="243">
        <v>0</v>
      </c>
      <c r="AD176" s="243">
        <v>0</v>
      </c>
      <c r="AE176" s="243">
        <f>Agriculture!$U$45</f>
        <v>31.083814451612902</v>
      </c>
      <c r="AF176" s="243">
        <v>0</v>
      </c>
      <c r="AG176" s="243">
        <v>0</v>
      </c>
      <c r="AH176" s="243">
        <v>0</v>
      </c>
      <c r="AI176" s="243">
        <f>Agriculture!$U$44</f>
        <v>0.29768965201215125</v>
      </c>
      <c r="AJ176" s="243">
        <v>0</v>
      </c>
      <c r="AK176" s="243">
        <v>0</v>
      </c>
      <c r="AL176" s="254">
        <f t="shared" si="105"/>
        <v>62.665536361689568</v>
      </c>
    </row>
    <row r="177" spans="1:38" ht="14.4" customHeight="1">
      <c r="A177" s="437"/>
      <c r="B177" s="252" t="s">
        <v>380</v>
      </c>
      <c r="C177" s="243">
        <v>0</v>
      </c>
      <c r="D177" s="243">
        <v>0</v>
      </c>
      <c r="E177" s="243">
        <v>0</v>
      </c>
      <c r="F177" s="243">
        <v>0</v>
      </c>
      <c r="G177" s="243">
        <v>0</v>
      </c>
      <c r="H177" s="243">
        <v>0</v>
      </c>
      <c r="I177" s="243">
        <v>0</v>
      </c>
      <c r="J177" s="243">
        <v>0</v>
      </c>
      <c r="K177" s="243">
        <v>0</v>
      </c>
      <c r="L177" s="243">
        <v>0</v>
      </c>
      <c r="M177" s="243">
        <v>0</v>
      </c>
      <c r="N177" s="243">
        <v>0</v>
      </c>
      <c r="O177" s="243">
        <v>0</v>
      </c>
      <c r="P177" s="243">
        <v>0</v>
      </c>
      <c r="Q177" s="243">
        <v>0</v>
      </c>
      <c r="R177" s="254">
        <f t="shared" si="104"/>
        <v>0</v>
      </c>
      <c r="U177" s="437"/>
      <c r="V177" s="252" t="s">
        <v>380</v>
      </c>
      <c r="W177" s="243">
        <v>0</v>
      </c>
      <c r="X177" s="243">
        <v>0</v>
      </c>
      <c r="Y177" s="243">
        <v>0</v>
      </c>
      <c r="Z177" s="243">
        <v>0</v>
      </c>
      <c r="AA177" s="243">
        <v>0</v>
      </c>
      <c r="AB177" s="243">
        <v>0</v>
      </c>
      <c r="AC177" s="243">
        <v>0</v>
      </c>
      <c r="AD177" s="243">
        <v>0</v>
      </c>
      <c r="AE177" s="243">
        <v>0</v>
      </c>
      <c r="AF177" s="243">
        <v>0</v>
      </c>
      <c r="AG177" s="243">
        <v>0</v>
      </c>
      <c r="AH177" s="243">
        <v>0</v>
      </c>
      <c r="AI177" s="243">
        <v>0</v>
      </c>
      <c r="AJ177" s="243">
        <v>0</v>
      </c>
      <c r="AK177" s="243">
        <v>0</v>
      </c>
      <c r="AL177" s="254">
        <f t="shared" si="105"/>
        <v>0</v>
      </c>
    </row>
    <row r="178" spans="1:38" ht="14.4" customHeight="1">
      <c r="A178" s="437"/>
      <c r="B178" s="247" t="s">
        <v>45</v>
      </c>
      <c r="C178" s="248">
        <f>SUM(C172:C177)</f>
        <v>0</v>
      </c>
      <c r="D178" s="248">
        <f t="shared" ref="D178:Q178" si="106">SUM(D172:D177)</f>
        <v>0</v>
      </c>
      <c r="E178" s="248">
        <f t="shared" si="106"/>
        <v>1240.2878662951134</v>
      </c>
      <c r="F178" s="248">
        <f t="shared" si="106"/>
        <v>0</v>
      </c>
      <c r="G178" s="248">
        <f t="shared" si="106"/>
        <v>0</v>
      </c>
      <c r="H178" s="248">
        <f t="shared" si="106"/>
        <v>0</v>
      </c>
      <c r="I178" s="248">
        <f t="shared" si="106"/>
        <v>1.3328183805658449</v>
      </c>
      <c r="J178" s="248">
        <f t="shared" si="106"/>
        <v>0</v>
      </c>
      <c r="K178" s="248">
        <f t="shared" si="106"/>
        <v>0</v>
      </c>
      <c r="L178" s="248">
        <f t="shared" si="106"/>
        <v>0</v>
      </c>
      <c r="M178" s="248">
        <f t="shared" si="106"/>
        <v>0</v>
      </c>
      <c r="N178" s="248">
        <f t="shared" si="106"/>
        <v>19.621423156656697</v>
      </c>
      <c r="O178" s="248">
        <f t="shared" si="106"/>
        <v>994.98006827497068</v>
      </c>
      <c r="P178" s="248">
        <f t="shared" si="106"/>
        <v>0</v>
      </c>
      <c r="Q178" s="248">
        <f t="shared" si="106"/>
        <v>0</v>
      </c>
      <c r="R178" s="248">
        <f t="shared" si="104"/>
        <v>2256.2221761073065</v>
      </c>
      <c r="U178" s="437"/>
      <c r="V178" s="247" t="s">
        <v>45</v>
      </c>
      <c r="W178" s="248">
        <f>SUM(W172:W177)</f>
        <v>0</v>
      </c>
      <c r="X178" s="248">
        <f t="shared" ref="X178:AK178" si="107">SUM(X172:X177)</f>
        <v>0</v>
      </c>
      <c r="Y178" s="248">
        <f t="shared" si="107"/>
        <v>912.68401295847264</v>
      </c>
      <c r="Z178" s="248">
        <f t="shared" si="107"/>
        <v>0</v>
      </c>
      <c r="AA178" s="248">
        <f t="shared" si="107"/>
        <v>0</v>
      </c>
      <c r="AB178" s="248">
        <f t="shared" si="107"/>
        <v>0</v>
      </c>
      <c r="AC178" s="248">
        <f t="shared" si="107"/>
        <v>5.7078386380095694</v>
      </c>
      <c r="AD178" s="248">
        <f t="shared" si="107"/>
        <v>0</v>
      </c>
      <c r="AE178" s="248">
        <f t="shared" si="107"/>
        <v>31.083814451612902</v>
      </c>
      <c r="AF178" s="248">
        <f t="shared" si="107"/>
        <v>0</v>
      </c>
      <c r="AG178" s="248">
        <f t="shared" si="107"/>
        <v>0</v>
      </c>
      <c r="AH178" s="248">
        <f t="shared" si="107"/>
        <v>30.133845885241819</v>
      </c>
      <c r="AI178" s="248">
        <f t="shared" si="107"/>
        <v>875.28837015285319</v>
      </c>
      <c r="AJ178" s="248">
        <f t="shared" si="107"/>
        <v>0</v>
      </c>
      <c r="AK178" s="248">
        <f t="shared" si="107"/>
        <v>0</v>
      </c>
      <c r="AL178" s="248">
        <f t="shared" si="105"/>
        <v>1854.8978820861901</v>
      </c>
    </row>
    <row r="179" spans="1:38" ht="14.4" customHeight="1">
      <c r="A179" s="437"/>
      <c r="B179" s="242" t="s">
        <v>46</v>
      </c>
      <c r="C179" s="243">
        <v>0</v>
      </c>
      <c r="D179" s="243">
        <v>0</v>
      </c>
      <c r="E179" s="243">
        <f>Industrie!$F$37</f>
        <v>88.725684295144148</v>
      </c>
      <c r="F179" s="243">
        <v>0</v>
      </c>
      <c r="G179" s="243">
        <v>0</v>
      </c>
      <c r="H179" s="243">
        <v>0</v>
      </c>
      <c r="I179" s="243">
        <v>0</v>
      </c>
      <c r="J179" s="243">
        <v>0</v>
      </c>
      <c r="K179" s="243">
        <v>0</v>
      </c>
      <c r="L179" s="243">
        <v>0</v>
      </c>
      <c r="M179" s="243">
        <v>0</v>
      </c>
      <c r="N179" s="243">
        <v>0</v>
      </c>
      <c r="O179" s="243">
        <v>0</v>
      </c>
      <c r="P179" s="243">
        <v>0</v>
      </c>
      <c r="Q179" s="243">
        <v>0</v>
      </c>
      <c r="R179" s="254">
        <f t="shared" si="104"/>
        <v>88.725684295144148</v>
      </c>
      <c r="U179" s="437"/>
      <c r="V179" s="242" t="s">
        <v>46</v>
      </c>
      <c r="W179" s="243">
        <v>0</v>
      </c>
      <c r="X179" s="243">
        <v>0</v>
      </c>
      <c r="Y179" s="243">
        <f>Industrie!$F$59</f>
        <v>88.725684295144148</v>
      </c>
      <c r="Z179" s="243">
        <v>0</v>
      </c>
      <c r="AA179" s="243">
        <v>0</v>
      </c>
      <c r="AB179" s="243">
        <v>0</v>
      </c>
      <c r="AC179" s="243">
        <v>0</v>
      </c>
      <c r="AD179" s="243">
        <v>0</v>
      </c>
      <c r="AE179" s="243">
        <v>0</v>
      </c>
      <c r="AF179" s="243">
        <v>0</v>
      </c>
      <c r="AG179" s="243">
        <v>0</v>
      </c>
      <c r="AH179" s="243">
        <v>0</v>
      </c>
      <c r="AI179" s="243">
        <v>0</v>
      </c>
      <c r="AJ179" s="243">
        <v>0</v>
      </c>
      <c r="AK179" s="243">
        <v>0</v>
      </c>
      <c r="AL179" s="254">
        <f t="shared" si="105"/>
        <v>88.725684295144148</v>
      </c>
    </row>
    <row r="180" spans="1:38" ht="14.4" customHeight="1">
      <c r="A180" s="437"/>
      <c r="B180" s="247" t="s">
        <v>47</v>
      </c>
      <c r="C180" s="248">
        <f>C179+C178</f>
        <v>0</v>
      </c>
      <c r="D180" s="248">
        <f t="shared" ref="D180:Q180" si="108">D179+D178</f>
        <v>0</v>
      </c>
      <c r="E180" s="248">
        <f t="shared" si="108"/>
        <v>1329.0135505902576</v>
      </c>
      <c r="F180" s="248">
        <f t="shared" si="108"/>
        <v>0</v>
      </c>
      <c r="G180" s="248">
        <f t="shared" si="108"/>
        <v>0</v>
      </c>
      <c r="H180" s="248">
        <f t="shared" si="108"/>
        <v>0</v>
      </c>
      <c r="I180" s="248">
        <f t="shared" si="108"/>
        <v>1.3328183805658449</v>
      </c>
      <c r="J180" s="248">
        <f t="shared" si="108"/>
        <v>0</v>
      </c>
      <c r="K180" s="248">
        <f t="shared" si="108"/>
        <v>0</v>
      </c>
      <c r="L180" s="248">
        <f t="shared" si="108"/>
        <v>0</v>
      </c>
      <c r="M180" s="248">
        <f t="shared" si="108"/>
        <v>0</v>
      </c>
      <c r="N180" s="248">
        <f t="shared" si="108"/>
        <v>19.621423156656697</v>
      </c>
      <c r="O180" s="248">
        <f t="shared" si="108"/>
        <v>994.98006827497068</v>
      </c>
      <c r="P180" s="248">
        <f t="shared" si="108"/>
        <v>0</v>
      </c>
      <c r="Q180" s="248">
        <f t="shared" si="108"/>
        <v>0</v>
      </c>
      <c r="R180" s="248">
        <f t="shared" si="104"/>
        <v>2344.9478604024507</v>
      </c>
      <c r="U180" s="437"/>
      <c r="V180" s="247" t="s">
        <v>47</v>
      </c>
      <c r="W180" s="248">
        <f>W179+W178</f>
        <v>0</v>
      </c>
      <c r="X180" s="248">
        <f t="shared" ref="X180:AK180" si="109">X179+X178</f>
        <v>0</v>
      </c>
      <c r="Y180" s="248">
        <f t="shared" si="109"/>
        <v>1001.4096972536167</v>
      </c>
      <c r="Z180" s="248">
        <f t="shared" si="109"/>
        <v>0</v>
      </c>
      <c r="AA180" s="248">
        <f t="shared" si="109"/>
        <v>0</v>
      </c>
      <c r="AB180" s="248">
        <f t="shared" si="109"/>
        <v>0</v>
      </c>
      <c r="AC180" s="248">
        <f t="shared" si="109"/>
        <v>5.7078386380095694</v>
      </c>
      <c r="AD180" s="248">
        <f t="shared" si="109"/>
        <v>0</v>
      </c>
      <c r="AE180" s="248">
        <f t="shared" si="109"/>
        <v>31.083814451612902</v>
      </c>
      <c r="AF180" s="248">
        <f t="shared" si="109"/>
        <v>0</v>
      </c>
      <c r="AG180" s="248">
        <f t="shared" si="109"/>
        <v>0</v>
      </c>
      <c r="AH180" s="248">
        <f t="shared" si="109"/>
        <v>30.133845885241819</v>
      </c>
      <c r="AI180" s="248">
        <f t="shared" si="109"/>
        <v>875.28837015285319</v>
      </c>
      <c r="AJ180" s="248">
        <f t="shared" si="109"/>
        <v>0</v>
      </c>
      <c r="AK180" s="248">
        <f t="shared" si="109"/>
        <v>0</v>
      </c>
      <c r="AL180" s="248">
        <f t="shared" si="105"/>
        <v>1943.6235663813341</v>
      </c>
    </row>
    <row r="189" spans="1:38" ht="14.4" customHeight="1">
      <c r="A189" s="437">
        <v>2040</v>
      </c>
      <c r="B189" s="441" t="s">
        <v>12</v>
      </c>
      <c r="C189" s="440" t="s">
        <v>14</v>
      </c>
      <c r="D189" s="440" t="s">
        <v>15</v>
      </c>
      <c r="E189" s="440" t="s">
        <v>16</v>
      </c>
      <c r="F189" s="440" t="s">
        <v>17</v>
      </c>
      <c r="G189" s="440" t="s">
        <v>365</v>
      </c>
      <c r="H189" s="440" t="s">
        <v>18</v>
      </c>
      <c r="I189" s="440" t="s">
        <v>19</v>
      </c>
      <c r="J189" s="440"/>
      <c r="K189" s="440"/>
      <c r="L189" s="440"/>
      <c r="M189" s="440"/>
      <c r="N189" s="440"/>
      <c r="O189" s="432" t="s">
        <v>366</v>
      </c>
      <c r="P189" s="432" t="s">
        <v>21</v>
      </c>
      <c r="Q189" s="432" t="s">
        <v>367</v>
      </c>
      <c r="R189" s="432" t="s">
        <v>23</v>
      </c>
      <c r="U189" s="437">
        <v>2040</v>
      </c>
      <c r="V189" s="438" t="s">
        <v>12</v>
      </c>
      <c r="W189" s="432" t="s">
        <v>14</v>
      </c>
      <c r="X189" s="432" t="s">
        <v>15</v>
      </c>
      <c r="Y189" s="432" t="s">
        <v>16</v>
      </c>
      <c r="Z189" s="432" t="s">
        <v>17</v>
      </c>
      <c r="AA189" s="432" t="s">
        <v>365</v>
      </c>
      <c r="AB189" s="432" t="s">
        <v>18</v>
      </c>
      <c r="AC189" s="434" t="s">
        <v>19</v>
      </c>
      <c r="AD189" s="435"/>
      <c r="AE189" s="435"/>
      <c r="AF189" s="435"/>
      <c r="AG189" s="435"/>
      <c r="AH189" s="436"/>
      <c r="AI189" s="432" t="s">
        <v>366</v>
      </c>
      <c r="AJ189" s="432" t="s">
        <v>21</v>
      </c>
      <c r="AK189" s="432" t="s">
        <v>367</v>
      </c>
      <c r="AL189" s="432" t="s">
        <v>23</v>
      </c>
    </row>
    <row r="190" spans="1:38" ht="45.6">
      <c r="A190" s="437"/>
      <c r="B190" s="441"/>
      <c r="C190" s="440"/>
      <c r="D190" s="440"/>
      <c r="E190" s="440"/>
      <c r="F190" s="440"/>
      <c r="G190" s="440"/>
      <c r="H190" s="440"/>
      <c r="I190" s="240" t="s">
        <v>354</v>
      </c>
      <c r="J190" s="240" t="s">
        <v>7</v>
      </c>
      <c r="K190" s="240" t="s">
        <v>355</v>
      </c>
      <c r="L190" s="240" t="s">
        <v>368</v>
      </c>
      <c r="M190" s="241" t="s">
        <v>369</v>
      </c>
      <c r="N190" s="240" t="s">
        <v>370</v>
      </c>
      <c r="O190" s="432"/>
      <c r="P190" s="432"/>
      <c r="Q190" s="432"/>
      <c r="R190" s="432"/>
      <c r="U190" s="437"/>
      <c r="V190" s="439"/>
      <c r="W190" s="433"/>
      <c r="X190" s="433"/>
      <c r="Y190" s="433"/>
      <c r="Z190" s="433"/>
      <c r="AA190" s="433"/>
      <c r="AB190" s="433"/>
      <c r="AC190" s="240" t="s">
        <v>354</v>
      </c>
      <c r="AD190" s="240" t="s">
        <v>7</v>
      </c>
      <c r="AE190" s="240" t="s">
        <v>355</v>
      </c>
      <c r="AF190" s="240" t="s">
        <v>368</v>
      </c>
      <c r="AG190" s="241" t="s">
        <v>369</v>
      </c>
      <c r="AH190" s="240" t="s">
        <v>370</v>
      </c>
      <c r="AI190" s="433"/>
      <c r="AJ190" s="433"/>
      <c r="AK190" s="433"/>
      <c r="AL190" s="432"/>
    </row>
    <row r="191" spans="1:38" ht="14.4" customHeight="1">
      <c r="A191" s="437"/>
      <c r="B191" s="242" t="s">
        <v>24</v>
      </c>
      <c r="C191" s="243">
        <v>0</v>
      </c>
      <c r="D191" s="244">
        <v>0</v>
      </c>
      <c r="E191" s="244">
        <v>0</v>
      </c>
      <c r="F191" s="243">
        <v>0</v>
      </c>
      <c r="G191" s="244">
        <v>0</v>
      </c>
      <c r="H191" s="244">
        <f>H197</f>
        <v>679.3593873507499</v>
      </c>
      <c r="I191" s="244">
        <f>IF((I197-$I$27)&gt;0,$I$27+(I197-$I$27)*0.5,I197)</f>
        <v>240.0594014409393</v>
      </c>
      <c r="J191" s="244">
        <v>0</v>
      </c>
      <c r="K191" s="244">
        <f>IF((K197-$K$27)&gt;0,$K$27+(K197-$K$27)*0.5,K197)</f>
        <v>485.63017098227203</v>
      </c>
      <c r="L191" s="244">
        <f>L197</f>
        <v>18.637366632798134</v>
      </c>
      <c r="M191" s="244">
        <v>0</v>
      </c>
      <c r="N191" s="244">
        <f>N197</f>
        <v>21.243387464487675</v>
      </c>
      <c r="O191" s="245">
        <v>0</v>
      </c>
      <c r="P191" s="244">
        <v>0</v>
      </c>
      <c r="Q191" s="244">
        <v>0</v>
      </c>
      <c r="R191" s="246">
        <f>SUM(C191:Q191)</f>
        <v>1444.9297138712468</v>
      </c>
      <c r="U191" s="437"/>
      <c r="V191" s="242" t="s">
        <v>24</v>
      </c>
      <c r="W191" s="243">
        <v>0</v>
      </c>
      <c r="X191" s="244">
        <v>0</v>
      </c>
      <c r="Y191" s="244">
        <v>0</v>
      </c>
      <c r="Z191" s="243">
        <v>0</v>
      </c>
      <c r="AA191" s="244">
        <v>0</v>
      </c>
      <c r="AB191" s="244">
        <f>AB197</f>
        <v>643.49945665118719</v>
      </c>
      <c r="AC191" s="244">
        <f>IF((AC197-AC27)&gt;0,AC27+(AC197-AC27)*0.5,AC197)</f>
        <v>313.58672391890889</v>
      </c>
      <c r="AD191" s="244">
        <v>0</v>
      </c>
      <c r="AE191" s="244">
        <f>IF((AE197-AE27)&gt;0,AE27+(AE197-AE27)*0.5,AE197)</f>
        <v>331.35731567325502</v>
      </c>
      <c r="AF191" s="244">
        <f>AF197</f>
        <v>16.395373921656088</v>
      </c>
      <c r="AG191" s="244">
        <v>0</v>
      </c>
      <c r="AH191" s="244">
        <f>AH197</f>
        <v>30.007254200581627</v>
      </c>
      <c r="AI191" s="245">
        <v>0</v>
      </c>
      <c r="AJ191" s="244">
        <v>0</v>
      </c>
      <c r="AK191" s="244">
        <v>0</v>
      </c>
      <c r="AL191" s="246">
        <f>SUM(W191:AK191)</f>
        <v>1334.8461243655888</v>
      </c>
    </row>
    <row r="192" spans="1:38" ht="14.4" customHeight="1">
      <c r="A192" s="437"/>
      <c r="B192" s="242" t="s">
        <v>28</v>
      </c>
      <c r="C192" s="243">
        <f>C197</f>
        <v>0</v>
      </c>
      <c r="D192" s="244">
        <f>D197</f>
        <v>0</v>
      </c>
      <c r="E192" s="244">
        <f>E197</f>
        <v>1315.7709856625117</v>
      </c>
      <c r="F192" s="243">
        <v>0</v>
      </c>
      <c r="G192" s="244">
        <v>0</v>
      </c>
      <c r="H192" s="244">
        <v>0</v>
      </c>
      <c r="I192" s="244">
        <f>IF((I197-$I$27)&gt;0,(I197-$I$27)*0.5,0)</f>
        <v>138.4425956529393</v>
      </c>
      <c r="J192" s="244">
        <v>0</v>
      </c>
      <c r="K192" s="244">
        <f>IF((K197-$K$27)&gt;0,(K197-$K$27)*0.5,0)</f>
        <v>485.63017098227203</v>
      </c>
      <c r="L192" s="244">
        <v>0</v>
      </c>
      <c r="M192" s="244">
        <v>0</v>
      </c>
      <c r="N192" s="244">
        <v>0</v>
      </c>
      <c r="O192" s="245">
        <v>0</v>
      </c>
      <c r="P192" s="244">
        <v>0</v>
      </c>
      <c r="Q192" s="244">
        <v>0</v>
      </c>
      <c r="R192" s="246">
        <f t="shared" ref="R192:R197" si="110">SUM(C192:Q192)</f>
        <v>1939.8437522977229</v>
      </c>
      <c r="U192" s="437"/>
      <c r="V192" s="242" t="s">
        <v>28</v>
      </c>
      <c r="W192" s="243">
        <f>W197</f>
        <v>0</v>
      </c>
      <c r="X192" s="244">
        <f>X197</f>
        <v>0</v>
      </c>
      <c r="Y192" s="244">
        <f>Y197</f>
        <v>731.8126729027</v>
      </c>
      <c r="Z192" s="243">
        <v>0</v>
      </c>
      <c r="AA192" s="244">
        <v>0</v>
      </c>
      <c r="AB192" s="244">
        <v>0</v>
      </c>
      <c r="AC192" s="244">
        <f>IF((AC197-AC27)&gt;0,(AC197-AC27)*0.5,0)</f>
        <v>211.96991813090892</v>
      </c>
      <c r="AD192" s="244">
        <v>0</v>
      </c>
      <c r="AE192" s="244">
        <f>IF((AE197-AE27)&gt;0,(AE197-AE27)*0.5,0)</f>
        <v>331.35731567325502</v>
      </c>
      <c r="AF192" s="244">
        <v>0</v>
      </c>
      <c r="AG192" s="244">
        <v>0</v>
      </c>
      <c r="AH192" s="244">
        <v>0</v>
      </c>
      <c r="AI192" s="245">
        <v>0</v>
      </c>
      <c r="AJ192" s="244">
        <v>0</v>
      </c>
      <c r="AK192" s="244">
        <v>0</v>
      </c>
      <c r="AL192" s="246">
        <f t="shared" ref="AL192:AL197" si="111">SUM(W192:AK192)</f>
        <v>1275.1399067068639</v>
      </c>
    </row>
    <row r="193" spans="1:38" ht="14.4" customHeight="1">
      <c r="A193" s="437"/>
      <c r="B193" s="242" t="s">
        <v>29</v>
      </c>
      <c r="C193" s="243">
        <v>0</v>
      </c>
      <c r="D193" s="244">
        <v>0</v>
      </c>
      <c r="E193" s="244">
        <v>0</v>
      </c>
      <c r="F193" s="243">
        <v>0</v>
      </c>
      <c r="G193" s="244">
        <v>0</v>
      </c>
      <c r="H193" s="244">
        <v>0</v>
      </c>
      <c r="I193" s="244">
        <v>0</v>
      </c>
      <c r="J193" s="244">
        <v>0</v>
      </c>
      <c r="K193" s="244">
        <v>0</v>
      </c>
      <c r="L193" s="244">
        <v>0</v>
      </c>
      <c r="M193" s="244">
        <v>0</v>
      </c>
      <c r="N193" s="244">
        <v>0</v>
      </c>
      <c r="O193" s="245">
        <v>0</v>
      </c>
      <c r="P193" s="244">
        <v>0</v>
      </c>
      <c r="Q193" s="244">
        <v>0</v>
      </c>
      <c r="R193" s="246">
        <f t="shared" si="110"/>
        <v>0</v>
      </c>
      <c r="U193" s="437"/>
      <c r="V193" s="242" t="s">
        <v>29</v>
      </c>
      <c r="W193" s="243">
        <v>0</v>
      </c>
      <c r="X193" s="244">
        <v>0</v>
      </c>
      <c r="Y193" s="244">
        <v>0</v>
      </c>
      <c r="Z193" s="243">
        <v>0</v>
      </c>
      <c r="AA193" s="244">
        <v>0</v>
      </c>
      <c r="AB193" s="244">
        <v>0</v>
      </c>
      <c r="AC193" s="244">
        <v>0</v>
      </c>
      <c r="AD193" s="244">
        <v>0</v>
      </c>
      <c r="AE193" s="244">
        <v>0</v>
      </c>
      <c r="AF193" s="244">
        <v>0</v>
      </c>
      <c r="AG193" s="244">
        <v>0</v>
      </c>
      <c r="AH193" s="244">
        <v>0</v>
      </c>
      <c r="AI193" s="245">
        <v>0</v>
      </c>
      <c r="AJ193" s="244">
        <v>0</v>
      </c>
      <c r="AK193" s="244">
        <v>0</v>
      </c>
      <c r="AL193" s="246">
        <f t="shared" si="111"/>
        <v>0</v>
      </c>
    </row>
    <row r="194" spans="1:38" ht="14.4" customHeight="1">
      <c r="A194" s="437"/>
      <c r="B194" s="242" t="s">
        <v>30</v>
      </c>
      <c r="C194" s="243">
        <v>0</v>
      </c>
      <c r="D194" s="244">
        <v>0</v>
      </c>
      <c r="E194" s="244">
        <v>0</v>
      </c>
      <c r="F194" s="243">
        <v>0</v>
      </c>
      <c r="G194" s="244">
        <v>0</v>
      </c>
      <c r="H194" s="244">
        <v>0</v>
      </c>
      <c r="I194" s="244">
        <v>0</v>
      </c>
      <c r="J194" s="244">
        <v>0</v>
      </c>
      <c r="K194" s="244">
        <v>0</v>
      </c>
      <c r="L194" s="244">
        <v>0</v>
      </c>
      <c r="M194" s="244">
        <v>0</v>
      </c>
      <c r="N194" s="244">
        <v>0</v>
      </c>
      <c r="O194" s="245">
        <v>0</v>
      </c>
      <c r="P194" s="244">
        <v>0</v>
      </c>
      <c r="Q194" s="244">
        <v>0</v>
      </c>
      <c r="R194" s="246">
        <f t="shared" si="110"/>
        <v>0</v>
      </c>
      <c r="U194" s="437"/>
      <c r="V194" s="242" t="s">
        <v>30</v>
      </c>
      <c r="W194" s="243">
        <v>0</v>
      </c>
      <c r="X194" s="244">
        <v>0</v>
      </c>
      <c r="Y194" s="244">
        <v>0</v>
      </c>
      <c r="Z194" s="243">
        <v>0</v>
      </c>
      <c r="AA194" s="244">
        <v>0</v>
      </c>
      <c r="AB194" s="244">
        <v>0</v>
      </c>
      <c r="AC194" s="244">
        <v>0</v>
      </c>
      <c r="AD194" s="244">
        <v>0</v>
      </c>
      <c r="AE194" s="244">
        <v>0</v>
      </c>
      <c r="AF194" s="244">
        <v>0</v>
      </c>
      <c r="AG194" s="244">
        <v>0</v>
      </c>
      <c r="AH194" s="244">
        <v>0</v>
      </c>
      <c r="AI194" s="245">
        <v>0</v>
      </c>
      <c r="AJ194" s="244">
        <v>0</v>
      </c>
      <c r="AK194" s="244">
        <v>0</v>
      </c>
      <c r="AL194" s="246">
        <f t="shared" si="111"/>
        <v>0</v>
      </c>
    </row>
    <row r="195" spans="1:38" ht="14.4" customHeight="1">
      <c r="A195" s="437"/>
      <c r="B195" s="242" t="s">
        <v>31</v>
      </c>
      <c r="C195" s="243">
        <v>0</v>
      </c>
      <c r="D195" s="244">
        <v>0</v>
      </c>
      <c r="E195" s="244">
        <v>0</v>
      </c>
      <c r="F195" s="243">
        <v>0</v>
      </c>
      <c r="G195" s="244">
        <v>0</v>
      </c>
      <c r="H195" s="244">
        <v>0</v>
      </c>
      <c r="I195" s="244">
        <v>0</v>
      </c>
      <c r="J195" s="244">
        <v>0</v>
      </c>
      <c r="K195" s="244">
        <v>0</v>
      </c>
      <c r="L195" s="244">
        <v>0</v>
      </c>
      <c r="M195" s="244">
        <v>0</v>
      </c>
      <c r="N195" s="244">
        <v>0</v>
      </c>
      <c r="O195" s="245">
        <v>0</v>
      </c>
      <c r="P195" s="244">
        <v>0</v>
      </c>
      <c r="Q195" s="244">
        <v>0</v>
      </c>
      <c r="R195" s="246">
        <f t="shared" si="110"/>
        <v>0</v>
      </c>
      <c r="U195" s="437"/>
      <c r="V195" s="242" t="s">
        <v>31</v>
      </c>
      <c r="W195" s="243">
        <v>0</v>
      </c>
      <c r="X195" s="244">
        <v>0</v>
      </c>
      <c r="Y195" s="244">
        <v>0</v>
      </c>
      <c r="Z195" s="243">
        <v>0</v>
      </c>
      <c r="AA195" s="244">
        <v>0</v>
      </c>
      <c r="AB195" s="244">
        <v>0</v>
      </c>
      <c r="AC195" s="244">
        <v>0</v>
      </c>
      <c r="AD195" s="244">
        <v>0</v>
      </c>
      <c r="AE195" s="244">
        <v>0</v>
      </c>
      <c r="AF195" s="244">
        <v>0</v>
      </c>
      <c r="AG195" s="244">
        <v>0</v>
      </c>
      <c r="AH195" s="244">
        <v>0</v>
      </c>
      <c r="AI195" s="245">
        <v>0</v>
      </c>
      <c r="AJ195" s="244">
        <v>0</v>
      </c>
      <c r="AK195" s="244">
        <v>0</v>
      </c>
      <c r="AL195" s="246">
        <f t="shared" si="111"/>
        <v>0</v>
      </c>
    </row>
    <row r="196" spans="1:38" ht="14.4" customHeight="1">
      <c r="A196" s="437"/>
      <c r="B196" s="242" t="s">
        <v>32</v>
      </c>
      <c r="C196" s="243">
        <v>0</v>
      </c>
      <c r="D196" s="244">
        <v>0</v>
      </c>
      <c r="E196" s="244">
        <v>0</v>
      </c>
      <c r="F196" s="243">
        <v>0</v>
      </c>
      <c r="G196" s="244">
        <v>0</v>
      </c>
      <c r="H196" s="244">
        <v>0</v>
      </c>
      <c r="I196" s="244">
        <v>0</v>
      </c>
      <c r="J196" s="244">
        <v>0</v>
      </c>
      <c r="K196" s="244">
        <v>0</v>
      </c>
      <c r="L196" s="244">
        <v>0</v>
      </c>
      <c r="M196" s="244">
        <v>0</v>
      </c>
      <c r="N196" s="244">
        <v>0</v>
      </c>
      <c r="O196" s="245">
        <v>0</v>
      </c>
      <c r="P196" s="244">
        <v>0</v>
      </c>
      <c r="Q196" s="244">
        <v>0</v>
      </c>
      <c r="R196" s="246">
        <f t="shared" si="110"/>
        <v>0</v>
      </c>
      <c r="U196" s="437"/>
      <c r="V196" s="242" t="s">
        <v>32</v>
      </c>
      <c r="W196" s="243">
        <v>0</v>
      </c>
      <c r="X196" s="244">
        <v>0</v>
      </c>
      <c r="Y196" s="244">
        <v>0</v>
      </c>
      <c r="Z196" s="243">
        <v>0</v>
      </c>
      <c r="AA196" s="244">
        <v>0</v>
      </c>
      <c r="AB196" s="244">
        <v>0</v>
      </c>
      <c r="AC196" s="244">
        <v>0</v>
      </c>
      <c r="AD196" s="244">
        <v>0</v>
      </c>
      <c r="AE196" s="244">
        <v>0</v>
      </c>
      <c r="AF196" s="244">
        <v>0</v>
      </c>
      <c r="AG196" s="244">
        <v>0</v>
      </c>
      <c r="AH196" s="244">
        <v>0</v>
      </c>
      <c r="AI196" s="245">
        <v>0</v>
      </c>
      <c r="AJ196" s="244">
        <v>0</v>
      </c>
      <c r="AK196" s="244">
        <v>0</v>
      </c>
      <c r="AL196" s="246">
        <f t="shared" si="111"/>
        <v>0</v>
      </c>
    </row>
    <row r="197" spans="1:38" ht="14.4" customHeight="1">
      <c r="A197" s="437"/>
      <c r="B197" s="247" t="s">
        <v>371</v>
      </c>
      <c r="C197" s="248">
        <f>C221+C219</f>
        <v>0</v>
      </c>
      <c r="D197" s="248">
        <f>D211+D221</f>
        <v>0</v>
      </c>
      <c r="E197" s="248">
        <f>E211+E221</f>
        <v>1315.7709856625117</v>
      </c>
      <c r="F197" s="248">
        <f t="shared" ref="F197:G197" si="112">SUM(F191:F196)</f>
        <v>0</v>
      </c>
      <c r="G197" s="248">
        <f t="shared" si="112"/>
        <v>0</v>
      </c>
      <c r="H197" s="248">
        <f>H211</f>
        <v>679.3593873507499</v>
      </c>
      <c r="I197" s="248">
        <f>I211+I219</f>
        <v>378.50199709387857</v>
      </c>
      <c r="J197" s="248">
        <f t="shared" ref="J197" si="113">SUM(J191:J196)</f>
        <v>0</v>
      </c>
      <c r="K197" s="248">
        <f>K211+K221</f>
        <v>971.26034196454407</v>
      </c>
      <c r="L197" s="248">
        <f>L211+L221</f>
        <v>18.637366632798134</v>
      </c>
      <c r="M197" s="248">
        <f t="shared" ref="M197" si="114">SUM(M191:M196)</f>
        <v>0</v>
      </c>
      <c r="N197" s="248">
        <f>N211+N221</f>
        <v>21.243387464487675</v>
      </c>
      <c r="O197" s="248">
        <f t="shared" ref="O197:Q197" si="115">SUM(O191:O196)</f>
        <v>0</v>
      </c>
      <c r="P197" s="248">
        <f t="shared" si="115"/>
        <v>0</v>
      </c>
      <c r="Q197" s="248">
        <f t="shared" si="115"/>
        <v>0</v>
      </c>
      <c r="R197" s="248">
        <f t="shared" si="110"/>
        <v>3384.7734661689701</v>
      </c>
      <c r="U197" s="437"/>
      <c r="V197" s="247" t="s">
        <v>371</v>
      </c>
      <c r="W197" s="248">
        <f>W221+W219</f>
        <v>0</v>
      </c>
      <c r="X197" s="248">
        <f>X211+X221</f>
        <v>0</v>
      </c>
      <c r="Y197" s="248">
        <f>Y211+Y221</f>
        <v>731.8126729027</v>
      </c>
      <c r="Z197" s="248">
        <f t="shared" ref="Z197:AA197" si="116">SUM(Z191:Z196)</f>
        <v>0</v>
      </c>
      <c r="AA197" s="248">
        <f t="shared" si="116"/>
        <v>0</v>
      </c>
      <c r="AB197" s="248">
        <f>AB211</f>
        <v>643.49945665118719</v>
      </c>
      <c r="AC197" s="248">
        <f>AC211+AC219</f>
        <v>525.55664204981781</v>
      </c>
      <c r="AD197" s="248">
        <f t="shared" ref="AD197" si="117">SUM(AD191:AD196)</f>
        <v>0</v>
      </c>
      <c r="AE197" s="248">
        <f>AE211+AE221</f>
        <v>662.71463134651003</v>
      </c>
      <c r="AF197" s="248">
        <f>AF211+AF221</f>
        <v>16.395373921656088</v>
      </c>
      <c r="AG197" s="248">
        <f t="shared" ref="AG197" si="118">SUM(AG191:AG196)</f>
        <v>0</v>
      </c>
      <c r="AH197" s="248">
        <f>AH211+AH221</f>
        <v>30.007254200581627</v>
      </c>
      <c r="AI197" s="248">
        <f t="shared" ref="AI197:AK197" si="119">SUM(AI191:AI196)</f>
        <v>0</v>
      </c>
      <c r="AJ197" s="248">
        <f t="shared" si="119"/>
        <v>0</v>
      </c>
      <c r="AK197" s="248">
        <f t="shared" si="119"/>
        <v>0</v>
      </c>
      <c r="AL197" s="248">
        <f t="shared" si="111"/>
        <v>2609.9860310724525</v>
      </c>
    </row>
    <row r="198" spans="1:38" ht="14.4" customHeight="1">
      <c r="A198" s="437"/>
      <c r="B198" s="249"/>
      <c r="C198" s="250"/>
      <c r="D198" s="219"/>
      <c r="E198" s="251"/>
      <c r="F198" s="250"/>
      <c r="G198" s="250"/>
      <c r="H198" s="250"/>
      <c r="I198" s="250"/>
      <c r="J198" s="250"/>
      <c r="K198" s="250"/>
      <c r="L198" s="250"/>
      <c r="M198" s="250"/>
      <c r="N198" s="250"/>
      <c r="O198" s="259"/>
      <c r="P198" s="250"/>
      <c r="Q198" s="250"/>
      <c r="R198" s="250"/>
      <c r="U198" s="437"/>
      <c r="V198" s="249"/>
      <c r="W198" s="250"/>
      <c r="X198" s="219"/>
      <c r="Y198" s="251"/>
      <c r="Z198" s="250"/>
      <c r="AA198" s="250"/>
      <c r="AB198" s="250"/>
      <c r="AC198" s="250"/>
      <c r="AD198" s="250"/>
      <c r="AE198" s="250"/>
      <c r="AF198" s="250"/>
      <c r="AG198" s="250"/>
      <c r="AH198" s="250"/>
      <c r="AI198" s="259"/>
      <c r="AJ198" s="250"/>
      <c r="AK198" s="250"/>
      <c r="AL198" s="250"/>
    </row>
    <row r="199" spans="1:38" ht="14.4" customHeight="1">
      <c r="A199" s="437"/>
      <c r="B199" s="252" t="s">
        <v>372</v>
      </c>
      <c r="C199" s="243">
        <v>0</v>
      </c>
      <c r="D199" s="253">
        <v>0</v>
      </c>
      <c r="E199" s="253">
        <v>0</v>
      </c>
      <c r="F199" s="243">
        <v>0</v>
      </c>
      <c r="G199" s="243">
        <v>0</v>
      </c>
      <c r="H199" s="243">
        <v>0</v>
      </c>
      <c r="I199" s="243">
        <v>0</v>
      </c>
      <c r="J199" s="243">
        <v>0</v>
      </c>
      <c r="K199" s="243">
        <v>0</v>
      </c>
      <c r="L199" s="243">
        <v>0</v>
      </c>
      <c r="M199" s="243">
        <v>0</v>
      </c>
      <c r="N199" s="243">
        <v>0</v>
      </c>
      <c r="O199" s="243">
        <v>0</v>
      </c>
      <c r="P199" s="243">
        <v>0</v>
      </c>
      <c r="Q199" s="243">
        <v>0</v>
      </c>
      <c r="R199" s="254">
        <f>SUM(C199:Q199)</f>
        <v>0</v>
      </c>
      <c r="U199" s="437"/>
      <c r="V199" s="252" t="s">
        <v>372</v>
      </c>
      <c r="W199" s="243">
        <v>0</v>
      </c>
      <c r="X199" s="253">
        <v>0</v>
      </c>
      <c r="Y199" s="253">
        <v>0</v>
      </c>
      <c r="Z199" s="243">
        <v>0</v>
      </c>
      <c r="AA199" s="243">
        <v>0</v>
      </c>
      <c r="AB199" s="243">
        <v>0</v>
      </c>
      <c r="AC199" s="243">
        <v>0</v>
      </c>
      <c r="AD199" s="243">
        <v>0</v>
      </c>
      <c r="AE199" s="243">
        <v>0</v>
      </c>
      <c r="AF199" s="243">
        <v>0</v>
      </c>
      <c r="AG199" s="243">
        <v>0</v>
      </c>
      <c r="AH199" s="243">
        <v>0</v>
      </c>
      <c r="AI199" s="243">
        <v>0</v>
      </c>
      <c r="AJ199" s="243">
        <v>0</v>
      </c>
      <c r="AK199" s="243">
        <v>0</v>
      </c>
      <c r="AL199" s="254">
        <f>SUM(W199:AK199)</f>
        <v>0</v>
      </c>
    </row>
    <row r="200" spans="1:38" ht="14.4" customHeight="1">
      <c r="A200" s="437"/>
      <c r="B200" s="252" t="s">
        <v>373</v>
      </c>
      <c r="C200" s="243">
        <f>$O$200*'Prod Energie'!$G$32/(-$J$13)</f>
        <v>0</v>
      </c>
      <c r="D200" s="243">
        <v>0</v>
      </c>
      <c r="E200" s="243">
        <f>O200*'Prod Energie'!$G$33/(-$K$13)</f>
        <v>57.043643631513596</v>
      </c>
      <c r="F200" s="243">
        <v>0</v>
      </c>
      <c r="G200" s="243">
        <v>0</v>
      </c>
      <c r="H200" s="243">
        <f>(O200)*('Prod Energie'!$G$34+'Prod Energie'!$G$39+'Prod Energie'!$G$40)/(-$L$13)</f>
        <v>679.3593873507499</v>
      </c>
      <c r="I200" s="255">
        <f>(O200)*('Prod Energie'!$G$38)/(-$M$13)</f>
        <v>377.03753144796707</v>
      </c>
      <c r="J200" s="255">
        <f>(O200)*$L$17*('Prod Energie'!$G$36)</f>
        <v>0</v>
      </c>
      <c r="K200" s="255">
        <f>(O200)*('Prod Energie'!$G$37)/(-O13)</f>
        <v>971.26034196454407</v>
      </c>
      <c r="L200" s="255">
        <f>(O200)*('Prod Energie'!$G$41)/(-P13)</f>
        <v>18.637366632798134</v>
      </c>
      <c r="M200" s="255">
        <v>0</v>
      </c>
      <c r="N200" s="255">
        <f>(O200)*'Prod Energie'!G35/(-$Q$13)</f>
        <v>0</v>
      </c>
      <c r="O200" s="243">
        <f>O211/(1+$F$17+$F$18)</f>
        <v>-1254.9601598932991</v>
      </c>
      <c r="P200" s="243">
        <v>0</v>
      </c>
      <c r="Q200" s="243">
        <v>0</v>
      </c>
      <c r="R200" s="254">
        <f t="shared" ref="R200:R211" si="120">SUM(C200:Q200)</f>
        <v>848.37811113427369</v>
      </c>
      <c r="U200" s="437"/>
      <c r="V200" s="252" t="s">
        <v>373</v>
      </c>
      <c r="W200" s="243">
        <f>$AI$200*'Prod Energie'!$G$53/(-$J$13)</f>
        <v>0</v>
      </c>
      <c r="X200" s="243">
        <v>0</v>
      </c>
      <c r="Y200" s="243">
        <f>AI200*'Prod Energie'!$G$54/(-$K$13)</f>
        <v>0</v>
      </c>
      <c r="Z200" s="243">
        <v>0</v>
      </c>
      <c r="AA200" s="243">
        <v>0</v>
      </c>
      <c r="AB200" s="243">
        <f>(AI200)*('Prod Energie'!$G$55+'Prod Energie'!$G$60+'Prod Energie'!$G$61)/(-$L$13)</f>
        <v>643.49945665118719</v>
      </c>
      <c r="AC200" s="255">
        <f>(AI200)*'Prod Energie'!$G$59/(-$M$13)</f>
        <v>517.99041907009678</v>
      </c>
      <c r="AD200" s="255">
        <f>(AI200)*('Prod Energie'!$G$57)/(-$N$13)</f>
        <v>0</v>
      </c>
      <c r="AE200" s="255">
        <f>(AI200)*('Prod Energie'!$G$58)/(-$O$13)</f>
        <v>621.91712487876805</v>
      </c>
      <c r="AF200" s="255">
        <f>(AI200)*('Prod Energie'!$G$62)/(-$P$13)</f>
        <v>16.395373921656088</v>
      </c>
      <c r="AG200" s="255">
        <v>0</v>
      </c>
      <c r="AH200" s="255">
        <f>(AI200)*('Prod Energie'!$G$56)/(-$Q$13)</f>
        <v>0</v>
      </c>
      <c r="AI200" s="243">
        <f>AI211/(1+$F$17+$F$18)</f>
        <v>-1109.2996985837269</v>
      </c>
      <c r="AJ200" s="243">
        <v>0</v>
      </c>
      <c r="AK200" s="243">
        <v>0</v>
      </c>
      <c r="AL200" s="254">
        <f t="shared" ref="AL200:AL211" si="121">SUM(W200:AK200)</f>
        <v>690.50267593798117</v>
      </c>
    </row>
    <row r="201" spans="1:38" ht="14.4" customHeight="1">
      <c r="A201" s="437"/>
      <c r="B201" s="252" t="s">
        <v>374</v>
      </c>
      <c r="C201" s="243">
        <v>0</v>
      </c>
      <c r="D201" s="243">
        <v>0</v>
      </c>
      <c r="E201" s="243">
        <v>0</v>
      </c>
      <c r="F201" s="243">
        <v>0</v>
      </c>
      <c r="G201" s="243">
        <v>0</v>
      </c>
      <c r="H201" s="243">
        <v>0</v>
      </c>
      <c r="I201" s="255">
        <f>$P$201*$L$18*V$17</f>
        <v>0</v>
      </c>
      <c r="J201" s="255">
        <f t="shared" ref="J201:N201" si="122">$P$201*$L$18*W$17</f>
        <v>0</v>
      </c>
      <c r="K201" s="255">
        <f t="shared" si="122"/>
        <v>0</v>
      </c>
      <c r="L201" s="255">
        <f t="shared" si="122"/>
        <v>0</v>
      </c>
      <c r="M201" s="255">
        <f t="shared" si="122"/>
        <v>0</v>
      </c>
      <c r="N201" s="255">
        <f t="shared" si="122"/>
        <v>0</v>
      </c>
      <c r="O201" s="243">
        <v>0</v>
      </c>
      <c r="P201" s="243">
        <f>P211/(1+$R$18)</f>
        <v>0</v>
      </c>
      <c r="Q201" s="243">
        <v>0</v>
      </c>
      <c r="R201" s="254">
        <f t="shared" si="120"/>
        <v>0</v>
      </c>
      <c r="U201" s="437"/>
      <c r="V201" s="252" t="s">
        <v>374</v>
      </c>
      <c r="W201" s="243">
        <v>0</v>
      </c>
      <c r="X201" s="243">
        <v>0</v>
      </c>
      <c r="Y201" s="243">
        <v>0</v>
      </c>
      <c r="Z201" s="243">
        <v>0</v>
      </c>
      <c r="AA201" s="243">
        <v>0</v>
      </c>
      <c r="AB201" s="243">
        <v>0</v>
      </c>
      <c r="AC201" s="255">
        <f>$AJ$201*$L$18*V$17</f>
        <v>0</v>
      </c>
      <c r="AD201" s="255">
        <f t="shared" ref="AD201:AH201" si="123">$AJ$201*$L$18*W$17</f>
        <v>0</v>
      </c>
      <c r="AE201" s="255">
        <f t="shared" si="123"/>
        <v>0</v>
      </c>
      <c r="AF201" s="255">
        <f t="shared" si="123"/>
        <v>0</v>
      </c>
      <c r="AG201" s="255">
        <f t="shared" si="123"/>
        <v>0</v>
      </c>
      <c r="AH201" s="255">
        <f t="shared" si="123"/>
        <v>0</v>
      </c>
      <c r="AI201" s="243">
        <v>0</v>
      </c>
      <c r="AJ201" s="243">
        <f>AJ211/(1+$R$18)</f>
        <v>0</v>
      </c>
      <c r="AK201" s="243">
        <v>0</v>
      </c>
      <c r="AL201" s="254">
        <f t="shared" si="121"/>
        <v>0</v>
      </c>
    </row>
    <row r="202" spans="1:38" ht="14.4" customHeight="1">
      <c r="A202" s="437"/>
      <c r="B202" s="252" t="s">
        <v>375</v>
      </c>
      <c r="C202" s="243">
        <v>0</v>
      </c>
      <c r="D202" s="243">
        <v>0</v>
      </c>
      <c r="E202" s="243">
        <v>0</v>
      </c>
      <c r="F202" s="243">
        <v>0</v>
      </c>
      <c r="G202" s="243">
        <v>0</v>
      </c>
      <c r="H202" s="243">
        <v>0</v>
      </c>
      <c r="I202" s="256">
        <v>0</v>
      </c>
      <c r="J202" s="256">
        <v>0</v>
      </c>
      <c r="K202" s="256">
        <v>0</v>
      </c>
      <c r="L202" s="256">
        <v>0</v>
      </c>
      <c r="M202" s="256">
        <v>0</v>
      </c>
      <c r="N202" s="256">
        <v>0</v>
      </c>
      <c r="O202" s="243">
        <v>0</v>
      </c>
      <c r="P202" s="243">
        <v>0</v>
      </c>
      <c r="Q202" s="243">
        <v>0</v>
      </c>
      <c r="R202" s="254">
        <f t="shared" si="120"/>
        <v>0</v>
      </c>
      <c r="U202" s="437"/>
      <c r="V202" s="252" t="s">
        <v>375</v>
      </c>
      <c r="W202" s="243">
        <v>0</v>
      </c>
      <c r="X202" s="243">
        <v>0</v>
      </c>
      <c r="Y202" s="243">
        <v>0</v>
      </c>
      <c r="Z202" s="243">
        <v>0</v>
      </c>
      <c r="AA202" s="243">
        <v>0</v>
      </c>
      <c r="AB202" s="243">
        <v>0</v>
      </c>
      <c r="AC202" s="256">
        <v>0</v>
      </c>
      <c r="AD202" s="256">
        <v>0</v>
      </c>
      <c r="AE202" s="256">
        <v>0</v>
      </c>
      <c r="AF202" s="256">
        <v>0</v>
      </c>
      <c r="AG202" s="256">
        <v>0</v>
      </c>
      <c r="AH202" s="256">
        <v>0</v>
      </c>
      <c r="AI202" s="243">
        <v>0</v>
      </c>
      <c r="AJ202" s="243">
        <v>0</v>
      </c>
      <c r="AK202" s="243">
        <v>0</v>
      </c>
      <c r="AL202" s="254">
        <f t="shared" si="121"/>
        <v>0</v>
      </c>
    </row>
    <row r="203" spans="1:38" ht="14.4" customHeight="1">
      <c r="A203" s="437"/>
      <c r="B203" s="252" t="s">
        <v>376</v>
      </c>
      <c r="C203" s="243">
        <v>0</v>
      </c>
      <c r="D203" s="243">
        <v>0</v>
      </c>
      <c r="E203" s="243">
        <v>0</v>
      </c>
      <c r="F203" s="243">
        <v>0</v>
      </c>
      <c r="G203" s="243">
        <v>0</v>
      </c>
      <c r="H203" s="243">
        <v>0</v>
      </c>
      <c r="I203" s="243">
        <v>0</v>
      </c>
      <c r="J203" s="243">
        <v>0</v>
      </c>
      <c r="K203" s="243">
        <v>0</v>
      </c>
      <c r="L203" s="243">
        <v>0</v>
      </c>
      <c r="M203" s="243">
        <v>0</v>
      </c>
      <c r="N203" s="243">
        <v>0</v>
      </c>
      <c r="O203" s="243">
        <v>0</v>
      </c>
      <c r="P203" s="243">
        <v>0</v>
      </c>
      <c r="Q203" s="243">
        <v>0</v>
      </c>
      <c r="R203" s="254">
        <f t="shared" si="120"/>
        <v>0</v>
      </c>
      <c r="U203" s="437"/>
      <c r="V203" s="252" t="s">
        <v>376</v>
      </c>
      <c r="W203" s="243">
        <v>0</v>
      </c>
      <c r="X203" s="243">
        <v>0</v>
      </c>
      <c r="Y203" s="243">
        <v>0</v>
      </c>
      <c r="Z203" s="243">
        <v>0</v>
      </c>
      <c r="AA203" s="243">
        <v>0</v>
      </c>
      <c r="AB203" s="243">
        <v>0</v>
      </c>
      <c r="AC203" s="243">
        <v>0</v>
      </c>
      <c r="AD203" s="243">
        <v>0</v>
      </c>
      <c r="AE203" s="243">
        <v>0</v>
      </c>
      <c r="AF203" s="243">
        <v>0</v>
      </c>
      <c r="AG203" s="243">
        <v>0</v>
      </c>
      <c r="AH203" s="243">
        <v>0</v>
      </c>
      <c r="AI203" s="243">
        <v>0</v>
      </c>
      <c r="AJ203" s="243">
        <v>0</v>
      </c>
      <c r="AK203" s="243">
        <v>0</v>
      </c>
      <c r="AL203" s="254">
        <f t="shared" si="121"/>
        <v>0</v>
      </c>
    </row>
    <row r="204" spans="1:38" ht="14.4" customHeight="1">
      <c r="A204" s="437"/>
      <c r="B204" s="252" t="s">
        <v>36</v>
      </c>
      <c r="C204" s="243">
        <v>0</v>
      </c>
      <c r="D204" s="243">
        <v>0</v>
      </c>
      <c r="E204" s="243">
        <v>0</v>
      </c>
      <c r="F204" s="243">
        <v>0</v>
      </c>
      <c r="G204" s="243">
        <v>0</v>
      </c>
      <c r="H204" s="243">
        <v>0</v>
      </c>
      <c r="I204" s="243">
        <v>0</v>
      </c>
      <c r="J204" s="243">
        <v>0</v>
      </c>
      <c r="K204" s="243">
        <v>0</v>
      </c>
      <c r="L204" s="243">
        <v>0</v>
      </c>
      <c r="M204" s="243">
        <v>0</v>
      </c>
      <c r="N204" s="243">
        <v>0</v>
      </c>
      <c r="O204" s="243">
        <v>0</v>
      </c>
      <c r="P204" s="243">
        <v>0</v>
      </c>
      <c r="Q204" s="243">
        <v>0</v>
      </c>
      <c r="R204" s="254">
        <f t="shared" si="120"/>
        <v>0</v>
      </c>
      <c r="U204" s="437"/>
      <c r="V204" s="252" t="s">
        <v>36</v>
      </c>
      <c r="W204" s="243">
        <v>0</v>
      </c>
      <c r="X204" s="243">
        <v>0</v>
      </c>
      <c r="Y204" s="243">
        <v>0</v>
      </c>
      <c r="Z204" s="243">
        <v>0</v>
      </c>
      <c r="AA204" s="243">
        <v>0</v>
      </c>
      <c r="AB204" s="243">
        <v>0</v>
      </c>
      <c r="AC204" s="243">
        <v>0</v>
      </c>
      <c r="AD204" s="243">
        <v>0</v>
      </c>
      <c r="AE204" s="243">
        <v>0</v>
      </c>
      <c r="AF204" s="243">
        <v>0</v>
      </c>
      <c r="AG204" s="243">
        <v>0</v>
      </c>
      <c r="AH204" s="243">
        <v>0</v>
      </c>
      <c r="AI204" s="243">
        <v>0</v>
      </c>
      <c r="AJ204" s="243">
        <v>0</v>
      </c>
      <c r="AK204" s="243">
        <v>0</v>
      </c>
      <c r="AL204" s="254">
        <f t="shared" si="121"/>
        <v>0</v>
      </c>
    </row>
    <row r="205" spans="1:38" ht="14.4" customHeight="1">
      <c r="A205" s="437"/>
      <c r="B205" s="252" t="s">
        <v>377</v>
      </c>
      <c r="C205" s="243">
        <v>0</v>
      </c>
      <c r="D205" s="243">
        <v>0</v>
      </c>
      <c r="E205" s="243">
        <v>0</v>
      </c>
      <c r="F205" s="243">
        <v>0</v>
      </c>
      <c r="G205" s="243">
        <v>0</v>
      </c>
      <c r="H205" s="243">
        <v>0</v>
      </c>
      <c r="I205" s="243">
        <v>0</v>
      </c>
      <c r="J205" s="243">
        <v>0</v>
      </c>
      <c r="K205" s="243">
        <v>0</v>
      </c>
      <c r="L205" s="243">
        <v>0</v>
      </c>
      <c r="M205" s="243">
        <v>0</v>
      </c>
      <c r="N205" s="243">
        <v>0</v>
      </c>
      <c r="O205" s="243">
        <v>0</v>
      </c>
      <c r="P205" s="243">
        <v>0</v>
      </c>
      <c r="Q205" s="243">
        <v>0</v>
      </c>
      <c r="R205" s="254">
        <f t="shared" si="120"/>
        <v>0</v>
      </c>
      <c r="U205" s="437"/>
      <c r="V205" s="252" t="s">
        <v>377</v>
      </c>
      <c r="W205" s="243">
        <v>0</v>
      </c>
      <c r="X205" s="243">
        <v>0</v>
      </c>
      <c r="Y205" s="243">
        <v>0</v>
      </c>
      <c r="Z205" s="243">
        <v>0</v>
      </c>
      <c r="AA205" s="243">
        <v>0</v>
      </c>
      <c r="AB205" s="243">
        <v>0</v>
      </c>
      <c r="AC205" s="243">
        <v>0</v>
      </c>
      <c r="AD205" s="243">
        <v>0</v>
      </c>
      <c r="AE205" s="243">
        <v>0</v>
      </c>
      <c r="AF205" s="243">
        <v>0</v>
      </c>
      <c r="AG205" s="243">
        <v>0</v>
      </c>
      <c r="AH205" s="243">
        <v>0</v>
      </c>
      <c r="AI205" s="243">
        <v>0</v>
      </c>
      <c r="AJ205" s="243">
        <v>0</v>
      </c>
      <c r="AK205" s="243">
        <v>0</v>
      </c>
      <c r="AL205" s="254">
        <f t="shared" si="121"/>
        <v>0</v>
      </c>
    </row>
    <row r="206" spans="1:38" ht="14.4" customHeight="1">
      <c r="A206" s="437"/>
      <c r="B206" s="252" t="s">
        <v>378</v>
      </c>
      <c r="C206" s="243">
        <v>0</v>
      </c>
      <c r="D206" s="243">
        <v>0</v>
      </c>
      <c r="E206" s="243">
        <v>0</v>
      </c>
      <c r="F206" s="243">
        <v>0</v>
      </c>
      <c r="G206" s="243">
        <v>0</v>
      </c>
      <c r="H206" s="243">
        <v>0</v>
      </c>
      <c r="I206" s="243">
        <v>0</v>
      </c>
      <c r="J206" s="243">
        <v>0</v>
      </c>
      <c r="K206" s="243">
        <v>0</v>
      </c>
      <c r="L206" s="243">
        <v>0</v>
      </c>
      <c r="M206" s="243">
        <v>0</v>
      </c>
      <c r="N206" s="243">
        <v>0</v>
      </c>
      <c r="O206" s="243">
        <v>0</v>
      </c>
      <c r="P206" s="243">
        <v>0</v>
      </c>
      <c r="Q206" s="243">
        <v>0</v>
      </c>
      <c r="R206" s="254">
        <f t="shared" si="120"/>
        <v>0</v>
      </c>
      <c r="U206" s="437"/>
      <c r="V206" s="252" t="s">
        <v>378</v>
      </c>
      <c r="W206" s="243">
        <v>0</v>
      </c>
      <c r="X206" s="243">
        <v>0</v>
      </c>
      <c r="Y206" s="243">
        <v>0</v>
      </c>
      <c r="Z206" s="243">
        <v>0</v>
      </c>
      <c r="AA206" s="243">
        <v>0</v>
      </c>
      <c r="AB206" s="243">
        <v>0</v>
      </c>
      <c r="AC206" s="243">
        <v>0</v>
      </c>
      <c r="AD206" s="243">
        <v>0</v>
      </c>
      <c r="AE206" s="243">
        <v>0</v>
      </c>
      <c r="AF206" s="243">
        <v>0</v>
      </c>
      <c r="AG206" s="243">
        <v>0</v>
      </c>
      <c r="AH206" s="243">
        <v>0</v>
      </c>
      <c r="AI206" s="243">
        <v>0</v>
      </c>
      <c r="AJ206" s="243">
        <v>0</v>
      </c>
      <c r="AK206" s="243">
        <v>0</v>
      </c>
      <c r="AL206" s="254">
        <f t="shared" si="121"/>
        <v>0</v>
      </c>
    </row>
    <row r="207" spans="1:38" ht="14.4" customHeight="1">
      <c r="A207" s="437"/>
      <c r="B207" s="252" t="s">
        <v>379</v>
      </c>
      <c r="C207" s="243">
        <v>0</v>
      </c>
      <c r="D207" s="243">
        <v>0</v>
      </c>
      <c r="E207" s="243">
        <v>0</v>
      </c>
      <c r="F207" s="243">
        <v>0</v>
      </c>
      <c r="G207" s="243">
        <v>0</v>
      </c>
      <c r="H207" s="243">
        <v>0</v>
      </c>
      <c r="I207" s="243">
        <v>0</v>
      </c>
      <c r="J207" s="243">
        <v>0</v>
      </c>
      <c r="K207" s="243">
        <v>0</v>
      </c>
      <c r="L207" s="243">
        <v>0</v>
      </c>
      <c r="M207" s="243">
        <v>0</v>
      </c>
      <c r="N207" s="243">
        <v>0</v>
      </c>
      <c r="O207" s="243">
        <v>0</v>
      </c>
      <c r="P207" s="243">
        <v>0</v>
      </c>
      <c r="Q207" s="243">
        <v>0</v>
      </c>
      <c r="R207" s="254">
        <f t="shared" si="120"/>
        <v>0</v>
      </c>
      <c r="U207" s="437"/>
      <c r="V207" s="252" t="s">
        <v>379</v>
      </c>
      <c r="W207" s="243">
        <v>0</v>
      </c>
      <c r="X207" s="243">
        <v>0</v>
      </c>
      <c r="Y207" s="243">
        <v>0</v>
      </c>
      <c r="Z207" s="243">
        <v>0</v>
      </c>
      <c r="AA207" s="243">
        <v>0</v>
      </c>
      <c r="AB207" s="243">
        <v>0</v>
      </c>
      <c r="AC207" s="243">
        <v>0</v>
      </c>
      <c r="AD207" s="243">
        <v>0</v>
      </c>
      <c r="AE207" s="243">
        <v>0</v>
      </c>
      <c r="AF207" s="243">
        <v>0</v>
      </c>
      <c r="AG207" s="243">
        <v>0</v>
      </c>
      <c r="AH207" s="243">
        <v>0</v>
      </c>
      <c r="AI207" s="243">
        <v>0</v>
      </c>
      <c r="AJ207" s="243">
        <v>0</v>
      </c>
      <c r="AK207" s="243">
        <v>0</v>
      </c>
      <c r="AL207" s="254">
        <f t="shared" si="121"/>
        <v>0</v>
      </c>
    </row>
    <row r="208" spans="1:38" ht="14.4" customHeight="1">
      <c r="A208" s="437"/>
      <c r="B208" s="252" t="s">
        <v>37</v>
      </c>
      <c r="C208" s="243">
        <v>0</v>
      </c>
      <c r="D208" s="243">
        <v>0</v>
      </c>
      <c r="E208" s="243">
        <v>0</v>
      </c>
      <c r="F208" s="243">
        <v>0</v>
      </c>
      <c r="G208" s="243">
        <v>0</v>
      </c>
      <c r="H208" s="243">
        <v>0</v>
      </c>
      <c r="I208" s="243">
        <v>0</v>
      </c>
      <c r="J208" s="243">
        <v>0</v>
      </c>
      <c r="K208" s="243">
        <v>0</v>
      </c>
      <c r="L208" s="243">
        <v>0</v>
      </c>
      <c r="M208" s="243">
        <v>0</v>
      </c>
      <c r="N208" s="243">
        <v>0</v>
      </c>
      <c r="O208" s="243">
        <v>0</v>
      </c>
      <c r="P208" s="243">
        <v>0</v>
      </c>
      <c r="Q208" s="243">
        <v>0</v>
      </c>
      <c r="R208" s="254">
        <f t="shared" si="120"/>
        <v>0</v>
      </c>
      <c r="U208" s="437"/>
      <c r="V208" s="252" t="s">
        <v>37</v>
      </c>
      <c r="W208" s="243">
        <v>0</v>
      </c>
      <c r="X208" s="243">
        <v>0</v>
      </c>
      <c r="Y208" s="243">
        <v>0</v>
      </c>
      <c r="Z208" s="243">
        <v>0</v>
      </c>
      <c r="AA208" s="243">
        <v>0</v>
      </c>
      <c r="AB208" s="243">
        <v>0</v>
      </c>
      <c r="AC208" s="243">
        <v>0</v>
      </c>
      <c r="AD208" s="243">
        <v>0</v>
      </c>
      <c r="AE208" s="243">
        <v>0</v>
      </c>
      <c r="AF208" s="243">
        <v>0</v>
      </c>
      <c r="AG208" s="243">
        <v>0</v>
      </c>
      <c r="AH208" s="243">
        <v>0</v>
      </c>
      <c r="AI208" s="243">
        <v>0</v>
      </c>
      <c r="AJ208" s="243">
        <v>0</v>
      </c>
      <c r="AK208" s="243">
        <v>0</v>
      </c>
      <c r="AL208" s="254">
        <f t="shared" si="121"/>
        <v>0</v>
      </c>
    </row>
    <row r="209" spans="1:38" ht="14.4" customHeight="1">
      <c r="A209" s="437"/>
      <c r="B209" s="252" t="s">
        <v>38</v>
      </c>
      <c r="C209" s="243">
        <v>0</v>
      </c>
      <c r="D209" s="243">
        <v>0</v>
      </c>
      <c r="E209" s="243">
        <v>0</v>
      </c>
      <c r="F209" s="243">
        <v>0</v>
      </c>
      <c r="G209" s="243">
        <v>0</v>
      </c>
      <c r="H209" s="243">
        <v>0</v>
      </c>
      <c r="I209" s="243">
        <v>0</v>
      </c>
      <c r="J209" s="243">
        <v>0</v>
      </c>
      <c r="K209" s="243">
        <v>0</v>
      </c>
      <c r="L209" s="243">
        <v>0</v>
      </c>
      <c r="M209" s="243">
        <v>0</v>
      </c>
      <c r="N209" s="243">
        <v>0</v>
      </c>
      <c r="O209" s="243">
        <f>O200*$F$17</f>
        <v>14.863998221460866</v>
      </c>
      <c r="P209" s="243">
        <v>0</v>
      </c>
      <c r="Q209" s="243">
        <v>0</v>
      </c>
      <c r="R209" s="254">
        <f t="shared" si="120"/>
        <v>14.863998221460866</v>
      </c>
      <c r="U209" s="437"/>
      <c r="V209" s="252" t="s">
        <v>38</v>
      </c>
      <c r="W209" s="243">
        <v>0</v>
      </c>
      <c r="X209" s="243">
        <v>0</v>
      </c>
      <c r="Y209" s="243">
        <v>0</v>
      </c>
      <c r="Z209" s="243">
        <v>0</v>
      </c>
      <c r="AA209" s="243">
        <v>0</v>
      </c>
      <c r="AB209" s="243">
        <v>0</v>
      </c>
      <c r="AC209" s="243">
        <v>0</v>
      </c>
      <c r="AD209" s="243">
        <v>0</v>
      </c>
      <c r="AE209" s="243">
        <v>0</v>
      </c>
      <c r="AF209" s="243">
        <v>0</v>
      </c>
      <c r="AG209" s="243">
        <v>0</v>
      </c>
      <c r="AH209" s="243">
        <v>0</v>
      </c>
      <c r="AI209" s="243">
        <f>AI200*$F$17</f>
        <v>13.138766690583637</v>
      </c>
      <c r="AJ209" s="243">
        <v>0</v>
      </c>
      <c r="AK209" s="243">
        <v>0</v>
      </c>
      <c r="AL209" s="254">
        <f t="shared" si="121"/>
        <v>13.138766690583637</v>
      </c>
    </row>
    <row r="210" spans="1:38" ht="14.4" customHeight="1">
      <c r="A210" s="437"/>
      <c r="B210" s="252" t="s">
        <v>39</v>
      </c>
      <c r="C210" s="243">
        <v>0</v>
      </c>
      <c r="D210" s="243">
        <v>0</v>
      </c>
      <c r="E210" s="243">
        <v>0</v>
      </c>
      <c r="F210" s="243">
        <v>0</v>
      </c>
      <c r="G210" s="243">
        <v>0</v>
      </c>
      <c r="H210" s="243">
        <v>0</v>
      </c>
      <c r="I210" s="243">
        <v>0</v>
      </c>
      <c r="J210" s="243">
        <v>0</v>
      </c>
      <c r="K210" s="243">
        <v>0</v>
      </c>
      <c r="L210" s="243">
        <v>0</v>
      </c>
      <c r="M210" s="243">
        <v>0</v>
      </c>
      <c r="N210" s="243">
        <v>0</v>
      </c>
      <c r="O210" s="243">
        <f>O200*$F$18</f>
        <v>123.46814390634904</v>
      </c>
      <c r="P210" s="243">
        <f>P201*$R$18</f>
        <v>0</v>
      </c>
      <c r="Q210" s="243">
        <v>0</v>
      </c>
      <c r="R210" s="254">
        <f t="shared" si="120"/>
        <v>123.46814390634904</v>
      </c>
      <c r="U210" s="437"/>
      <c r="V210" s="252" t="s">
        <v>39</v>
      </c>
      <c r="W210" s="243">
        <v>0</v>
      </c>
      <c r="X210" s="243">
        <v>0</v>
      </c>
      <c r="Y210" s="243">
        <v>0</v>
      </c>
      <c r="Z210" s="243">
        <v>0</v>
      </c>
      <c r="AA210" s="243">
        <v>0</v>
      </c>
      <c r="AB210" s="243">
        <v>0</v>
      </c>
      <c r="AC210" s="243">
        <v>0</v>
      </c>
      <c r="AD210" s="243">
        <v>0</v>
      </c>
      <c r="AE210" s="243">
        <v>0</v>
      </c>
      <c r="AF210" s="243">
        <v>0</v>
      </c>
      <c r="AG210" s="243">
        <v>0</v>
      </c>
      <c r="AH210" s="243">
        <v>0</v>
      </c>
      <c r="AI210" s="243">
        <f>AI200*$F$18</f>
        <v>109.13746842102962</v>
      </c>
      <c r="AJ210" s="243">
        <f>AJ201*$R$18</f>
        <v>0</v>
      </c>
      <c r="AK210" s="243">
        <v>0</v>
      </c>
      <c r="AL210" s="254">
        <f t="shared" si="121"/>
        <v>109.13746842102962</v>
      </c>
    </row>
    <row r="211" spans="1:38" ht="14.4" customHeight="1">
      <c r="A211" s="437"/>
      <c r="B211" s="247" t="s">
        <v>40</v>
      </c>
      <c r="C211" s="248">
        <f>SUM(C199:C210)</f>
        <v>0</v>
      </c>
      <c r="D211" s="248">
        <f t="shared" ref="D211:N211" si="124">SUM(D199:D210)</f>
        <v>0</v>
      </c>
      <c r="E211" s="248">
        <f t="shared" si="124"/>
        <v>57.043643631513596</v>
      </c>
      <c r="F211" s="248">
        <f t="shared" si="124"/>
        <v>0</v>
      </c>
      <c r="G211" s="248">
        <f t="shared" si="124"/>
        <v>0</v>
      </c>
      <c r="H211" s="248">
        <f t="shared" si="124"/>
        <v>679.3593873507499</v>
      </c>
      <c r="I211" s="248">
        <f t="shared" si="124"/>
        <v>377.03753144796707</v>
      </c>
      <c r="J211" s="248">
        <f t="shared" si="124"/>
        <v>0</v>
      </c>
      <c r="K211" s="248">
        <f t="shared" si="124"/>
        <v>971.26034196454407</v>
      </c>
      <c r="L211" s="248">
        <f t="shared" si="124"/>
        <v>18.637366632798134</v>
      </c>
      <c r="M211" s="248">
        <f t="shared" si="124"/>
        <v>0</v>
      </c>
      <c r="N211" s="248">
        <f t="shared" si="124"/>
        <v>0</v>
      </c>
      <c r="O211" s="248">
        <f>-O221</f>
        <v>-1116.6280177654892</v>
      </c>
      <c r="P211" s="248">
        <f>-P213</f>
        <v>0</v>
      </c>
      <c r="Q211" s="248">
        <f t="shared" ref="Q211" si="125">SUM(Q199:Q210)</f>
        <v>0</v>
      </c>
      <c r="R211" s="248">
        <f t="shared" si="120"/>
        <v>986.7102532620836</v>
      </c>
      <c r="U211" s="437"/>
      <c r="V211" s="247" t="s">
        <v>40</v>
      </c>
      <c r="W211" s="248">
        <f>SUM(W199:W210)</f>
        <v>0</v>
      </c>
      <c r="X211" s="248">
        <f t="shared" ref="X211:AH211" si="126">SUM(X199:X210)</f>
        <v>0</v>
      </c>
      <c r="Y211" s="248">
        <f t="shared" si="126"/>
        <v>0</v>
      </c>
      <c r="Z211" s="248">
        <f t="shared" si="126"/>
        <v>0</v>
      </c>
      <c r="AA211" s="248">
        <f t="shared" si="126"/>
        <v>0</v>
      </c>
      <c r="AB211" s="248">
        <f t="shared" si="126"/>
        <v>643.49945665118719</v>
      </c>
      <c r="AC211" s="248">
        <f t="shared" si="126"/>
        <v>517.99041907009678</v>
      </c>
      <c r="AD211" s="248">
        <f t="shared" si="126"/>
        <v>0</v>
      </c>
      <c r="AE211" s="248">
        <f t="shared" si="126"/>
        <v>621.91712487876805</v>
      </c>
      <c r="AF211" s="248">
        <f t="shared" si="126"/>
        <v>16.395373921656088</v>
      </c>
      <c r="AG211" s="248">
        <f t="shared" si="126"/>
        <v>0</v>
      </c>
      <c r="AH211" s="248">
        <f t="shared" si="126"/>
        <v>0</v>
      </c>
      <c r="AI211" s="248">
        <f>-AI221</f>
        <v>-987.02346347211369</v>
      </c>
      <c r="AJ211" s="248">
        <f>-AJ213</f>
        <v>0</v>
      </c>
      <c r="AK211" s="248">
        <f t="shared" ref="AK211" si="127">SUM(AK199:AK210)</f>
        <v>0</v>
      </c>
      <c r="AL211" s="248">
        <f t="shared" si="121"/>
        <v>812.7789110495944</v>
      </c>
    </row>
    <row r="212" spans="1:38" ht="14.4" customHeight="1">
      <c r="A212" s="437"/>
      <c r="B212" s="249"/>
      <c r="C212" s="250"/>
      <c r="D212" s="250"/>
      <c r="E212" s="257"/>
      <c r="F212" s="250"/>
      <c r="G212" s="250"/>
      <c r="H212" s="250"/>
      <c r="I212" s="257"/>
      <c r="J212" s="250"/>
      <c r="K212" s="250"/>
      <c r="L212" s="250"/>
      <c r="M212" s="258"/>
      <c r="N212" s="250"/>
      <c r="O212" s="250"/>
      <c r="P212" s="250"/>
      <c r="Q212" s="250"/>
      <c r="R212" s="250"/>
      <c r="U212" s="437"/>
      <c r="V212" s="249"/>
      <c r="W212" s="250"/>
      <c r="X212" s="250"/>
      <c r="Y212" s="257"/>
      <c r="Z212" s="250"/>
      <c r="AA212" s="250"/>
      <c r="AB212" s="250"/>
      <c r="AC212" s="257"/>
      <c r="AD212" s="250"/>
      <c r="AE212" s="250"/>
      <c r="AF212" s="250"/>
      <c r="AG212" s="258"/>
      <c r="AH212" s="250"/>
      <c r="AI212" s="250"/>
      <c r="AJ212" s="250"/>
      <c r="AK212" s="250"/>
      <c r="AL212" s="250"/>
    </row>
    <row r="213" spans="1:38" ht="14.4" customHeight="1">
      <c r="A213" s="437"/>
      <c r="B213" s="252" t="s">
        <v>41</v>
      </c>
      <c r="C213" s="243">
        <v>0</v>
      </c>
      <c r="D213" s="243">
        <v>0</v>
      </c>
      <c r="E213" s="243">
        <f>Industrie!$G$35</f>
        <v>17.54584009885766</v>
      </c>
      <c r="F213" s="243">
        <v>0</v>
      </c>
      <c r="G213" s="243">
        <v>0</v>
      </c>
      <c r="H213" s="243">
        <v>0</v>
      </c>
      <c r="I213" s="243">
        <f>Industrie!$G$38*$I$49/SUM($I$49:$N$49)</f>
        <v>1.464465645911516</v>
      </c>
      <c r="J213" s="243">
        <f>Industrie!$G$38*$J$49/SUM($I$49:$N$49)</f>
        <v>0</v>
      </c>
      <c r="K213" s="243">
        <f>Industrie!$G$38*$K$49/SUM($I$49:$N$49)</f>
        <v>0</v>
      </c>
      <c r="L213" s="243">
        <f>Industrie!$G$38*$L$49/SUM($I$49:$N$49)</f>
        <v>0</v>
      </c>
      <c r="M213" s="243">
        <f>Industrie!$G$38*$M$49/SUM($I$49:$N$49)</f>
        <v>0</v>
      </c>
      <c r="N213" s="243">
        <f>Industrie!$G$38*$N$49/SUM($I$49:$N$49)</f>
        <v>0</v>
      </c>
      <c r="O213" s="243">
        <f>Industrie!$G$36</f>
        <v>44.729663115242097</v>
      </c>
      <c r="P213" s="243">
        <f>Industrie!$G$39</f>
        <v>0</v>
      </c>
      <c r="Q213" s="243">
        <v>0</v>
      </c>
      <c r="R213" s="254">
        <f>SUM(C213:Q213)</f>
        <v>63.739968860011274</v>
      </c>
      <c r="U213" s="437"/>
      <c r="V213" s="252" t="s">
        <v>41</v>
      </c>
      <c r="W213" s="243">
        <v>0</v>
      </c>
      <c r="X213" s="243">
        <v>0</v>
      </c>
      <c r="Y213" s="243">
        <f>Industrie!$G$56</f>
        <v>4.0678382225397138</v>
      </c>
      <c r="Z213" s="243">
        <v>0</v>
      </c>
      <c r="AA213" s="243">
        <v>0</v>
      </c>
      <c r="AB213" s="243">
        <v>0</v>
      </c>
      <c r="AC213" s="243">
        <f>Industrie!$G$62*$AC$49/SUM($I$49:$N$49)</f>
        <v>7.5662229797210863</v>
      </c>
      <c r="AD213" s="243">
        <f>Industrie!$G$62*$AD$49/SUM($I$49:$N$49)</f>
        <v>0</v>
      </c>
      <c r="AE213" s="243">
        <f>Industrie!$G$62*$AE$49/SUM($I$49:$N$49)</f>
        <v>0</v>
      </c>
      <c r="AF213" s="243">
        <f>Industrie!$G$62*$AF$49/SUM($I$49:$N$49)</f>
        <v>0</v>
      </c>
      <c r="AG213" s="243">
        <f>Industrie!$G$62*$AG$49/SUM($I$49:$N$49)</f>
        <v>0</v>
      </c>
      <c r="AH213" s="243">
        <f>Industrie!$G$62*$AH$49/SUM($I$49:$N$49)</f>
        <v>0</v>
      </c>
      <c r="AI213" s="243">
        <f>Industrie!$G$57</f>
        <v>44.933933101979569</v>
      </c>
      <c r="AJ213" s="243">
        <f>Industrie!$G$63</f>
        <v>0</v>
      </c>
      <c r="AK213" s="243">
        <v>0</v>
      </c>
      <c r="AL213" s="254">
        <f>SUM(W213:AK213)</f>
        <v>56.567994304240372</v>
      </c>
    </row>
    <row r="214" spans="1:38" ht="14.4" customHeight="1">
      <c r="A214" s="437"/>
      <c r="B214" s="252" t="s">
        <v>42</v>
      </c>
      <c r="C214" s="243">
        <v>0</v>
      </c>
      <c r="D214" s="243">
        <v>0</v>
      </c>
      <c r="E214" s="243">
        <f>Transports!$I$44</f>
        <v>1012.8193817913568</v>
      </c>
      <c r="F214" s="243">
        <v>0</v>
      </c>
      <c r="G214" s="243">
        <v>0</v>
      </c>
      <c r="H214" s="243">
        <v>0</v>
      </c>
      <c r="I214" s="243">
        <v>0</v>
      </c>
      <c r="J214" s="243">
        <v>0</v>
      </c>
      <c r="K214" s="243">
        <v>0</v>
      </c>
      <c r="L214" s="243">
        <v>0</v>
      </c>
      <c r="M214" s="243">
        <v>0</v>
      </c>
      <c r="N214" s="243">
        <v>0</v>
      </c>
      <c r="O214" s="243">
        <f>Transports!$I$45</f>
        <v>129.36943705164316</v>
      </c>
      <c r="P214" s="243">
        <v>0</v>
      </c>
      <c r="Q214" s="243">
        <v>0</v>
      </c>
      <c r="R214" s="254">
        <f t="shared" ref="R214:R221" si="128">SUM(C214:Q214)</f>
        <v>1142.188818843</v>
      </c>
      <c r="U214" s="437"/>
      <c r="V214" s="252" t="s">
        <v>42</v>
      </c>
      <c r="W214" s="243">
        <v>0</v>
      </c>
      <c r="X214" s="243">
        <v>0</v>
      </c>
      <c r="Y214" s="243">
        <f>Transports!$I71</f>
        <v>587.2683905788665</v>
      </c>
      <c r="Z214" s="243">
        <v>0</v>
      </c>
      <c r="AA214" s="243">
        <v>0</v>
      </c>
      <c r="AB214" s="243">
        <v>0</v>
      </c>
      <c r="AC214" s="243">
        <v>0</v>
      </c>
      <c r="AD214" s="243">
        <v>0</v>
      </c>
      <c r="AE214" s="243">
        <v>0</v>
      </c>
      <c r="AF214" s="243">
        <v>0</v>
      </c>
      <c r="AG214" s="243">
        <v>0</v>
      </c>
      <c r="AH214" s="243">
        <v>0</v>
      </c>
      <c r="AI214" s="243">
        <f>Transports!$I$72</f>
        <v>297.39235483156926</v>
      </c>
      <c r="AJ214" s="243">
        <v>0</v>
      </c>
      <c r="AK214" s="243">
        <v>0</v>
      </c>
      <c r="AL214" s="254">
        <f t="shared" ref="AL214:AL221" si="129">SUM(W214:AK214)</f>
        <v>884.66074541043577</v>
      </c>
    </row>
    <row r="215" spans="1:38" ht="14.4" customHeight="1">
      <c r="A215" s="437"/>
      <c r="B215" s="252" t="s">
        <v>43</v>
      </c>
      <c r="C215" s="243">
        <v>0</v>
      </c>
      <c r="D215" s="243">
        <v>0</v>
      </c>
      <c r="E215" s="243">
        <f>'Résidentiel-tertiaire'!$G$163</f>
        <v>62.061769989368514</v>
      </c>
      <c r="F215" s="243">
        <v>0</v>
      </c>
      <c r="G215" s="243">
        <v>0</v>
      </c>
      <c r="H215" s="243">
        <v>0</v>
      </c>
      <c r="I215" s="243">
        <f>'Résidentiel-tertiaire'!$G$164*$I$51/SUM($I$51:$N$51)</f>
        <v>0</v>
      </c>
      <c r="J215" s="243">
        <f>'Résidentiel-tertiaire'!$G$164*$J$51/SUM($I$51:$N$51)</f>
        <v>0</v>
      </c>
      <c r="K215" s="243">
        <f>'Résidentiel-tertiaire'!$G$164*$K$51/SUM($I$51:$N$51)</f>
        <v>0</v>
      </c>
      <c r="L215" s="243">
        <f>'Résidentiel-tertiaire'!$G$164*$L$51/SUM($I$51:$N$51)</f>
        <v>0</v>
      </c>
      <c r="M215" s="243">
        <f>'Résidentiel-tertiaire'!$G$164*$M$51/SUM($I$51:$N$51)</f>
        <v>0</v>
      </c>
      <c r="N215" s="243">
        <f>'Résidentiel-tertiaire'!$G$164*$N$51/SUM($I$51:$N$51)</f>
        <v>20.832170791743877</v>
      </c>
      <c r="O215" s="243">
        <f>'Résidentiel-tertiaire'!$G$165</f>
        <v>299.87803395307145</v>
      </c>
      <c r="P215" s="243">
        <v>0</v>
      </c>
      <c r="Q215" s="243">
        <v>0</v>
      </c>
      <c r="R215" s="254">
        <f t="shared" si="128"/>
        <v>382.77197473418386</v>
      </c>
      <c r="U215" s="437"/>
      <c r="V215" s="252" t="s">
        <v>43</v>
      </c>
      <c r="W215" s="243">
        <v>0</v>
      </c>
      <c r="X215" s="243">
        <v>0</v>
      </c>
      <c r="Y215" s="243">
        <f>'Résidentiel-tertiaire'!$G$177</f>
        <v>22.130983333333333</v>
      </c>
      <c r="Z215" s="243">
        <v>0</v>
      </c>
      <c r="AA215" s="243">
        <v>0</v>
      </c>
      <c r="AB215" s="243">
        <v>0</v>
      </c>
      <c r="AC215" s="243">
        <f>'Résidentiel-tertiaire'!$G$178*$AC$51/SUM($I$51:$N$51)</f>
        <v>0</v>
      </c>
      <c r="AD215" s="243">
        <f>'Résidentiel-tertiaire'!$G$178*$AD$51/SUM($I$51:$N$51)</f>
        <v>0</v>
      </c>
      <c r="AE215" s="243">
        <f>'Résidentiel-tertiaire'!$G$178*$AE$51/SUM($I$51:$N$51)</f>
        <v>0</v>
      </c>
      <c r="AF215" s="243">
        <f>'Résidentiel-tertiaire'!$G$178*$AF$51/SUM($I$51:$N$51)</f>
        <v>0</v>
      </c>
      <c r="AG215" s="243">
        <f>'Résidentiel-tertiaire'!$G$178*$AG$51/SUM($I$51:$N$51)</f>
        <v>0</v>
      </c>
      <c r="AH215" s="243">
        <f>'Résidentiel-tertiaire'!$G$178*$AH$51/SUM($I$51:$N$51)</f>
        <v>29.73695130569736</v>
      </c>
      <c r="AI215" s="243">
        <f>'Résidentiel-tertiaire'!$G$179</f>
        <v>222.43688551462657</v>
      </c>
      <c r="AJ215" s="243">
        <v>0</v>
      </c>
      <c r="AK215" s="243">
        <v>0</v>
      </c>
      <c r="AL215" s="254">
        <f t="shared" si="129"/>
        <v>274.30482015365726</v>
      </c>
    </row>
    <row r="216" spans="1:38" ht="14.4" customHeight="1">
      <c r="A216" s="437"/>
      <c r="B216" s="252" t="s">
        <v>44</v>
      </c>
      <c r="C216" s="243">
        <v>0</v>
      </c>
      <c r="D216" s="243">
        <v>0</v>
      </c>
      <c r="E216" s="243">
        <f>'Résidentiel-tertiaire'!$G$168</f>
        <v>0</v>
      </c>
      <c r="F216" s="243">
        <v>0</v>
      </c>
      <c r="G216" s="243">
        <v>0</v>
      </c>
      <c r="H216" s="243">
        <v>0</v>
      </c>
      <c r="I216" s="243">
        <f>'Résidentiel-tertiaire'!$G$169*$I$52/SUM($I$52:$N$52)</f>
        <v>0</v>
      </c>
      <c r="J216" s="243">
        <f>'Résidentiel-tertiaire'!$G$169*$J$52/SUM($I$52:$N$52)</f>
        <v>0</v>
      </c>
      <c r="K216" s="243">
        <f>'Résidentiel-tertiaire'!$G$169*$K$52/SUM($I$52:$N$52)</f>
        <v>0</v>
      </c>
      <c r="L216" s="243">
        <f>'Résidentiel-tertiaire'!$G$169*$L$52/SUM($I$52:$N$52)</f>
        <v>0</v>
      </c>
      <c r="M216" s="243">
        <f>'Résidentiel-tertiaire'!$G$169*$M$52/SUM($I$52:$N$52)</f>
        <v>0</v>
      </c>
      <c r="N216" s="243">
        <f>'Résidentiel-tertiaire'!$G$169*$N$52/SUM($I$52:$N$52)</f>
        <v>0.41121667274379964</v>
      </c>
      <c r="O216" s="243">
        <f>'Résidentiel-tertiaire'!$G$170</f>
        <v>642.06120029320846</v>
      </c>
      <c r="P216" s="243">
        <v>0</v>
      </c>
      <c r="Q216" s="243">
        <v>0</v>
      </c>
      <c r="R216" s="254">
        <f t="shared" si="128"/>
        <v>642.47241696595222</v>
      </c>
      <c r="U216" s="437"/>
      <c r="V216" s="252" t="s">
        <v>44</v>
      </c>
      <c r="W216" s="243">
        <v>0</v>
      </c>
      <c r="X216" s="243">
        <v>0</v>
      </c>
      <c r="Y216" s="243">
        <f>'Résidentiel-tertiaire'!$G$182</f>
        <v>0</v>
      </c>
      <c r="Z216" s="243">
        <v>0</v>
      </c>
      <c r="AA216" s="243">
        <v>0</v>
      </c>
      <c r="AB216" s="243">
        <v>0</v>
      </c>
      <c r="AC216" s="243">
        <f>'Résidentiel-tertiaire'!$G$183*$AC$52/SUM($I$52:$N$52)</f>
        <v>0</v>
      </c>
      <c r="AD216" s="243">
        <f>'Résidentiel-tertiaire'!$G$183*$AD$52/SUM($I$52:$N$52)</f>
        <v>0</v>
      </c>
      <c r="AE216" s="243">
        <f>'Résidentiel-tertiaire'!$G$183*$AE$52/SUM($I$52:$N$52)</f>
        <v>0</v>
      </c>
      <c r="AF216" s="243">
        <f>'Résidentiel-tertiaire'!$G$183*$AF$52/SUM($I$52:$N$52)</f>
        <v>0</v>
      </c>
      <c r="AG216" s="243">
        <f>'Résidentiel-tertiaire'!$G$183*$AG$52/SUM($I$52:$N$52)</f>
        <v>0</v>
      </c>
      <c r="AH216" s="243">
        <f>'Résidentiel-tertiaire'!$G$183*$AH$52/SUM($I$52:$N$52)</f>
        <v>0.27030289488426573</v>
      </c>
      <c r="AI216" s="243">
        <f>'Résidentiel-tertiaire'!$G$184</f>
        <v>422.04271527737433</v>
      </c>
      <c r="AJ216" s="243">
        <v>0</v>
      </c>
      <c r="AK216" s="243">
        <v>0</v>
      </c>
      <c r="AL216" s="254">
        <f t="shared" si="129"/>
        <v>422.31301817225858</v>
      </c>
    </row>
    <row r="217" spans="1:38" ht="14.4" customHeight="1">
      <c r="A217" s="437"/>
      <c r="B217" s="252" t="s">
        <v>4</v>
      </c>
      <c r="C217" s="243">
        <v>0</v>
      </c>
      <c r="D217" s="243">
        <v>0</v>
      </c>
      <c r="E217" s="243">
        <f>Agriculture!$S$27</f>
        <v>68.810910888831074</v>
      </c>
      <c r="F217" s="243">
        <v>0</v>
      </c>
      <c r="G217" s="243">
        <v>0</v>
      </c>
      <c r="H217" s="243">
        <v>0</v>
      </c>
      <c r="I217" s="243">
        <v>0</v>
      </c>
      <c r="J217" s="243">
        <v>0</v>
      </c>
      <c r="K217" s="243">
        <v>0</v>
      </c>
      <c r="L217" s="243">
        <v>0</v>
      </c>
      <c r="M217" s="243">
        <v>0</v>
      </c>
      <c r="N217" s="243">
        <v>0</v>
      </c>
      <c r="O217" s="243">
        <f>Agriculture!$S$28</f>
        <v>0.58968335232414204</v>
      </c>
      <c r="P217" s="243">
        <v>0</v>
      </c>
      <c r="Q217" s="243">
        <v>0</v>
      </c>
      <c r="R217" s="254">
        <f t="shared" si="128"/>
        <v>69.400594241155218</v>
      </c>
      <c r="U217" s="437"/>
      <c r="V217" s="252" t="s">
        <v>4</v>
      </c>
      <c r="W217" s="243">
        <v>0</v>
      </c>
      <c r="X217" s="243">
        <v>0</v>
      </c>
      <c r="Y217" s="243">
        <f>Agriculture!$Y$43</f>
        <v>20.85602150537634</v>
      </c>
      <c r="Z217" s="243">
        <v>0</v>
      </c>
      <c r="AA217" s="243">
        <v>0</v>
      </c>
      <c r="AB217" s="243">
        <v>0</v>
      </c>
      <c r="AC217" s="243">
        <v>0</v>
      </c>
      <c r="AD217" s="243">
        <v>0</v>
      </c>
      <c r="AE217" s="243">
        <f>Agriculture!$Y$45</f>
        <v>40.797506467741933</v>
      </c>
      <c r="AF217" s="243">
        <v>0</v>
      </c>
      <c r="AG217" s="243">
        <v>0</v>
      </c>
      <c r="AH217" s="243">
        <v>0</v>
      </c>
      <c r="AI217" s="243">
        <f>Agriculture!$Y$44</f>
        <v>0.21757474656399634</v>
      </c>
      <c r="AJ217" s="243">
        <v>0</v>
      </c>
      <c r="AK217" s="243">
        <v>0</v>
      </c>
      <c r="AL217" s="254">
        <f t="shared" si="129"/>
        <v>61.87110271968227</v>
      </c>
    </row>
    <row r="218" spans="1:38" ht="14.4" customHeight="1">
      <c r="A218" s="437"/>
      <c r="B218" s="252" t="s">
        <v>380</v>
      </c>
      <c r="C218" s="243">
        <v>0</v>
      </c>
      <c r="D218" s="243">
        <v>0</v>
      </c>
      <c r="E218" s="243">
        <v>0</v>
      </c>
      <c r="F218" s="243">
        <v>0</v>
      </c>
      <c r="G218" s="243">
        <v>0</v>
      </c>
      <c r="H218" s="243">
        <v>0</v>
      </c>
      <c r="I218" s="243">
        <v>0</v>
      </c>
      <c r="J218" s="243">
        <v>0</v>
      </c>
      <c r="K218" s="243">
        <v>0</v>
      </c>
      <c r="L218" s="243">
        <v>0</v>
      </c>
      <c r="M218" s="243">
        <v>0</v>
      </c>
      <c r="N218" s="243">
        <v>0</v>
      </c>
      <c r="O218" s="243">
        <v>0</v>
      </c>
      <c r="P218" s="243">
        <v>0</v>
      </c>
      <c r="Q218" s="243">
        <v>0</v>
      </c>
      <c r="R218" s="254">
        <f t="shared" si="128"/>
        <v>0</v>
      </c>
      <c r="U218" s="437"/>
      <c r="V218" s="252" t="s">
        <v>380</v>
      </c>
      <c r="W218" s="243">
        <v>0</v>
      </c>
      <c r="X218" s="243">
        <v>0</v>
      </c>
      <c r="Y218" s="243">
        <v>0</v>
      </c>
      <c r="Z218" s="243">
        <v>0</v>
      </c>
      <c r="AA218" s="243">
        <v>0</v>
      </c>
      <c r="AB218" s="243">
        <v>0</v>
      </c>
      <c r="AC218" s="243">
        <v>0</v>
      </c>
      <c r="AD218" s="243">
        <v>0</v>
      </c>
      <c r="AE218" s="243">
        <v>0</v>
      </c>
      <c r="AF218" s="243">
        <v>0</v>
      </c>
      <c r="AG218" s="243">
        <v>0</v>
      </c>
      <c r="AH218" s="243">
        <v>0</v>
      </c>
      <c r="AI218" s="243">
        <v>0</v>
      </c>
      <c r="AJ218" s="243">
        <v>0</v>
      </c>
      <c r="AK218" s="243">
        <v>0</v>
      </c>
      <c r="AL218" s="254">
        <f t="shared" si="129"/>
        <v>0</v>
      </c>
    </row>
    <row r="219" spans="1:38" ht="14.4" customHeight="1">
      <c r="A219" s="437"/>
      <c r="B219" s="247" t="s">
        <v>45</v>
      </c>
      <c r="C219" s="248">
        <f>SUM(C213:C218)</f>
        <v>0</v>
      </c>
      <c r="D219" s="248">
        <f t="shared" ref="D219:Q219" si="130">SUM(D213:D218)</f>
        <v>0</v>
      </c>
      <c r="E219" s="248">
        <f t="shared" si="130"/>
        <v>1161.2379027684142</v>
      </c>
      <c r="F219" s="248">
        <f t="shared" si="130"/>
        <v>0</v>
      </c>
      <c r="G219" s="248">
        <f t="shared" si="130"/>
        <v>0</v>
      </c>
      <c r="H219" s="248">
        <f t="shared" si="130"/>
        <v>0</v>
      </c>
      <c r="I219" s="248">
        <f t="shared" si="130"/>
        <v>1.464465645911516</v>
      </c>
      <c r="J219" s="248">
        <f t="shared" si="130"/>
        <v>0</v>
      </c>
      <c r="K219" s="248">
        <f t="shared" si="130"/>
        <v>0</v>
      </c>
      <c r="L219" s="248">
        <f t="shared" si="130"/>
        <v>0</v>
      </c>
      <c r="M219" s="248">
        <f t="shared" si="130"/>
        <v>0</v>
      </c>
      <c r="N219" s="248">
        <f t="shared" si="130"/>
        <v>21.243387464487675</v>
      </c>
      <c r="O219" s="248">
        <f t="shared" si="130"/>
        <v>1116.6280177654892</v>
      </c>
      <c r="P219" s="248">
        <f t="shared" si="130"/>
        <v>0</v>
      </c>
      <c r="Q219" s="248">
        <f t="shared" si="130"/>
        <v>0</v>
      </c>
      <c r="R219" s="248">
        <f t="shared" si="128"/>
        <v>2300.5737736443025</v>
      </c>
      <c r="U219" s="437"/>
      <c r="V219" s="247" t="s">
        <v>45</v>
      </c>
      <c r="W219" s="248">
        <f>SUM(W213:W218)</f>
        <v>0</v>
      </c>
      <c r="X219" s="248">
        <f t="shared" ref="X219:AK219" si="131">SUM(X213:X218)</f>
        <v>0</v>
      </c>
      <c r="Y219" s="248">
        <f t="shared" si="131"/>
        <v>634.32323364011597</v>
      </c>
      <c r="Z219" s="248">
        <f t="shared" si="131"/>
        <v>0</v>
      </c>
      <c r="AA219" s="248">
        <f t="shared" si="131"/>
        <v>0</v>
      </c>
      <c r="AB219" s="248">
        <f t="shared" si="131"/>
        <v>0</v>
      </c>
      <c r="AC219" s="248">
        <f t="shared" si="131"/>
        <v>7.5662229797210863</v>
      </c>
      <c r="AD219" s="248">
        <f t="shared" si="131"/>
        <v>0</v>
      </c>
      <c r="AE219" s="248">
        <f t="shared" si="131"/>
        <v>40.797506467741933</v>
      </c>
      <c r="AF219" s="248">
        <f t="shared" si="131"/>
        <v>0</v>
      </c>
      <c r="AG219" s="248">
        <f t="shared" si="131"/>
        <v>0</v>
      </c>
      <c r="AH219" s="248">
        <f t="shared" si="131"/>
        <v>30.007254200581627</v>
      </c>
      <c r="AI219" s="248">
        <f t="shared" si="131"/>
        <v>987.02346347211369</v>
      </c>
      <c r="AJ219" s="248">
        <f t="shared" si="131"/>
        <v>0</v>
      </c>
      <c r="AK219" s="248">
        <f t="shared" si="131"/>
        <v>0</v>
      </c>
      <c r="AL219" s="248">
        <f>SUM(W219:AK219)</f>
        <v>1699.7176807602743</v>
      </c>
    </row>
    <row r="220" spans="1:38" ht="14.4" customHeight="1">
      <c r="A220" s="437"/>
      <c r="B220" s="242" t="s">
        <v>46</v>
      </c>
      <c r="C220" s="243">
        <v>0</v>
      </c>
      <c r="D220" s="243">
        <v>0</v>
      </c>
      <c r="E220" s="243">
        <f>Industrie!$G$37</f>
        <v>97.489439262584</v>
      </c>
      <c r="F220" s="243">
        <v>0</v>
      </c>
      <c r="G220" s="243">
        <v>0</v>
      </c>
      <c r="H220" s="243">
        <v>0</v>
      </c>
      <c r="I220" s="243">
        <v>0</v>
      </c>
      <c r="J220" s="243">
        <v>0</v>
      </c>
      <c r="K220" s="243">
        <v>0</v>
      </c>
      <c r="L220" s="243">
        <v>0</v>
      </c>
      <c r="M220" s="243">
        <v>0</v>
      </c>
      <c r="N220" s="243">
        <v>0</v>
      </c>
      <c r="O220" s="243">
        <v>0</v>
      </c>
      <c r="P220" s="243">
        <v>0</v>
      </c>
      <c r="Q220" s="243">
        <v>0</v>
      </c>
      <c r="R220" s="254">
        <f t="shared" si="128"/>
        <v>97.489439262584</v>
      </c>
      <c r="U220" s="437"/>
      <c r="V220" s="242" t="s">
        <v>46</v>
      </c>
      <c r="W220" s="243">
        <v>0</v>
      </c>
      <c r="X220" s="243">
        <v>0</v>
      </c>
      <c r="Y220" s="243">
        <f>Industrie!$G$59</f>
        <v>97.489439262584</v>
      </c>
      <c r="Z220" s="243">
        <v>0</v>
      </c>
      <c r="AA220" s="243">
        <v>0</v>
      </c>
      <c r="AB220" s="243">
        <v>0</v>
      </c>
      <c r="AC220" s="243">
        <v>0</v>
      </c>
      <c r="AD220" s="243">
        <v>0</v>
      </c>
      <c r="AE220" s="243">
        <v>0</v>
      </c>
      <c r="AF220" s="243">
        <v>0</v>
      </c>
      <c r="AG220" s="243">
        <v>0</v>
      </c>
      <c r="AH220" s="243">
        <v>0</v>
      </c>
      <c r="AI220" s="243">
        <v>0</v>
      </c>
      <c r="AJ220" s="243">
        <v>0</v>
      </c>
      <c r="AK220" s="243">
        <v>0</v>
      </c>
      <c r="AL220" s="254">
        <f t="shared" si="129"/>
        <v>97.489439262584</v>
      </c>
    </row>
    <row r="221" spans="1:38" ht="14.4" customHeight="1">
      <c r="A221" s="437"/>
      <c r="B221" s="247" t="s">
        <v>47</v>
      </c>
      <c r="C221" s="248">
        <f>C220+C219</f>
        <v>0</v>
      </c>
      <c r="D221" s="248">
        <f t="shared" ref="D221:Q221" si="132">D220+D219</f>
        <v>0</v>
      </c>
      <c r="E221" s="248">
        <f t="shared" si="132"/>
        <v>1258.7273420309982</v>
      </c>
      <c r="F221" s="248">
        <f t="shared" si="132"/>
        <v>0</v>
      </c>
      <c r="G221" s="248">
        <f t="shared" si="132"/>
        <v>0</v>
      </c>
      <c r="H221" s="248">
        <f t="shared" si="132"/>
        <v>0</v>
      </c>
      <c r="I221" s="248">
        <f t="shared" si="132"/>
        <v>1.464465645911516</v>
      </c>
      <c r="J221" s="248">
        <f t="shared" si="132"/>
        <v>0</v>
      </c>
      <c r="K221" s="248">
        <f t="shared" si="132"/>
        <v>0</v>
      </c>
      <c r="L221" s="248">
        <f t="shared" si="132"/>
        <v>0</v>
      </c>
      <c r="M221" s="248">
        <f t="shared" si="132"/>
        <v>0</v>
      </c>
      <c r="N221" s="248">
        <f t="shared" si="132"/>
        <v>21.243387464487675</v>
      </c>
      <c r="O221" s="248">
        <f t="shared" si="132"/>
        <v>1116.6280177654892</v>
      </c>
      <c r="P221" s="248">
        <f t="shared" si="132"/>
        <v>0</v>
      </c>
      <c r="Q221" s="248">
        <f t="shared" si="132"/>
        <v>0</v>
      </c>
      <c r="R221" s="248">
        <f t="shared" si="128"/>
        <v>2398.0632129068863</v>
      </c>
      <c r="U221" s="437"/>
      <c r="V221" s="247" t="s">
        <v>47</v>
      </c>
      <c r="W221" s="248">
        <f>W220+W219</f>
        <v>0</v>
      </c>
      <c r="X221" s="248">
        <f t="shared" ref="X221:AK221" si="133">X220+X219</f>
        <v>0</v>
      </c>
      <c r="Y221" s="248">
        <f t="shared" si="133"/>
        <v>731.8126729027</v>
      </c>
      <c r="Z221" s="248">
        <f t="shared" si="133"/>
        <v>0</v>
      </c>
      <c r="AA221" s="248">
        <f t="shared" si="133"/>
        <v>0</v>
      </c>
      <c r="AB221" s="248">
        <f t="shared" si="133"/>
        <v>0</v>
      </c>
      <c r="AC221" s="248">
        <f t="shared" si="133"/>
        <v>7.5662229797210863</v>
      </c>
      <c r="AD221" s="248">
        <f t="shared" si="133"/>
        <v>0</v>
      </c>
      <c r="AE221" s="248">
        <f t="shared" si="133"/>
        <v>40.797506467741933</v>
      </c>
      <c r="AF221" s="248">
        <f t="shared" si="133"/>
        <v>0</v>
      </c>
      <c r="AG221" s="248">
        <f t="shared" si="133"/>
        <v>0</v>
      </c>
      <c r="AH221" s="248">
        <f t="shared" si="133"/>
        <v>30.007254200581627</v>
      </c>
      <c r="AI221" s="248">
        <f t="shared" si="133"/>
        <v>987.02346347211369</v>
      </c>
      <c r="AJ221" s="248">
        <f t="shared" si="133"/>
        <v>0</v>
      </c>
      <c r="AK221" s="248">
        <f t="shared" si="133"/>
        <v>0</v>
      </c>
      <c r="AL221" s="248">
        <f t="shared" si="129"/>
        <v>1797.2071200228584</v>
      </c>
    </row>
    <row r="230" spans="1:38" ht="14.4" customHeight="1">
      <c r="A230" s="437">
        <v>2045</v>
      </c>
      <c r="B230" s="441" t="s">
        <v>12</v>
      </c>
      <c r="C230" s="440" t="s">
        <v>14</v>
      </c>
      <c r="D230" s="440" t="s">
        <v>15</v>
      </c>
      <c r="E230" s="440" t="s">
        <v>16</v>
      </c>
      <c r="F230" s="440" t="s">
        <v>17</v>
      </c>
      <c r="G230" s="440" t="s">
        <v>365</v>
      </c>
      <c r="H230" s="440" t="s">
        <v>18</v>
      </c>
      <c r="I230" s="440" t="s">
        <v>19</v>
      </c>
      <c r="J230" s="440"/>
      <c r="K230" s="440"/>
      <c r="L230" s="440"/>
      <c r="M230" s="440"/>
      <c r="N230" s="440"/>
      <c r="O230" s="432" t="s">
        <v>366</v>
      </c>
      <c r="P230" s="432" t="s">
        <v>21</v>
      </c>
      <c r="Q230" s="432" t="s">
        <v>367</v>
      </c>
      <c r="R230" s="432" t="s">
        <v>23</v>
      </c>
      <c r="U230" s="437">
        <v>2045</v>
      </c>
      <c r="V230" s="438" t="s">
        <v>12</v>
      </c>
      <c r="W230" s="432" t="s">
        <v>14</v>
      </c>
      <c r="X230" s="432" t="s">
        <v>15</v>
      </c>
      <c r="Y230" s="432" t="s">
        <v>16</v>
      </c>
      <c r="Z230" s="432" t="s">
        <v>17</v>
      </c>
      <c r="AA230" s="432" t="s">
        <v>365</v>
      </c>
      <c r="AB230" s="432" t="s">
        <v>18</v>
      </c>
      <c r="AC230" s="434" t="s">
        <v>19</v>
      </c>
      <c r="AD230" s="435"/>
      <c r="AE230" s="435"/>
      <c r="AF230" s="435"/>
      <c r="AG230" s="435"/>
      <c r="AH230" s="436"/>
      <c r="AI230" s="432" t="s">
        <v>366</v>
      </c>
      <c r="AJ230" s="432" t="s">
        <v>21</v>
      </c>
      <c r="AK230" s="432" t="s">
        <v>367</v>
      </c>
      <c r="AL230" s="432" t="s">
        <v>23</v>
      </c>
    </row>
    <row r="231" spans="1:38" ht="45.6">
      <c r="A231" s="437"/>
      <c r="B231" s="441"/>
      <c r="C231" s="440"/>
      <c r="D231" s="440"/>
      <c r="E231" s="440"/>
      <c r="F231" s="440"/>
      <c r="G231" s="440"/>
      <c r="H231" s="440"/>
      <c r="I231" s="240" t="s">
        <v>354</v>
      </c>
      <c r="J231" s="240" t="s">
        <v>7</v>
      </c>
      <c r="K231" s="240" t="s">
        <v>355</v>
      </c>
      <c r="L231" s="240" t="s">
        <v>368</v>
      </c>
      <c r="M231" s="241" t="s">
        <v>369</v>
      </c>
      <c r="N231" s="240" t="s">
        <v>370</v>
      </c>
      <c r="O231" s="432"/>
      <c r="P231" s="432"/>
      <c r="Q231" s="432"/>
      <c r="R231" s="432"/>
      <c r="U231" s="437"/>
      <c r="V231" s="439"/>
      <c r="W231" s="433"/>
      <c r="X231" s="433"/>
      <c r="Y231" s="433"/>
      <c r="Z231" s="433"/>
      <c r="AA231" s="433"/>
      <c r="AB231" s="433"/>
      <c r="AC231" s="240" t="s">
        <v>354</v>
      </c>
      <c r="AD231" s="240" t="s">
        <v>7</v>
      </c>
      <c r="AE231" s="240" t="s">
        <v>355</v>
      </c>
      <c r="AF231" s="240" t="s">
        <v>368</v>
      </c>
      <c r="AG231" s="241" t="s">
        <v>369</v>
      </c>
      <c r="AH231" s="240" t="s">
        <v>370</v>
      </c>
      <c r="AI231" s="433"/>
      <c r="AJ231" s="433"/>
      <c r="AK231" s="433"/>
      <c r="AL231" s="432"/>
    </row>
    <row r="232" spans="1:38" ht="14.4" customHeight="1">
      <c r="A232" s="437"/>
      <c r="B232" s="242" t="s">
        <v>24</v>
      </c>
      <c r="C232" s="243">
        <v>0</v>
      </c>
      <c r="D232" s="244">
        <v>0</v>
      </c>
      <c r="E232" s="244">
        <v>0</v>
      </c>
      <c r="F232" s="243">
        <v>0</v>
      </c>
      <c r="G232" s="244">
        <v>0</v>
      </c>
      <c r="H232" s="244">
        <f>H238</f>
        <v>696.31024116823323</v>
      </c>
      <c r="I232" s="244">
        <f>IF((I238-$I$27)&gt;0,$I$27+(I238-$I$27)*0.5,I238)</f>
        <v>278.86852573444173</v>
      </c>
      <c r="J232" s="244">
        <v>0</v>
      </c>
      <c r="K232" s="244">
        <f>IF((K238-$K$27)&gt;0,$K$27+(K238-$K$27)*0.5,K238)</f>
        <v>585.42935069113162</v>
      </c>
      <c r="L232" s="244">
        <f>L238</f>
        <v>18.637366632798134</v>
      </c>
      <c r="M232" s="244">
        <v>0</v>
      </c>
      <c r="N232" s="244">
        <f>N238</f>
        <v>22.577470384042485</v>
      </c>
      <c r="O232" s="245">
        <v>0</v>
      </c>
      <c r="P232" s="244">
        <v>0</v>
      </c>
      <c r="Q232" s="244">
        <v>0</v>
      </c>
      <c r="R232" s="246">
        <f>SUM(C232:Q232)</f>
        <v>1601.8229546106472</v>
      </c>
      <c r="U232" s="437"/>
      <c r="V232" s="242" t="s">
        <v>24</v>
      </c>
      <c r="W232" s="243">
        <v>0</v>
      </c>
      <c r="X232" s="244">
        <v>0</v>
      </c>
      <c r="Y232" s="244">
        <v>0</v>
      </c>
      <c r="Z232" s="243">
        <v>0</v>
      </c>
      <c r="AA232" s="244">
        <v>0</v>
      </c>
      <c r="AB232" s="244">
        <f>AB238</f>
        <v>688.38551911821253</v>
      </c>
      <c r="AC232" s="244">
        <f>IF((AC238-AC27)&gt;0,AC27+(AC238-AC27)*0.5,AC238)</f>
        <v>364.64866729866515</v>
      </c>
      <c r="AD232" s="244">
        <v>0</v>
      </c>
      <c r="AE232" s="244">
        <f>IF((AE238-AE27)&gt;0,AE27+(AE238-AE27)*0.5,AE238)</f>
        <v>396.66760350484378</v>
      </c>
      <c r="AF232" s="244">
        <f>AF238</f>
        <v>16.395373921656088</v>
      </c>
      <c r="AG232" s="244">
        <v>0</v>
      </c>
      <c r="AH232" s="244">
        <f>AH238</f>
        <v>29.829996062885535</v>
      </c>
      <c r="AI232" s="245">
        <v>0</v>
      </c>
      <c r="AJ232" s="244">
        <v>0</v>
      </c>
      <c r="AK232" s="244">
        <v>0</v>
      </c>
      <c r="AL232" s="246">
        <f>SUM(W232:AK232)</f>
        <v>1495.9271599062631</v>
      </c>
    </row>
    <row r="233" spans="1:38" ht="14.4" customHeight="1">
      <c r="A233" s="437"/>
      <c r="B233" s="242" t="s">
        <v>28</v>
      </c>
      <c r="C233" s="243">
        <f>C238</f>
        <v>0</v>
      </c>
      <c r="D233" s="244">
        <f>D238</f>
        <v>0</v>
      </c>
      <c r="E233" s="244">
        <f>E238</f>
        <v>1291.483466233422</v>
      </c>
      <c r="F233" s="243">
        <v>0</v>
      </c>
      <c r="G233" s="244">
        <v>0</v>
      </c>
      <c r="H233" s="244">
        <v>0</v>
      </c>
      <c r="I233" s="244">
        <f>IF((I238-$I$27)&gt;0,(I238-$I$27)*0.5,0)</f>
        <v>177.25171994644177</v>
      </c>
      <c r="J233" s="244">
        <v>0</v>
      </c>
      <c r="K233" s="244">
        <f>IF((K238-$K$27)&gt;0,(K238-$K$27)*0.5,0)</f>
        <v>585.42935069113162</v>
      </c>
      <c r="L233" s="244">
        <v>0</v>
      </c>
      <c r="M233" s="244">
        <v>0</v>
      </c>
      <c r="N233" s="244">
        <v>0</v>
      </c>
      <c r="O233" s="245">
        <v>0</v>
      </c>
      <c r="P233" s="244">
        <v>0</v>
      </c>
      <c r="Q233" s="244">
        <v>0</v>
      </c>
      <c r="R233" s="246">
        <f t="shared" ref="R233:R238" si="134">SUM(C233:Q233)</f>
        <v>2054.1645368709956</v>
      </c>
      <c r="U233" s="437"/>
      <c r="V233" s="242" t="s">
        <v>28</v>
      </c>
      <c r="W233" s="243">
        <f>W238</f>
        <v>0</v>
      </c>
      <c r="X233" s="244">
        <f>X238</f>
        <v>0</v>
      </c>
      <c r="Y233" s="244">
        <f>Y238</f>
        <v>498.2369161061481</v>
      </c>
      <c r="Z233" s="243">
        <v>0</v>
      </c>
      <c r="AA233" s="244">
        <v>0</v>
      </c>
      <c r="AB233" s="244">
        <v>0</v>
      </c>
      <c r="AC233" s="244">
        <f>IF((AC238-AC27)&gt;0,(AC238-AC27)*0.5,0)</f>
        <v>263.03186151066518</v>
      </c>
      <c r="AD233" s="244">
        <v>0</v>
      </c>
      <c r="AE233" s="244">
        <f>IF((AE238-AE27)&gt;0,(AE238-AE27)*0.5,0)</f>
        <v>396.66760350484378</v>
      </c>
      <c r="AF233" s="244">
        <v>0</v>
      </c>
      <c r="AG233" s="244">
        <v>0</v>
      </c>
      <c r="AH233" s="244">
        <v>0</v>
      </c>
      <c r="AI233" s="245">
        <v>0</v>
      </c>
      <c r="AJ233" s="244">
        <v>0</v>
      </c>
      <c r="AK233" s="244">
        <v>0</v>
      </c>
      <c r="AL233" s="246">
        <f t="shared" ref="AL233:AL238" si="135">SUM(W233:AK233)</f>
        <v>1157.9363811216572</v>
      </c>
    </row>
    <row r="234" spans="1:38" ht="14.4" customHeight="1">
      <c r="A234" s="437"/>
      <c r="B234" s="242" t="s">
        <v>29</v>
      </c>
      <c r="C234" s="243">
        <v>0</v>
      </c>
      <c r="D234" s="244">
        <v>0</v>
      </c>
      <c r="E234" s="244">
        <v>0</v>
      </c>
      <c r="F234" s="243">
        <v>0</v>
      </c>
      <c r="G234" s="244">
        <v>0</v>
      </c>
      <c r="H234" s="244">
        <v>0</v>
      </c>
      <c r="I234" s="244">
        <v>0</v>
      </c>
      <c r="J234" s="244">
        <v>0</v>
      </c>
      <c r="K234" s="244">
        <v>0</v>
      </c>
      <c r="L234" s="244">
        <v>0</v>
      </c>
      <c r="M234" s="244">
        <v>0</v>
      </c>
      <c r="N234" s="244">
        <v>0</v>
      </c>
      <c r="O234" s="245">
        <v>0</v>
      </c>
      <c r="P234" s="244">
        <v>0</v>
      </c>
      <c r="Q234" s="244">
        <v>0</v>
      </c>
      <c r="R234" s="246">
        <f t="shared" si="134"/>
        <v>0</v>
      </c>
      <c r="U234" s="437"/>
      <c r="V234" s="242" t="s">
        <v>29</v>
      </c>
      <c r="W234" s="243">
        <v>0</v>
      </c>
      <c r="X234" s="244">
        <v>0</v>
      </c>
      <c r="Y234" s="244">
        <v>0</v>
      </c>
      <c r="Z234" s="243">
        <v>0</v>
      </c>
      <c r="AA234" s="244">
        <v>0</v>
      </c>
      <c r="AB234" s="244">
        <v>0</v>
      </c>
      <c r="AC234" s="244">
        <v>0</v>
      </c>
      <c r="AD234" s="244">
        <v>0</v>
      </c>
      <c r="AE234" s="244">
        <v>0</v>
      </c>
      <c r="AF234" s="244">
        <v>0</v>
      </c>
      <c r="AG234" s="244">
        <v>0</v>
      </c>
      <c r="AH234" s="244">
        <v>0</v>
      </c>
      <c r="AI234" s="245">
        <v>0</v>
      </c>
      <c r="AJ234" s="244">
        <v>0</v>
      </c>
      <c r="AK234" s="244">
        <v>0</v>
      </c>
      <c r="AL234" s="246">
        <f t="shared" si="135"/>
        <v>0</v>
      </c>
    </row>
    <row r="235" spans="1:38" ht="14.4" customHeight="1">
      <c r="A235" s="437"/>
      <c r="B235" s="242" t="s">
        <v>30</v>
      </c>
      <c r="C235" s="243">
        <v>0</v>
      </c>
      <c r="D235" s="244">
        <v>0</v>
      </c>
      <c r="E235" s="244">
        <v>0</v>
      </c>
      <c r="F235" s="243">
        <v>0</v>
      </c>
      <c r="G235" s="244">
        <v>0</v>
      </c>
      <c r="H235" s="244">
        <v>0</v>
      </c>
      <c r="I235" s="244">
        <v>0</v>
      </c>
      <c r="J235" s="244">
        <v>0</v>
      </c>
      <c r="K235" s="244">
        <v>0</v>
      </c>
      <c r="L235" s="244">
        <v>0</v>
      </c>
      <c r="M235" s="244">
        <v>0</v>
      </c>
      <c r="N235" s="244">
        <v>0</v>
      </c>
      <c r="O235" s="245">
        <v>0</v>
      </c>
      <c r="P235" s="244">
        <v>0</v>
      </c>
      <c r="Q235" s="244">
        <v>0</v>
      </c>
      <c r="R235" s="246">
        <f t="shared" si="134"/>
        <v>0</v>
      </c>
      <c r="U235" s="437"/>
      <c r="V235" s="242" t="s">
        <v>30</v>
      </c>
      <c r="W235" s="243">
        <v>0</v>
      </c>
      <c r="X235" s="244">
        <v>0</v>
      </c>
      <c r="Y235" s="244">
        <v>0</v>
      </c>
      <c r="Z235" s="243">
        <v>0</v>
      </c>
      <c r="AA235" s="244">
        <v>0</v>
      </c>
      <c r="AB235" s="244">
        <v>0</v>
      </c>
      <c r="AC235" s="244">
        <v>0</v>
      </c>
      <c r="AD235" s="244">
        <v>0</v>
      </c>
      <c r="AE235" s="244">
        <v>0</v>
      </c>
      <c r="AF235" s="244">
        <v>0</v>
      </c>
      <c r="AG235" s="244">
        <v>0</v>
      </c>
      <c r="AH235" s="244">
        <v>0</v>
      </c>
      <c r="AI235" s="245">
        <v>0</v>
      </c>
      <c r="AJ235" s="244">
        <v>0</v>
      </c>
      <c r="AK235" s="244">
        <v>0</v>
      </c>
      <c r="AL235" s="246">
        <f t="shared" si="135"/>
        <v>0</v>
      </c>
    </row>
    <row r="236" spans="1:38" ht="14.4" customHeight="1">
      <c r="A236" s="437"/>
      <c r="B236" s="242" t="s">
        <v>31</v>
      </c>
      <c r="C236" s="243">
        <v>0</v>
      </c>
      <c r="D236" s="244">
        <v>0</v>
      </c>
      <c r="E236" s="244">
        <v>0</v>
      </c>
      <c r="F236" s="243">
        <v>0</v>
      </c>
      <c r="G236" s="244">
        <v>0</v>
      </c>
      <c r="H236" s="244">
        <v>0</v>
      </c>
      <c r="I236" s="244">
        <v>0</v>
      </c>
      <c r="J236" s="244">
        <v>0</v>
      </c>
      <c r="K236" s="244">
        <v>0</v>
      </c>
      <c r="L236" s="244">
        <v>0</v>
      </c>
      <c r="M236" s="244">
        <v>0</v>
      </c>
      <c r="N236" s="244">
        <v>0</v>
      </c>
      <c r="O236" s="245">
        <v>0</v>
      </c>
      <c r="P236" s="244">
        <v>0</v>
      </c>
      <c r="Q236" s="244">
        <v>0</v>
      </c>
      <c r="R236" s="246">
        <f t="shared" si="134"/>
        <v>0</v>
      </c>
      <c r="U236" s="437"/>
      <c r="V236" s="242" t="s">
        <v>31</v>
      </c>
      <c r="W236" s="243">
        <v>0</v>
      </c>
      <c r="X236" s="244">
        <v>0</v>
      </c>
      <c r="Y236" s="244">
        <v>0</v>
      </c>
      <c r="Z236" s="243">
        <v>0</v>
      </c>
      <c r="AA236" s="244">
        <v>0</v>
      </c>
      <c r="AB236" s="244">
        <v>0</v>
      </c>
      <c r="AC236" s="244">
        <v>0</v>
      </c>
      <c r="AD236" s="244">
        <v>0</v>
      </c>
      <c r="AE236" s="244">
        <v>0</v>
      </c>
      <c r="AF236" s="244">
        <v>0</v>
      </c>
      <c r="AG236" s="244">
        <v>0</v>
      </c>
      <c r="AH236" s="244">
        <v>0</v>
      </c>
      <c r="AI236" s="245">
        <v>0</v>
      </c>
      <c r="AJ236" s="244">
        <v>0</v>
      </c>
      <c r="AK236" s="244">
        <v>0</v>
      </c>
      <c r="AL236" s="246">
        <f t="shared" si="135"/>
        <v>0</v>
      </c>
    </row>
    <row r="237" spans="1:38" ht="14.4" customHeight="1">
      <c r="A237" s="437"/>
      <c r="B237" s="242" t="s">
        <v>32</v>
      </c>
      <c r="C237" s="243">
        <v>0</v>
      </c>
      <c r="D237" s="244">
        <v>0</v>
      </c>
      <c r="E237" s="244">
        <v>0</v>
      </c>
      <c r="F237" s="243">
        <v>0</v>
      </c>
      <c r="G237" s="244">
        <v>0</v>
      </c>
      <c r="H237" s="244">
        <v>0</v>
      </c>
      <c r="I237" s="244">
        <v>0</v>
      </c>
      <c r="J237" s="244">
        <v>0</v>
      </c>
      <c r="K237" s="244">
        <v>0</v>
      </c>
      <c r="L237" s="244">
        <v>0</v>
      </c>
      <c r="M237" s="244">
        <v>0</v>
      </c>
      <c r="N237" s="244">
        <v>0</v>
      </c>
      <c r="O237" s="245">
        <v>0</v>
      </c>
      <c r="P237" s="244">
        <v>0</v>
      </c>
      <c r="Q237" s="244">
        <v>0</v>
      </c>
      <c r="R237" s="246">
        <f t="shared" si="134"/>
        <v>0</v>
      </c>
      <c r="U237" s="437"/>
      <c r="V237" s="242" t="s">
        <v>32</v>
      </c>
      <c r="W237" s="243">
        <v>0</v>
      </c>
      <c r="X237" s="244">
        <v>0</v>
      </c>
      <c r="Y237" s="244">
        <v>0</v>
      </c>
      <c r="Z237" s="243">
        <v>0</v>
      </c>
      <c r="AA237" s="244">
        <v>0</v>
      </c>
      <c r="AB237" s="244">
        <v>0</v>
      </c>
      <c r="AC237" s="244">
        <v>0</v>
      </c>
      <c r="AD237" s="244">
        <v>0</v>
      </c>
      <c r="AE237" s="244">
        <v>0</v>
      </c>
      <c r="AF237" s="244">
        <v>0</v>
      </c>
      <c r="AG237" s="244">
        <v>0</v>
      </c>
      <c r="AH237" s="244">
        <v>0</v>
      </c>
      <c r="AI237" s="245">
        <v>0</v>
      </c>
      <c r="AJ237" s="244">
        <v>0</v>
      </c>
      <c r="AK237" s="244">
        <v>0</v>
      </c>
      <c r="AL237" s="246">
        <f t="shared" si="135"/>
        <v>0</v>
      </c>
    </row>
    <row r="238" spans="1:38" ht="14.4" customHeight="1">
      <c r="A238" s="437"/>
      <c r="B238" s="247" t="s">
        <v>371</v>
      </c>
      <c r="C238" s="248">
        <f>C262+C260</f>
        <v>0</v>
      </c>
      <c r="D238" s="248">
        <f>D252+D262</f>
        <v>0</v>
      </c>
      <c r="E238" s="248">
        <f>E252+E262</f>
        <v>1291.483466233422</v>
      </c>
      <c r="F238" s="248">
        <f t="shared" ref="F238:G238" si="136">SUM(F232:F237)</f>
        <v>0</v>
      </c>
      <c r="G238" s="248">
        <f t="shared" si="136"/>
        <v>0</v>
      </c>
      <c r="H238" s="248">
        <f>H252</f>
        <v>696.31024116823323</v>
      </c>
      <c r="I238" s="248">
        <f>I252+I260</f>
        <v>456.12024568088356</v>
      </c>
      <c r="J238" s="248">
        <f t="shared" ref="J238" si="137">SUM(J232:J237)</f>
        <v>0</v>
      </c>
      <c r="K238" s="248">
        <f>K252+K262</f>
        <v>1170.8587013822632</v>
      </c>
      <c r="L238" s="248">
        <f>L252+L262</f>
        <v>18.637366632798134</v>
      </c>
      <c r="M238" s="248">
        <f t="shared" ref="M238" si="138">SUM(M232:M237)</f>
        <v>0</v>
      </c>
      <c r="N238" s="248">
        <f>N252+N262</f>
        <v>22.577470384042485</v>
      </c>
      <c r="O238" s="248">
        <f t="shared" ref="O238:Q238" si="139">SUM(O232:O237)</f>
        <v>0</v>
      </c>
      <c r="P238" s="248">
        <f t="shared" si="139"/>
        <v>0</v>
      </c>
      <c r="Q238" s="248">
        <f t="shared" si="139"/>
        <v>0</v>
      </c>
      <c r="R238" s="248">
        <f t="shared" si="134"/>
        <v>3655.9874914816428</v>
      </c>
      <c r="U238" s="437"/>
      <c r="V238" s="247" t="s">
        <v>371</v>
      </c>
      <c r="W238" s="248">
        <f>W262+W260</f>
        <v>0</v>
      </c>
      <c r="X238" s="248">
        <f>X252+X262</f>
        <v>0</v>
      </c>
      <c r="Y238" s="248">
        <f>Y252+Y262</f>
        <v>498.2369161061481</v>
      </c>
      <c r="Z238" s="248">
        <f t="shared" ref="Z238:AA238" si="140">SUM(Z232:Z237)</f>
        <v>0</v>
      </c>
      <c r="AA238" s="248">
        <f t="shared" si="140"/>
        <v>0</v>
      </c>
      <c r="AB238" s="248">
        <f>AB252</f>
        <v>688.38551911821253</v>
      </c>
      <c r="AC238" s="248">
        <f>AC252+AC260</f>
        <v>627.68052880933033</v>
      </c>
      <c r="AD238" s="248">
        <f t="shared" ref="AD238" si="141">SUM(AD232:AD237)</f>
        <v>0</v>
      </c>
      <c r="AE238" s="248">
        <f>AE252+AE262</f>
        <v>793.33520700968757</v>
      </c>
      <c r="AF238" s="248">
        <f>AF252+AF262</f>
        <v>16.395373921656088</v>
      </c>
      <c r="AG238" s="248">
        <f t="shared" ref="AG238" si="142">SUM(AG232:AG237)</f>
        <v>0</v>
      </c>
      <c r="AH238" s="248">
        <f>AH252+AH262</f>
        <v>29.829996062885535</v>
      </c>
      <c r="AI238" s="248">
        <f t="shared" ref="AI238:AK238" si="143">SUM(AI232:AI237)</f>
        <v>0</v>
      </c>
      <c r="AJ238" s="248">
        <f t="shared" si="143"/>
        <v>0</v>
      </c>
      <c r="AK238" s="248">
        <f t="shared" si="143"/>
        <v>0</v>
      </c>
      <c r="AL238" s="248">
        <f t="shared" si="135"/>
        <v>2653.8635410279207</v>
      </c>
    </row>
    <row r="239" spans="1:38" ht="14.4" customHeight="1">
      <c r="A239" s="437"/>
      <c r="B239" s="249"/>
      <c r="C239" s="250"/>
      <c r="D239" s="219"/>
      <c r="E239" s="251"/>
      <c r="F239" s="250"/>
      <c r="G239" s="250"/>
      <c r="H239" s="250"/>
      <c r="I239" s="250"/>
      <c r="J239" s="250"/>
      <c r="K239" s="250"/>
      <c r="L239" s="250"/>
      <c r="M239" s="250"/>
      <c r="N239" s="250"/>
      <c r="O239" s="259"/>
      <c r="P239" s="250"/>
      <c r="Q239" s="250"/>
      <c r="R239" s="250"/>
      <c r="U239" s="437"/>
      <c r="V239" s="249"/>
      <c r="W239" s="250"/>
      <c r="X239" s="219"/>
      <c r="Y239" s="251"/>
      <c r="Z239" s="250"/>
      <c r="AA239" s="250"/>
      <c r="AB239" s="250"/>
      <c r="AC239" s="250"/>
      <c r="AD239" s="250"/>
      <c r="AE239" s="250"/>
      <c r="AF239" s="250"/>
      <c r="AG239" s="250"/>
      <c r="AH239" s="250"/>
      <c r="AI239" s="259"/>
      <c r="AJ239" s="250"/>
      <c r="AK239" s="250"/>
      <c r="AL239" s="250"/>
    </row>
    <row r="240" spans="1:38" ht="14.4" customHeight="1">
      <c r="A240" s="437"/>
      <c r="B240" s="252" t="s">
        <v>372</v>
      </c>
      <c r="C240" s="243">
        <v>0</v>
      </c>
      <c r="D240" s="253">
        <v>0</v>
      </c>
      <c r="E240" s="253">
        <v>0</v>
      </c>
      <c r="F240" s="243">
        <v>0</v>
      </c>
      <c r="G240" s="243">
        <v>0</v>
      </c>
      <c r="H240" s="243">
        <v>0</v>
      </c>
      <c r="I240" s="243">
        <v>0</v>
      </c>
      <c r="J240" s="243">
        <v>0</v>
      </c>
      <c r="K240" s="243">
        <v>0</v>
      </c>
      <c r="L240" s="243">
        <v>0</v>
      </c>
      <c r="M240" s="243">
        <v>0</v>
      </c>
      <c r="N240" s="243">
        <v>0</v>
      </c>
      <c r="O240" s="243">
        <v>0</v>
      </c>
      <c r="P240" s="243">
        <v>0</v>
      </c>
      <c r="Q240" s="243">
        <v>0</v>
      </c>
      <c r="R240" s="254">
        <f>SUM(C240:Q240)</f>
        <v>0</v>
      </c>
      <c r="U240" s="437"/>
      <c r="V240" s="252" t="s">
        <v>372</v>
      </c>
      <c r="W240" s="243">
        <v>0</v>
      </c>
      <c r="X240" s="253">
        <v>0</v>
      </c>
      <c r="Y240" s="253">
        <v>0</v>
      </c>
      <c r="Z240" s="243">
        <v>0</v>
      </c>
      <c r="AA240" s="243">
        <v>0</v>
      </c>
      <c r="AB240" s="243">
        <v>0</v>
      </c>
      <c r="AC240" s="243">
        <v>0</v>
      </c>
      <c r="AD240" s="243">
        <v>0</v>
      </c>
      <c r="AE240" s="243">
        <v>0</v>
      </c>
      <c r="AF240" s="243">
        <v>0</v>
      </c>
      <c r="AG240" s="243">
        <v>0</v>
      </c>
      <c r="AH240" s="243">
        <v>0</v>
      </c>
      <c r="AI240" s="243">
        <v>0</v>
      </c>
      <c r="AJ240" s="243">
        <v>0</v>
      </c>
      <c r="AK240" s="243">
        <v>0</v>
      </c>
      <c r="AL240" s="254">
        <f>SUM(W240:AK240)</f>
        <v>0</v>
      </c>
    </row>
    <row r="241" spans="1:38" ht="14.4" customHeight="1">
      <c r="A241" s="437"/>
      <c r="B241" s="252" t="s">
        <v>373</v>
      </c>
      <c r="C241" s="243">
        <f>$O$241*'Prod Energie'!$H$32/(-$J$13)</f>
        <v>0</v>
      </c>
      <c r="D241" s="243">
        <v>0</v>
      </c>
      <c r="E241" s="243">
        <f>O241*'Prod Energie'!$H$33/(-$K$13)</f>
        <v>62.97051559566863</v>
      </c>
      <c r="F241" s="243">
        <v>0</v>
      </c>
      <c r="G241" s="243">
        <v>0</v>
      </c>
      <c r="H241" s="243">
        <f>(O241)*('Prod Energie'!$H$34+'Prod Energie'!$H$39+'Prod Energie'!$H$40)/(-$L$13)</f>
        <v>696.31024116823323</v>
      </c>
      <c r="I241" s="255">
        <f>(O241)*('Prod Energie'!$H$38)/(-$M$13)</f>
        <v>454.52043635449542</v>
      </c>
      <c r="J241" s="255">
        <f>(O241)*$L$17*('Prod Energie'!$H$36)</f>
        <v>0</v>
      </c>
      <c r="K241" s="255">
        <f>(O241)*('Prod Energie'!$H$37)/(-O13)</f>
        <v>1170.8587013822632</v>
      </c>
      <c r="L241" s="255">
        <f>(O241)*('Prod Energie'!$H$41)/(-P13)</f>
        <v>18.637366632798134</v>
      </c>
      <c r="M241" s="255">
        <v>0</v>
      </c>
      <c r="N241" s="255">
        <f>(O241)*'Prod Energie'!H35/(-$Q$13)</f>
        <v>0</v>
      </c>
      <c r="O241" s="243">
        <f>O252/(1+$F$17+$F$18)</f>
        <v>-1385.3513431047097</v>
      </c>
      <c r="P241" s="243">
        <v>0</v>
      </c>
      <c r="Q241" s="243">
        <v>0</v>
      </c>
      <c r="R241" s="254">
        <f t="shared" ref="R241:R252" si="144">SUM(C241:Q241)</f>
        <v>1017.9459180287492</v>
      </c>
      <c r="U241" s="437"/>
      <c r="V241" s="252" t="s">
        <v>373</v>
      </c>
      <c r="W241" s="243">
        <f>$AI$241*'Prod Energie'!$H$53/(-$J$13)</f>
        <v>0</v>
      </c>
      <c r="X241" s="243">
        <v>0</v>
      </c>
      <c r="Y241" s="243">
        <f>AI241*'Prod Energie'!$H$54/(-$K$13)</f>
        <v>0</v>
      </c>
      <c r="Z241" s="243">
        <v>0</v>
      </c>
      <c r="AA241" s="243">
        <v>0</v>
      </c>
      <c r="AB241" s="243">
        <f>(AI241)*('Prod Energie'!$H$55+'Prod Energie'!$H$60+'Prod Energie'!$H$61)/(-$L$13)</f>
        <v>688.38551911821253</v>
      </c>
      <c r="AC241" s="255">
        <f>(AI241)*'Prod Energie'!$H$59/(-$M$13)</f>
        <v>618.69291595181937</v>
      </c>
      <c r="AD241" s="255">
        <f>(AI241)*('Prod Energie'!$H$57)/(-$N$13)</f>
        <v>0</v>
      </c>
      <c r="AE241" s="255">
        <f>(AI241)*('Prod Energie'!$H$58)/(-$O$13)</f>
        <v>742.82400852581657</v>
      </c>
      <c r="AF241" s="255">
        <f>(AI241)*('Prod Energie'!$H$62)/(-$P$13)</f>
        <v>16.395373921656088</v>
      </c>
      <c r="AG241" s="255">
        <v>0</v>
      </c>
      <c r="AH241" s="255">
        <f>(AI241)*('Prod Energie'!$H$56)/(-$Q$13)</f>
        <v>0</v>
      </c>
      <c r="AI241" s="243">
        <f>AI252/(1+$F$17+$F$18)</f>
        <v>-1242.8295132622607</v>
      </c>
      <c r="AJ241" s="243">
        <v>0</v>
      </c>
      <c r="AK241" s="243">
        <v>0</v>
      </c>
      <c r="AL241" s="254">
        <f t="shared" ref="AL241:AL251" si="145">SUM(W241:AK241)</f>
        <v>823.46830425524422</v>
      </c>
    </row>
    <row r="242" spans="1:38" ht="14.4" customHeight="1">
      <c r="A242" s="437"/>
      <c r="B242" s="252" t="s">
        <v>374</v>
      </c>
      <c r="C242" s="243">
        <v>0</v>
      </c>
      <c r="D242" s="243">
        <v>0</v>
      </c>
      <c r="E242" s="243">
        <v>0</v>
      </c>
      <c r="F242" s="243">
        <v>0</v>
      </c>
      <c r="G242" s="243">
        <v>0</v>
      </c>
      <c r="H242" s="243">
        <v>0</v>
      </c>
      <c r="I242" s="255">
        <f>$P$242*$L$18*V$17</f>
        <v>0</v>
      </c>
      <c r="J242" s="255">
        <f t="shared" ref="J242:N242" si="146">$P$242*$L$18*W$17</f>
        <v>0</v>
      </c>
      <c r="K242" s="255">
        <f t="shared" si="146"/>
        <v>0</v>
      </c>
      <c r="L242" s="255">
        <f t="shared" si="146"/>
        <v>0</v>
      </c>
      <c r="M242" s="255">
        <f t="shared" si="146"/>
        <v>0</v>
      </c>
      <c r="N242" s="255">
        <f t="shared" si="146"/>
        <v>0</v>
      </c>
      <c r="O242" s="243">
        <v>0</v>
      </c>
      <c r="P242" s="243">
        <f>P252/(1+$R$18)</f>
        <v>0</v>
      </c>
      <c r="Q242" s="243">
        <v>0</v>
      </c>
      <c r="R242" s="254">
        <f t="shared" si="144"/>
        <v>0</v>
      </c>
      <c r="U242" s="437"/>
      <c r="V242" s="252" t="s">
        <v>374</v>
      </c>
      <c r="W242" s="243">
        <v>0</v>
      </c>
      <c r="X242" s="243">
        <v>0</v>
      </c>
      <c r="Y242" s="243">
        <v>0</v>
      </c>
      <c r="Z242" s="243">
        <v>0</v>
      </c>
      <c r="AA242" s="243">
        <v>0</v>
      </c>
      <c r="AB242" s="243">
        <v>0</v>
      </c>
      <c r="AC242" s="255">
        <f>$AJ$242*$L$18*V$17</f>
        <v>0</v>
      </c>
      <c r="AD242" s="255">
        <f t="shared" ref="AD242:AH242" si="147">$AJ$242*$L$18*W$17</f>
        <v>0</v>
      </c>
      <c r="AE242" s="255">
        <f t="shared" si="147"/>
        <v>0</v>
      </c>
      <c r="AF242" s="255">
        <f t="shared" si="147"/>
        <v>0</v>
      </c>
      <c r="AG242" s="255">
        <f t="shared" si="147"/>
        <v>0</v>
      </c>
      <c r="AH242" s="255">
        <f t="shared" si="147"/>
        <v>0</v>
      </c>
      <c r="AI242" s="243">
        <v>0</v>
      </c>
      <c r="AJ242" s="243">
        <f>AJ252/(1+$R$18)</f>
        <v>0</v>
      </c>
      <c r="AK242" s="243">
        <v>0</v>
      </c>
      <c r="AL242" s="254">
        <f t="shared" si="145"/>
        <v>0</v>
      </c>
    </row>
    <row r="243" spans="1:38" ht="14.4" customHeight="1">
      <c r="A243" s="437"/>
      <c r="B243" s="252" t="s">
        <v>375</v>
      </c>
      <c r="C243" s="243">
        <v>0</v>
      </c>
      <c r="D243" s="243">
        <v>0</v>
      </c>
      <c r="E243" s="243">
        <v>0</v>
      </c>
      <c r="F243" s="243">
        <v>0</v>
      </c>
      <c r="G243" s="243">
        <v>0</v>
      </c>
      <c r="H243" s="243">
        <v>0</v>
      </c>
      <c r="I243" s="256">
        <v>0</v>
      </c>
      <c r="J243" s="256">
        <v>0</v>
      </c>
      <c r="K243" s="256">
        <v>0</v>
      </c>
      <c r="L243" s="256">
        <v>0</v>
      </c>
      <c r="M243" s="256">
        <v>0</v>
      </c>
      <c r="N243" s="256">
        <v>0</v>
      </c>
      <c r="O243" s="243">
        <v>0</v>
      </c>
      <c r="P243" s="243">
        <v>0</v>
      </c>
      <c r="Q243" s="243">
        <v>0</v>
      </c>
      <c r="R243" s="254">
        <f t="shared" si="144"/>
        <v>0</v>
      </c>
      <c r="U243" s="437"/>
      <c r="V243" s="252" t="s">
        <v>375</v>
      </c>
      <c r="W243" s="243">
        <v>0</v>
      </c>
      <c r="X243" s="243">
        <v>0</v>
      </c>
      <c r="Y243" s="243">
        <v>0</v>
      </c>
      <c r="Z243" s="243">
        <v>0</v>
      </c>
      <c r="AA243" s="243">
        <v>0</v>
      </c>
      <c r="AB243" s="243">
        <v>0</v>
      </c>
      <c r="AC243" s="256">
        <v>0</v>
      </c>
      <c r="AD243" s="256">
        <v>0</v>
      </c>
      <c r="AE243" s="256">
        <v>0</v>
      </c>
      <c r="AF243" s="256">
        <v>0</v>
      </c>
      <c r="AG243" s="256">
        <v>0</v>
      </c>
      <c r="AH243" s="256">
        <v>0</v>
      </c>
      <c r="AI243" s="243">
        <v>0</v>
      </c>
      <c r="AJ243" s="243">
        <v>0</v>
      </c>
      <c r="AK243" s="243">
        <v>0</v>
      </c>
      <c r="AL243" s="254">
        <f t="shared" si="145"/>
        <v>0</v>
      </c>
    </row>
    <row r="244" spans="1:38" ht="14.4" customHeight="1">
      <c r="A244" s="437"/>
      <c r="B244" s="252" t="s">
        <v>376</v>
      </c>
      <c r="C244" s="243">
        <v>0</v>
      </c>
      <c r="D244" s="243">
        <v>0</v>
      </c>
      <c r="E244" s="243">
        <v>0</v>
      </c>
      <c r="F244" s="243">
        <v>0</v>
      </c>
      <c r="G244" s="243">
        <v>0</v>
      </c>
      <c r="H244" s="243">
        <v>0</v>
      </c>
      <c r="I244" s="243">
        <v>0</v>
      </c>
      <c r="J244" s="243">
        <v>0</v>
      </c>
      <c r="K244" s="243">
        <v>0</v>
      </c>
      <c r="L244" s="243">
        <v>0</v>
      </c>
      <c r="M244" s="243">
        <v>0</v>
      </c>
      <c r="N244" s="243">
        <v>0</v>
      </c>
      <c r="O244" s="243">
        <v>0</v>
      </c>
      <c r="P244" s="243">
        <v>0</v>
      </c>
      <c r="Q244" s="243">
        <v>0</v>
      </c>
      <c r="R244" s="254">
        <f t="shared" si="144"/>
        <v>0</v>
      </c>
      <c r="U244" s="437"/>
      <c r="V244" s="252" t="s">
        <v>376</v>
      </c>
      <c r="W244" s="243">
        <v>0</v>
      </c>
      <c r="X244" s="243">
        <v>0</v>
      </c>
      <c r="Y244" s="243">
        <v>0</v>
      </c>
      <c r="Z244" s="243">
        <v>0</v>
      </c>
      <c r="AA244" s="243">
        <v>0</v>
      </c>
      <c r="AB244" s="243">
        <v>0</v>
      </c>
      <c r="AC244" s="243">
        <v>0</v>
      </c>
      <c r="AD244" s="243">
        <v>0</v>
      </c>
      <c r="AE244" s="243">
        <v>0</v>
      </c>
      <c r="AF244" s="243">
        <v>0</v>
      </c>
      <c r="AG244" s="243">
        <v>0</v>
      </c>
      <c r="AH244" s="243">
        <v>0</v>
      </c>
      <c r="AI244" s="243">
        <v>0</v>
      </c>
      <c r="AJ244" s="243">
        <v>0</v>
      </c>
      <c r="AK244" s="243">
        <v>0</v>
      </c>
      <c r="AL244" s="254">
        <f t="shared" si="145"/>
        <v>0</v>
      </c>
    </row>
    <row r="245" spans="1:38" ht="14.4" customHeight="1">
      <c r="A245" s="437"/>
      <c r="B245" s="252" t="s">
        <v>36</v>
      </c>
      <c r="C245" s="243">
        <v>0</v>
      </c>
      <c r="D245" s="243">
        <v>0</v>
      </c>
      <c r="E245" s="243">
        <v>0</v>
      </c>
      <c r="F245" s="243">
        <v>0</v>
      </c>
      <c r="G245" s="243">
        <v>0</v>
      </c>
      <c r="H245" s="243">
        <v>0</v>
      </c>
      <c r="I245" s="243">
        <v>0</v>
      </c>
      <c r="J245" s="243">
        <v>0</v>
      </c>
      <c r="K245" s="243">
        <v>0</v>
      </c>
      <c r="L245" s="243">
        <v>0</v>
      </c>
      <c r="M245" s="243">
        <v>0</v>
      </c>
      <c r="N245" s="243">
        <v>0</v>
      </c>
      <c r="O245" s="243">
        <v>0</v>
      </c>
      <c r="P245" s="243">
        <v>0</v>
      </c>
      <c r="Q245" s="243">
        <v>0</v>
      </c>
      <c r="R245" s="254">
        <f t="shared" si="144"/>
        <v>0</v>
      </c>
      <c r="U245" s="437"/>
      <c r="V245" s="252" t="s">
        <v>36</v>
      </c>
      <c r="W245" s="243">
        <v>0</v>
      </c>
      <c r="X245" s="243">
        <v>0</v>
      </c>
      <c r="Y245" s="243">
        <v>0</v>
      </c>
      <c r="Z245" s="243">
        <v>0</v>
      </c>
      <c r="AA245" s="243">
        <v>0</v>
      </c>
      <c r="AB245" s="243">
        <v>0</v>
      </c>
      <c r="AC245" s="243">
        <v>0</v>
      </c>
      <c r="AD245" s="243">
        <v>0</v>
      </c>
      <c r="AE245" s="243">
        <v>0</v>
      </c>
      <c r="AF245" s="243">
        <v>0</v>
      </c>
      <c r="AG245" s="243">
        <v>0</v>
      </c>
      <c r="AH245" s="243">
        <v>0</v>
      </c>
      <c r="AI245" s="243">
        <v>0</v>
      </c>
      <c r="AJ245" s="243">
        <v>0</v>
      </c>
      <c r="AK245" s="243">
        <v>0</v>
      </c>
      <c r="AL245" s="254">
        <f t="shared" si="145"/>
        <v>0</v>
      </c>
    </row>
    <row r="246" spans="1:38" ht="14.4" customHeight="1">
      <c r="A246" s="437"/>
      <c r="B246" s="252" t="s">
        <v>377</v>
      </c>
      <c r="C246" s="243">
        <v>0</v>
      </c>
      <c r="D246" s="243">
        <v>0</v>
      </c>
      <c r="E246" s="243">
        <v>0</v>
      </c>
      <c r="F246" s="243">
        <v>0</v>
      </c>
      <c r="G246" s="243">
        <v>0</v>
      </c>
      <c r="H246" s="243">
        <v>0</v>
      </c>
      <c r="I246" s="243">
        <v>0</v>
      </c>
      <c r="J246" s="243">
        <v>0</v>
      </c>
      <c r="K246" s="243">
        <v>0</v>
      </c>
      <c r="L246" s="243">
        <v>0</v>
      </c>
      <c r="M246" s="243">
        <v>0</v>
      </c>
      <c r="N246" s="243">
        <v>0</v>
      </c>
      <c r="O246" s="243">
        <v>0</v>
      </c>
      <c r="P246" s="243">
        <v>0</v>
      </c>
      <c r="Q246" s="243">
        <v>0</v>
      </c>
      <c r="R246" s="254">
        <f t="shared" si="144"/>
        <v>0</v>
      </c>
      <c r="U246" s="437"/>
      <c r="V246" s="252" t="s">
        <v>377</v>
      </c>
      <c r="W246" s="243">
        <v>0</v>
      </c>
      <c r="X246" s="243">
        <v>0</v>
      </c>
      <c r="Y246" s="243">
        <v>0</v>
      </c>
      <c r="Z246" s="243">
        <v>0</v>
      </c>
      <c r="AA246" s="243">
        <v>0</v>
      </c>
      <c r="AB246" s="243">
        <v>0</v>
      </c>
      <c r="AC246" s="243">
        <v>0</v>
      </c>
      <c r="AD246" s="243">
        <v>0</v>
      </c>
      <c r="AE246" s="243">
        <v>0</v>
      </c>
      <c r="AF246" s="243">
        <v>0</v>
      </c>
      <c r="AG246" s="243">
        <v>0</v>
      </c>
      <c r="AH246" s="243">
        <v>0</v>
      </c>
      <c r="AI246" s="243">
        <v>0</v>
      </c>
      <c r="AJ246" s="243">
        <v>0</v>
      </c>
      <c r="AK246" s="243">
        <v>0</v>
      </c>
      <c r="AL246" s="254">
        <f t="shared" si="145"/>
        <v>0</v>
      </c>
    </row>
    <row r="247" spans="1:38" ht="14.4" customHeight="1">
      <c r="A247" s="437"/>
      <c r="B247" s="252" t="s">
        <v>378</v>
      </c>
      <c r="C247" s="243">
        <v>0</v>
      </c>
      <c r="D247" s="243">
        <v>0</v>
      </c>
      <c r="E247" s="243">
        <v>0</v>
      </c>
      <c r="F247" s="243">
        <v>0</v>
      </c>
      <c r="G247" s="243">
        <v>0</v>
      </c>
      <c r="H247" s="243">
        <v>0</v>
      </c>
      <c r="I247" s="243">
        <v>0</v>
      </c>
      <c r="J247" s="243">
        <v>0</v>
      </c>
      <c r="K247" s="243">
        <v>0</v>
      </c>
      <c r="L247" s="243">
        <v>0</v>
      </c>
      <c r="M247" s="243">
        <v>0</v>
      </c>
      <c r="N247" s="243">
        <v>0</v>
      </c>
      <c r="O247" s="243">
        <v>0</v>
      </c>
      <c r="P247" s="243">
        <v>0</v>
      </c>
      <c r="Q247" s="243">
        <v>0</v>
      </c>
      <c r="R247" s="254">
        <f t="shared" si="144"/>
        <v>0</v>
      </c>
      <c r="U247" s="437"/>
      <c r="V247" s="252" t="s">
        <v>378</v>
      </c>
      <c r="W247" s="243">
        <v>0</v>
      </c>
      <c r="X247" s="243">
        <v>0</v>
      </c>
      <c r="Y247" s="243">
        <v>0</v>
      </c>
      <c r="Z247" s="243">
        <v>0</v>
      </c>
      <c r="AA247" s="243">
        <v>0</v>
      </c>
      <c r="AB247" s="243">
        <v>0</v>
      </c>
      <c r="AC247" s="243">
        <v>0</v>
      </c>
      <c r="AD247" s="243">
        <v>0</v>
      </c>
      <c r="AE247" s="243">
        <v>0</v>
      </c>
      <c r="AF247" s="243">
        <v>0</v>
      </c>
      <c r="AG247" s="243">
        <v>0</v>
      </c>
      <c r="AH247" s="243">
        <v>0</v>
      </c>
      <c r="AI247" s="243">
        <v>0</v>
      </c>
      <c r="AJ247" s="243">
        <v>0</v>
      </c>
      <c r="AK247" s="243">
        <v>0</v>
      </c>
      <c r="AL247" s="254">
        <f t="shared" si="145"/>
        <v>0</v>
      </c>
    </row>
    <row r="248" spans="1:38" ht="14.4" customHeight="1">
      <c r="A248" s="437"/>
      <c r="B248" s="252" t="s">
        <v>379</v>
      </c>
      <c r="C248" s="243">
        <v>0</v>
      </c>
      <c r="D248" s="243">
        <v>0</v>
      </c>
      <c r="E248" s="243">
        <v>0</v>
      </c>
      <c r="F248" s="243">
        <v>0</v>
      </c>
      <c r="G248" s="243">
        <v>0</v>
      </c>
      <c r="H248" s="243">
        <v>0</v>
      </c>
      <c r="I248" s="243">
        <v>0</v>
      </c>
      <c r="J248" s="243">
        <v>0</v>
      </c>
      <c r="K248" s="243">
        <v>0</v>
      </c>
      <c r="L248" s="243">
        <v>0</v>
      </c>
      <c r="M248" s="243">
        <v>0</v>
      </c>
      <c r="N248" s="243">
        <v>0</v>
      </c>
      <c r="O248" s="243">
        <v>0</v>
      </c>
      <c r="P248" s="243">
        <v>0</v>
      </c>
      <c r="Q248" s="243">
        <v>0</v>
      </c>
      <c r="R248" s="254">
        <f t="shared" si="144"/>
        <v>0</v>
      </c>
      <c r="U248" s="437"/>
      <c r="V248" s="252" t="s">
        <v>379</v>
      </c>
      <c r="W248" s="243">
        <v>0</v>
      </c>
      <c r="X248" s="243">
        <v>0</v>
      </c>
      <c r="Y248" s="243">
        <v>0</v>
      </c>
      <c r="Z248" s="243">
        <v>0</v>
      </c>
      <c r="AA248" s="243">
        <v>0</v>
      </c>
      <c r="AB248" s="243">
        <v>0</v>
      </c>
      <c r="AC248" s="243">
        <v>0</v>
      </c>
      <c r="AD248" s="243">
        <v>0</v>
      </c>
      <c r="AE248" s="243">
        <v>0</v>
      </c>
      <c r="AF248" s="243">
        <v>0</v>
      </c>
      <c r="AG248" s="243">
        <v>0</v>
      </c>
      <c r="AH248" s="243">
        <v>0</v>
      </c>
      <c r="AI248" s="243">
        <v>0</v>
      </c>
      <c r="AJ248" s="243">
        <v>0</v>
      </c>
      <c r="AK248" s="243">
        <v>0</v>
      </c>
      <c r="AL248" s="254">
        <f t="shared" si="145"/>
        <v>0</v>
      </c>
    </row>
    <row r="249" spans="1:38" ht="14.4" customHeight="1">
      <c r="A249" s="437"/>
      <c r="B249" s="252" t="s">
        <v>37</v>
      </c>
      <c r="C249" s="243">
        <v>0</v>
      </c>
      <c r="D249" s="243">
        <v>0</v>
      </c>
      <c r="E249" s="243">
        <v>0</v>
      </c>
      <c r="F249" s="243">
        <v>0</v>
      </c>
      <c r="G249" s="243">
        <v>0</v>
      </c>
      <c r="H249" s="243">
        <v>0</v>
      </c>
      <c r="I249" s="243">
        <v>0</v>
      </c>
      <c r="J249" s="243">
        <v>0</v>
      </c>
      <c r="K249" s="243">
        <v>0</v>
      </c>
      <c r="L249" s="243">
        <v>0</v>
      </c>
      <c r="M249" s="243">
        <v>0</v>
      </c>
      <c r="N249" s="243">
        <v>0</v>
      </c>
      <c r="O249" s="243">
        <v>0</v>
      </c>
      <c r="P249" s="243">
        <v>0</v>
      </c>
      <c r="Q249" s="243">
        <v>0</v>
      </c>
      <c r="R249" s="254">
        <f t="shared" si="144"/>
        <v>0</v>
      </c>
      <c r="U249" s="437"/>
      <c r="V249" s="252" t="s">
        <v>37</v>
      </c>
      <c r="W249" s="243">
        <v>0</v>
      </c>
      <c r="X249" s="243">
        <v>0</v>
      </c>
      <c r="Y249" s="243">
        <v>0</v>
      </c>
      <c r="Z249" s="243">
        <v>0</v>
      </c>
      <c r="AA249" s="243">
        <v>0</v>
      </c>
      <c r="AB249" s="243">
        <v>0</v>
      </c>
      <c r="AC249" s="243">
        <v>0</v>
      </c>
      <c r="AD249" s="243">
        <v>0</v>
      </c>
      <c r="AE249" s="243">
        <v>0</v>
      </c>
      <c r="AF249" s="243">
        <v>0</v>
      </c>
      <c r="AG249" s="243">
        <v>0</v>
      </c>
      <c r="AH249" s="243">
        <v>0</v>
      </c>
      <c r="AI249" s="243">
        <v>0</v>
      </c>
      <c r="AJ249" s="243">
        <v>0</v>
      </c>
      <c r="AK249" s="243">
        <v>0</v>
      </c>
      <c r="AL249" s="254">
        <f t="shared" si="145"/>
        <v>0</v>
      </c>
    </row>
    <row r="250" spans="1:38" ht="14.4" customHeight="1">
      <c r="A250" s="437"/>
      <c r="B250" s="252" t="s">
        <v>38</v>
      </c>
      <c r="C250" s="243">
        <v>0</v>
      </c>
      <c r="D250" s="243">
        <v>0</v>
      </c>
      <c r="E250" s="243">
        <v>0</v>
      </c>
      <c r="F250" s="243">
        <v>0</v>
      </c>
      <c r="G250" s="243">
        <v>0</v>
      </c>
      <c r="H250" s="243">
        <v>0</v>
      </c>
      <c r="I250" s="243">
        <v>0</v>
      </c>
      <c r="J250" s="243">
        <v>0</v>
      </c>
      <c r="K250" s="243">
        <v>0</v>
      </c>
      <c r="L250" s="243">
        <v>0</v>
      </c>
      <c r="M250" s="243">
        <v>0</v>
      </c>
      <c r="N250" s="243">
        <v>0</v>
      </c>
      <c r="O250" s="243">
        <f>O241*$F$17</f>
        <v>16.408377379691174</v>
      </c>
      <c r="P250" s="243">
        <v>0</v>
      </c>
      <c r="Q250" s="243">
        <v>0</v>
      </c>
      <c r="R250" s="254">
        <f t="shared" si="144"/>
        <v>16.408377379691174</v>
      </c>
      <c r="U250" s="437"/>
      <c r="V250" s="252" t="s">
        <v>38</v>
      </c>
      <c r="W250" s="243">
        <v>0</v>
      </c>
      <c r="X250" s="243">
        <v>0</v>
      </c>
      <c r="Y250" s="243">
        <v>0</v>
      </c>
      <c r="Z250" s="243">
        <v>0</v>
      </c>
      <c r="AA250" s="243">
        <v>0</v>
      </c>
      <c r="AB250" s="243">
        <v>0</v>
      </c>
      <c r="AC250" s="243">
        <v>0</v>
      </c>
      <c r="AD250" s="243">
        <v>0</v>
      </c>
      <c r="AE250" s="243">
        <v>0</v>
      </c>
      <c r="AF250" s="243">
        <v>0</v>
      </c>
      <c r="AG250" s="243">
        <v>0</v>
      </c>
      <c r="AH250" s="243">
        <v>0</v>
      </c>
      <c r="AI250" s="243">
        <f>AI241*$F$17</f>
        <v>14.720320425375087</v>
      </c>
      <c r="AJ250" s="243">
        <v>0</v>
      </c>
      <c r="AK250" s="243">
        <v>0</v>
      </c>
      <c r="AL250" s="254">
        <f>SUM(W250:AK250)</f>
        <v>14.720320425375087</v>
      </c>
    </row>
    <row r="251" spans="1:38" ht="14.4" customHeight="1">
      <c r="A251" s="437"/>
      <c r="B251" s="252" t="s">
        <v>39</v>
      </c>
      <c r="C251" s="243">
        <v>0</v>
      </c>
      <c r="D251" s="243">
        <v>0</v>
      </c>
      <c r="E251" s="243">
        <v>0</v>
      </c>
      <c r="F251" s="243">
        <v>0</v>
      </c>
      <c r="G251" s="243">
        <v>0</v>
      </c>
      <c r="H251" s="243">
        <v>0</v>
      </c>
      <c r="I251" s="243">
        <v>0</v>
      </c>
      <c r="J251" s="243">
        <v>0</v>
      </c>
      <c r="K251" s="243">
        <v>0</v>
      </c>
      <c r="L251" s="243">
        <v>0</v>
      </c>
      <c r="M251" s="243">
        <v>0</v>
      </c>
      <c r="N251" s="243">
        <v>0</v>
      </c>
      <c r="O251" s="243">
        <f>O241*$F$18</f>
        <v>136.2965649888433</v>
      </c>
      <c r="P251" s="243">
        <f>P242*$R$18</f>
        <v>0</v>
      </c>
      <c r="Q251" s="243">
        <v>0</v>
      </c>
      <c r="R251" s="254">
        <f t="shared" si="144"/>
        <v>136.2965649888433</v>
      </c>
      <c r="U251" s="437"/>
      <c r="V251" s="252" t="s">
        <v>39</v>
      </c>
      <c r="W251" s="243">
        <v>0</v>
      </c>
      <c r="X251" s="243">
        <v>0</v>
      </c>
      <c r="Y251" s="243">
        <v>0</v>
      </c>
      <c r="Z251" s="243">
        <v>0</v>
      </c>
      <c r="AA251" s="243">
        <v>0</v>
      </c>
      <c r="AB251" s="243">
        <v>0</v>
      </c>
      <c r="AC251" s="243">
        <v>0</v>
      </c>
      <c r="AD251" s="243">
        <v>0</v>
      </c>
      <c r="AE251" s="243">
        <v>0</v>
      </c>
      <c r="AF251" s="243">
        <v>0</v>
      </c>
      <c r="AG251" s="243">
        <v>0</v>
      </c>
      <c r="AH251" s="243">
        <v>0</v>
      </c>
      <c r="AI251" s="243">
        <f>AI241*$F$18</f>
        <v>122.27468098076464</v>
      </c>
      <c r="AJ251" s="243">
        <f>AJ242*$R$18</f>
        <v>0</v>
      </c>
      <c r="AK251" s="243">
        <v>0</v>
      </c>
      <c r="AL251" s="254">
        <f t="shared" si="145"/>
        <v>122.27468098076464</v>
      </c>
    </row>
    <row r="252" spans="1:38" ht="14.4" customHeight="1">
      <c r="A252" s="437"/>
      <c r="B252" s="247" t="s">
        <v>40</v>
      </c>
      <c r="C252" s="248">
        <f>SUM(C240:C251)</f>
        <v>0</v>
      </c>
      <c r="D252" s="248">
        <f t="shared" ref="D252:N252" si="148">SUM(D240:D251)</f>
        <v>0</v>
      </c>
      <c r="E252" s="248">
        <f t="shared" si="148"/>
        <v>62.97051559566863</v>
      </c>
      <c r="F252" s="248">
        <f t="shared" si="148"/>
        <v>0</v>
      </c>
      <c r="G252" s="248">
        <f t="shared" si="148"/>
        <v>0</v>
      </c>
      <c r="H252" s="248">
        <f t="shared" si="148"/>
        <v>696.31024116823323</v>
      </c>
      <c r="I252" s="248">
        <f t="shared" si="148"/>
        <v>454.52043635449542</v>
      </c>
      <c r="J252" s="248">
        <f t="shared" si="148"/>
        <v>0</v>
      </c>
      <c r="K252" s="248">
        <f t="shared" si="148"/>
        <v>1170.8587013822632</v>
      </c>
      <c r="L252" s="248">
        <f t="shared" si="148"/>
        <v>18.637366632798134</v>
      </c>
      <c r="M252" s="248">
        <f t="shared" si="148"/>
        <v>0</v>
      </c>
      <c r="N252" s="248">
        <f t="shared" si="148"/>
        <v>0</v>
      </c>
      <c r="O252" s="248">
        <f>-O262</f>
        <v>-1232.6464007361753</v>
      </c>
      <c r="P252" s="248">
        <f>-P254</f>
        <v>0</v>
      </c>
      <c r="Q252" s="248">
        <f t="shared" ref="Q252" si="149">SUM(Q240:Q251)</f>
        <v>0</v>
      </c>
      <c r="R252" s="248">
        <f t="shared" si="144"/>
        <v>1170.6508603972836</v>
      </c>
      <c r="U252" s="437"/>
      <c r="V252" s="247" t="s">
        <v>40</v>
      </c>
      <c r="W252" s="248">
        <f>SUM(W240:W251)</f>
        <v>0</v>
      </c>
      <c r="X252" s="248">
        <f t="shared" ref="X252:AH252" si="150">SUM(X240:X251)</f>
        <v>0</v>
      </c>
      <c r="Y252" s="248">
        <f t="shared" si="150"/>
        <v>0</v>
      </c>
      <c r="Z252" s="248">
        <f t="shared" si="150"/>
        <v>0</v>
      </c>
      <c r="AA252" s="248">
        <f t="shared" si="150"/>
        <v>0</v>
      </c>
      <c r="AB252" s="248">
        <f t="shared" si="150"/>
        <v>688.38551911821253</v>
      </c>
      <c r="AC252" s="248">
        <f t="shared" si="150"/>
        <v>618.69291595181937</v>
      </c>
      <c r="AD252" s="248">
        <f t="shared" si="150"/>
        <v>0</v>
      </c>
      <c r="AE252" s="248">
        <f t="shared" si="150"/>
        <v>742.82400852581657</v>
      </c>
      <c r="AF252" s="248">
        <f t="shared" si="150"/>
        <v>16.395373921656088</v>
      </c>
      <c r="AG252" s="248">
        <f t="shared" si="150"/>
        <v>0</v>
      </c>
      <c r="AH252" s="248">
        <f t="shared" si="150"/>
        <v>0</v>
      </c>
      <c r="AI252" s="248">
        <f>-AI262</f>
        <v>-1105.834511856121</v>
      </c>
      <c r="AJ252" s="248">
        <f>-AJ254</f>
        <v>0</v>
      </c>
      <c r="AK252" s="248">
        <f t="shared" ref="AK252" si="151">SUM(AK240:AK251)</f>
        <v>0</v>
      </c>
      <c r="AL252" s="248">
        <f>SUM(W252:AK252)</f>
        <v>960.46330566138386</v>
      </c>
    </row>
    <row r="253" spans="1:38" ht="14.4" customHeight="1">
      <c r="A253" s="437"/>
      <c r="B253" s="249"/>
      <c r="C253" s="250"/>
      <c r="D253" s="250"/>
      <c r="E253" s="257"/>
      <c r="F253" s="250"/>
      <c r="G253" s="250"/>
      <c r="H253" s="250"/>
      <c r="I253" s="257"/>
      <c r="J253" s="250"/>
      <c r="K253" s="250"/>
      <c r="L253" s="250"/>
      <c r="M253" s="258"/>
      <c r="N253" s="250"/>
      <c r="O253" s="250"/>
      <c r="P253" s="250"/>
      <c r="Q253" s="250"/>
      <c r="R253" s="250"/>
      <c r="U253" s="437"/>
      <c r="V253" s="249"/>
      <c r="W253" s="250"/>
      <c r="X253" s="250"/>
      <c r="Y253" s="257"/>
      <c r="Z253" s="250"/>
      <c r="AA253" s="250"/>
      <c r="AB253" s="250"/>
      <c r="AC253" s="257"/>
      <c r="AD253" s="250"/>
      <c r="AE253" s="250"/>
      <c r="AF253" s="250"/>
      <c r="AG253" s="258"/>
      <c r="AH253" s="250"/>
      <c r="AI253" s="250"/>
      <c r="AJ253" s="250"/>
      <c r="AK253" s="250"/>
      <c r="AL253" s="250"/>
    </row>
    <row r="254" spans="1:38" ht="14.4" customHeight="1">
      <c r="A254" s="437"/>
      <c r="B254" s="252" t="s">
        <v>41</v>
      </c>
      <c r="C254" s="243">
        <v>0</v>
      </c>
      <c r="D254" s="243">
        <v>0</v>
      </c>
      <c r="E254" s="243">
        <f>Industrie!$H$35</f>
        <v>18.835783954222745</v>
      </c>
      <c r="F254" s="243">
        <v>0</v>
      </c>
      <c r="G254" s="243">
        <v>0</v>
      </c>
      <c r="H254" s="243">
        <v>0</v>
      </c>
      <c r="I254" s="243">
        <f>Industrie!$H$38*$I$49/SUM($I$49:$N$49)</f>
        <v>1.5998093263881263</v>
      </c>
      <c r="J254" s="243">
        <f>Industrie!$H$38*$J$49/SUM($I$49:$N$49)</f>
        <v>0</v>
      </c>
      <c r="K254" s="243">
        <f>Industrie!$H$38*$K$49/SUM($I$49:$N$49)</f>
        <v>0</v>
      </c>
      <c r="L254" s="243">
        <f>Industrie!$H$38*$L$49/SUM($I$49:$N$49)</f>
        <v>0</v>
      </c>
      <c r="M254" s="243">
        <f>Industrie!$H$38*$M$49/SUM($I$49:$N$49)</f>
        <v>0</v>
      </c>
      <c r="N254" s="243">
        <f>Industrie!$H$38*$N$49/SUM($I$49:$N$49)</f>
        <v>0</v>
      </c>
      <c r="O254" s="243">
        <f>Industrie!$H$36</f>
        <v>48.018120878618923</v>
      </c>
      <c r="P254" s="243">
        <f>Industrie!$H$39</f>
        <v>0</v>
      </c>
      <c r="Q254" s="243">
        <v>0</v>
      </c>
      <c r="R254" s="254">
        <f>SUM(C254:Q254)</f>
        <v>68.45371415922979</v>
      </c>
      <c r="U254" s="437"/>
      <c r="V254" s="252" t="s">
        <v>41</v>
      </c>
      <c r="W254" s="243">
        <v>0</v>
      </c>
      <c r="X254" s="243">
        <v>0</v>
      </c>
      <c r="Y254" s="243">
        <f>Industrie!$H$56</f>
        <v>1.8469508827807142</v>
      </c>
      <c r="Z254" s="243">
        <v>0</v>
      </c>
      <c r="AA254" s="243">
        <v>0</v>
      </c>
      <c r="AB254" s="243">
        <v>0</v>
      </c>
      <c r="AC254" s="243">
        <f>Industrie!$H$62*$AC$49/SUM($I$49:$N$49)</f>
        <v>8.9876128575109853</v>
      </c>
      <c r="AD254" s="243">
        <f>Industrie!$H$62*$AD$49/SUM($I$49:$N$49)</f>
        <v>0</v>
      </c>
      <c r="AE254" s="243">
        <f>Industrie!$H$62*$AE$49/SUM($I$49:$N$49)</f>
        <v>0</v>
      </c>
      <c r="AF254" s="243">
        <f>Industrie!$H$62*$AF$49/SUM($I$49:$N$49)</f>
        <v>0</v>
      </c>
      <c r="AG254" s="243">
        <f>Industrie!$H$62*$AG$49/SUM($I$49:$N$49)</f>
        <v>0</v>
      </c>
      <c r="AH254" s="243">
        <f>Industrie!$H$62*$AH$49/SUM($I$49:$N$49)</f>
        <v>0</v>
      </c>
      <c r="AI254" s="243">
        <f>Industrie!$H$57</f>
        <v>47.88137746209231</v>
      </c>
      <c r="AJ254" s="243">
        <f>Industrie!$H$63</f>
        <v>0</v>
      </c>
      <c r="AK254" s="243">
        <v>0</v>
      </c>
      <c r="AL254" s="254">
        <f>SUM(W254:AK254)</f>
        <v>58.715941202384009</v>
      </c>
    </row>
    <row r="255" spans="1:38" ht="14.4" customHeight="1">
      <c r="A255" s="437"/>
      <c r="B255" s="252" t="s">
        <v>42</v>
      </c>
      <c r="C255" s="243">
        <v>0</v>
      </c>
      <c r="D255" s="243">
        <v>0</v>
      </c>
      <c r="E255" s="243">
        <f>Transports!$J$44</f>
        <v>967.50658092855292</v>
      </c>
      <c r="F255" s="243">
        <v>0</v>
      </c>
      <c r="G255" s="243">
        <v>0</v>
      </c>
      <c r="H255" s="243">
        <v>0</v>
      </c>
      <c r="I255" s="243">
        <v>0</v>
      </c>
      <c r="J255" s="243">
        <v>0</v>
      </c>
      <c r="K255" s="243">
        <v>0</v>
      </c>
      <c r="L255" s="243">
        <v>0</v>
      </c>
      <c r="M255" s="243">
        <v>0</v>
      </c>
      <c r="N255" s="243">
        <v>0</v>
      </c>
      <c r="O255" s="243">
        <f>Transports!$J$45</f>
        <v>170.96441735200173</v>
      </c>
      <c r="P255" s="243">
        <v>0</v>
      </c>
      <c r="Q255" s="243">
        <v>0</v>
      </c>
      <c r="R255" s="254">
        <f t="shared" ref="R255:R262" si="152">SUM(C255:Q255)</f>
        <v>1138.4709982805546</v>
      </c>
      <c r="U255" s="437"/>
      <c r="V255" s="252" t="s">
        <v>42</v>
      </c>
      <c r="W255" s="243">
        <v>0</v>
      </c>
      <c r="X255" s="243">
        <v>0</v>
      </c>
      <c r="Y255" s="243">
        <f>Transports!$J71</f>
        <v>368.39719831661995</v>
      </c>
      <c r="Z255" s="243">
        <v>0</v>
      </c>
      <c r="AA255" s="243">
        <v>0</v>
      </c>
      <c r="AB255" s="243">
        <v>0</v>
      </c>
      <c r="AC255" s="243">
        <v>0</v>
      </c>
      <c r="AD255" s="243">
        <v>0</v>
      </c>
      <c r="AE255" s="243">
        <v>0</v>
      </c>
      <c r="AF255" s="243">
        <v>0</v>
      </c>
      <c r="AG255" s="243">
        <v>0</v>
      </c>
      <c r="AH255" s="243">
        <v>0</v>
      </c>
      <c r="AI255" s="243">
        <f>Transports!$J$72</f>
        <v>419.26244698215396</v>
      </c>
      <c r="AJ255" s="243">
        <v>0</v>
      </c>
      <c r="AK255" s="243">
        <v>0</v>
      </c>
      <c r="AL255" s="254">
        <f t="shared" ref="AL255:AL262" si="153">SUM(W255:AK255)</f>
        <v>787.65964529877397</v>
      </c>
    </row>
    <row r="256" spans="1:38" ht="14.4" customHeight="1">
      <c r="A256" s="437"/>
      <c r="B256" s="252" t="s">
        <v>43</v>
      </c>
      <c r="C256" s="243">
        <v>0</v>
      </c>
      <c r="D256" s="243">
        <v>0</v>
      </c>
      <c r="E256" s="243">
        <f>'Résidentiel-tertiaire'!$H$163</f>
        <v>65.936185877366555</v>
      </c>
      <c r="F256" s="243">
        <v>0</v>
      </c>
      <c r="G256" s="243">
        <v>0</v>
      </c>
      <c r="H256" s="243">
        <v>0</v>
      </c>
      <c r="I256" s="243">
        <f>'Résidentiel-tertiaire'!$H$164*$I$51/SUM($I$51:$N$51)</f>
        <v>0</v>
      </c>
      <c r="J256" s="243">
        <f>'Résidentiel-tertiaire'!$H$164*$J$51/SUM($I$51:$N$51)</f>
        <v>0</v>
      </c>
      <c r="K256" s="243">
        <f>'Résidentiel-tertiaire'!$H$164*$K$51/SUM($I$51:$N$51)</f>
        <v>0</v>
      </c>
      <c r="L256" s="243">
        <f>'Résidentiel-tertiaire'!$H$164*$L$51/SUM($I$51:$N$51)</f>
        <v>0</v>
      </c>
      <c r="M256" s="243">
        <f>'Résidentiel-tertiaire'!$H$164*$M$51/SUM($I$51:$N$51)</f>
        <v>0</v>
      </c>
      <c r="N256" s="243">
        <f>'Résidentiel-tertiaire'!$H$164*$N$51/SUM($I$51:$N$51)</f>
        <v>22.132689508996826</v>
      </c>
      <c r="O256" s="243">
        <f>'Résidentiel-tertiaire'!$H$165</f>
        <v>318.59893442704163</v>
      </c>
      <c r="P256" s="243">
        <v>0</v>
      </c>
      <c r="Q256" s="243">
        <v>0</v>
      </c>
      <c r="R256" s="254">
        <f t="shared" si="152"/>
        <v>406.66780981340503</v>
      </c>
      <c r="U256" s="437"/>
      <c r="V256" s="252" t="s">
        <v>43</v>
      </c>
      <c r="W256" s="243">
        <v>0</v>
      </c>
      <c r="X256" s="243">
        <v>0</v>
      </c>
      <c r="Y256" s="243">
        <f>'Résidentiel-tertiaire'!$H$177</f>
        <v>11.065491666666667</v>
      </c>
      <c r="Z256" s="243">
        <v>0</v>
      </c>
      <c r="AA256" s="243">
        <v>0</v>
      </c>
      <c r="AB256" s="243">
        <v>0</v>
      </c>
      <c r="AC256" s="243">
        <f>'Résidentiel-tertiaire'!$H$178*$AC$51/SUM($I$51:$N$51)</f>
        <v>0</v>
      </c>
      <c r="AD256" s="243">
        <f>'Résidentiel-tertiaire'!$H$178*$AD$51/SUM($I$51:$N$51)</f>
        <v>0</v>
      </c>
      <c r="AE256" s="243">
        <f>'Résidentiel-tertiaire'!$H$178*$AE$51/SUM($I$51:$N$51)</f>
        <v>0</v>
      </c>
      <c r="AF256" s="243">
        <f>'Résidentiel-tertiaire'!$H$178*$AF$51/SUM($I$51:$N$51)</f>
        <v>0</v>
      </c>
      <c r="AG256" s="243">
        <f>'Résidentiel-tertiaire'!$H$178*$AG$51/SUM($I$51:$N$51)</f>
        <v>0</v>
      </c>
      <c r="AH256" s="243">
        <f>'Résidentiel-tertiaire'!$H$178*$AH$51/SUM($I$51:$N$51)</f>
        <v>29.569694826155256</v>
      </c>
      <c r="AI256" s="243">
        <f>'Résidentiel-tertiaire'!$H$179</f>
        <v>232.12679700388659</v>
      </c>
      <c r="AJ256" s="243">
        <v>0</v>
      </c>
      <c r="AK256" s="243">
        <v>0</v>
      </c>
      <c r="AL256" s="254">
        <f t="shared" si="153"/>
        <v>272.76198349670852</v>
      </c>
    </row>
    <row r="257" spans="1:38" ht="14.4" customHeight="1">
      <c r="A257" s="437"/>
      <c r="B257" s="252" t="s">
        <v>44</v>
      </c>
      <c r="C257" s="243">
        <v>0</v>
      </c>
      <c r="D257" s="243">
        <v>0</v>
      </c>
      <c r="E257" s="243">
        <f>'Résidentiel-tertiaire'!$H$168</f>
        <v>0</v>
      </c>
      <c r="F257" s="243">
        <v>0</v>
      </c>
      <c r="G257" s="243">
        <v>0</v>
      </c>
      <c r="H257" s="243">
        <v>0</v>
      </c>
      <c r="I257" s="243">
        <f>'Résidentiel-tertiaire'!$H$169*$I$52/SUM($I$52:$N$52)</f>
        <v>0</v>
      </c>
      <c r="J257" s="243">
        <f>'Résidentiel-tertiaire'!$H$169*$J$52/SUM($I$52:$N$52)</f>
        <v>0</v>
      </c>
      <c r="K257" s="243">
        <f>'Résidentiel-tertiaire'!$H$169*$K$52/SUM($I$52:$N$52)</f>
        <v>0</v>
      </c>
      <c r="L257" s="243">
        <f>'Résidentiel-tertiaire'!$H$169*$L$52/SUM($I$52:$N$52)</f>
        <v>0</v>
      </c>
      <c r="M257" s="243">
        <f>'Résidentiel-tertiaire'!$H$169*$M$52/SUM($I$52:$N$52)</f>
        <v>0</v>
      </c>
      <c r="N257" s="243">
        <f>'Résidentiel-tertiaire'!$H$169*$N$52/SUM($I$52:$N$52)</f>
        <v>0.44478087504565944</v>
      </c>
      <c r="O257" s="243">
        <f>'Résidentiel-tertiaire'!$H$170</f>
        <v>694.46732447349598</v>
      </c>
      <c r="P257" s="243">
        <v>0</v>
      </c>
      <c r="Q257" s="243">
        <v>0</v>
      </c>
      <c r="R257" s="254">
        <f t="shared" si="152"/>
        <v>694.91210534854167</v>
      </c>
      <c r="U257" s="437"/>
      <c r="V257" s="252" t="s">
        <v>44</v>
      </c>
      <c r="W257" s="243">
        <v>0</v>
      </c>
      <c r="X257" s="243">
        <v>0</v>
      </c>
      <c r="Y257" s="243">
        <f>'Résidentiel-tertiaire'!$H$182</f>
        <v>0</v>
      </c>
      <c r="Z257" s="243">
        <v>0</v>
      </c>
      <c r="AA257" s="243">
        <v>0</v>
      </c>
      <c r="AB257" s="243">
        <v>0</v>
      </c>
      <c r="AC257" s="243">
        <f>'Résidentiel-tertiaire'!$H$183*$AC$52/SUM($I$52:$N$52)</f>
        <v>0</v>
      </c>
      <c r="AD257" s="243">
        <f>'Résidentiel-tertiaire'!$H$183*$AD$52/SUM($I$52:$N$52)</f>
        <v>0</v>
      </c>
      <c r="AE257" s="243">
        <f>'Résidentiel-tertiaire'!$H$183*$AE$52/SUM($I$52:$N$52)</f>
        <v>0</v>
      </c>
      <c r="AF257" s="243">
        <f>'Résidentiel-tertiaire'!$H$183*$AF$52/SUM($I$52:$N$52)</f>
        <v>0</v>
      </c>
      <c r="AG257" s="243">
        <f>'Résidentiel-tertiaire'!$H$183*$AG$52/SUM($I$52:$N$52)</f>
        <v>0</v>
      </c>
      <c r="AH257" s="243">
        <f>'Résidentiel-tertiaire'!$H$183*$AH$52/SUM($I$52:$N$52)</f>
        <v>0.26030123673027683</v>
      </c>
      <c r="AI257" s="243">
        <f>'Résidentiel-tertiaire'!$H$184</f>
        <v>406.42643056687234</v>
      </c>
      <c r="AJ257" s="243">
        <v>0</v>
      </c>
      <c r="AK257" s="243">
        <v>0</v>
      </c>
      <c r="AL257" s="254">
        <f t="shared" si="153"/>
        <v>406.68673180360264</v>
      </c>
    </row>
    <row r="258" spans="1:38" ht="14.4" customHeight="1">
      <c r="A258" s="437"/>
      <c r="B258" s="252" t="s">
        <v>4</v>
      </c>
      <c r="C258" s="243">
        <v>0</v>
      </c>
      <c r="D258" s="243">
        <v>0</v>
      </c>
      <c r="E258" s="243">
        <f>Agriculture!$V$27</f>
        <v>69.735135390218517</v>
      </c>
      <c r="F258" s="243">
        <v>0</v>
      </c>
      <c r="G258" s="243">
        <v>0</v>
      </c>
      <c r="H258" s="243">
        <v>0</v>
      </c>
      <c r="I258" s="243">
        <v>0</v>
      </c>
      <c r="J258" s="243">
        <v>0</v>
      </c>
      <c r="K258" s="243">
        <v>0</v>
      </c>
      <c r="L258" s="243">
        <v>0</v>
      </c>
      <c r="M258" s="243">
        <v>0</v>
      </c>
      <c r="N258" s="243">
        <v>0</v>
      </c>
      <c r="O258" s="243">
        <f>Agriculture!$V$28</f>
        <v>0.59760360501718868</v>
      </c>
      <c r="P258" s="243">
        <v>0</v>
      </c>
      <c r="Q258" s="243">
        <v>0</v>
      </c>
      <c r="R258" s="254">
        <f t="shared" si="152"/>
        <v>70.332738995235701</v>
      </c>
      <c r="U258" s="437"/>
      <c r="V258" s="252" t="s">
        <v>4</v>
      </c>
      <c r="W258" s="243">
        <v>0</v>
      </c>
      <c r="X258" s="243">
        <v>0</v>
      </c>
      <c r="Y258" s="243">
        <f>Agriculture!$AC$43</f>
        <v>10.428010752688174</v>
      </c>
      <c r="Z258" s="243">
        <v>0</v>
      </c>
      <c r="AA258" s="243">
        <v>0</v>
      </c>
      <c r="AB258" s="243">
        <v>0</v>
      </c>
      <c r="AC258" s="243">
        <v>0</v>
      </c>
      <c r="AD258" s="243">
        <v>0</v>
      </c>
      <c r="AE258" s="243">
        <f>Agriculture!$AC$45</f>
        <v>50.511198483870963</v>
      </c>
      <c r="AF258" s="243">
        <v>0</v>
      </c>
      <c r="AG258" s="243">
        <v>0</v>
      </c>
      <c r="AH258" s="243">
        <v>0</v>
      </c>
      <c r="AI258" s="243">
        <f>Agriculture!$AC$44</f>
        <v>0.13745984111584147</v>
      </c>
      <c r="AJ258" s="243">
        <v>0</v>
      </c>
      <c r="AK258" s="243">
        <v>0</v>
      </c>
      <c r="AL258" s="254">
        <f t="shared" si="153"/>
        <v>61.076669077674978</v>
      </c>
    </row>
    <row r="259" spans="1:38" ht="14.4" customHeight="1">
      <c r="A259" s="437"/>
      <c r="B259" s="252" t="s">
        <v>380</v>
      </c>
      <c r="C259" s="243">
        <v>0</v>
      </c>
      <c r="D259" s="243">
        <v>0</v>
      </c>
      <c r="E259" s="243">
        <v>0</v>
      </c>
      <c r="F259" s="243">
        <v>0</v>
      </c>
      <c r="G259" s="243">
        <v>0</v>
      </c>
      <c r="H259" s="243">
        <v>0</v>
      </c>
      <c r="I259" s="243">
        <v>0</v>
      </c>
      <c r="J259" s="243">
        <v>0</v>
      </c>
      <c r="K259" s="243">
        <v>0</v>
      </c>
      <c r="L259" s="243">
        <v>0</v>
      </c>
      <c r="M259" s="243">
        <v>0</v>
      </c>
      <c r="N259" s="243">
        <v>0</v>
      </c>
      <c r="O259" s="243">
        <v>0</v>
      </c>
      <c r="P259" s="243">
        <v>0</v>
      </c>
      <c r="Q259" s="243">
        <v>0</v>
      </c>
      <c r="R259" s="254">
        <f t="shared" si="152"/>
        <v>0</v>
      </c>
      <c r="U259" s="437"/>
      <c r="V259" s="252" t="s">
        <v>380</v>
      </c>
      <c r="W259" s="243">
        <v>0</v>
      </c>
      <c r="X259" s="243">
        <v>0</v>
      </c>
      <c r="Y259" s="243">
        <v>0</v>
      </c>
      <c r="Z259" s="243">
        <v>0</v>
      </c>
      <c r="AA259" s="243">
        <v>0</v>
      </c>
      <c r="AB259" s="243">
        <v>0</v>
      </c>
      <c r="AC259" s="243">
        <v>0</v>
      </c>
      <c r="AD259" s="243">
        <v>0</v>
      </c>
      <c r="AE259" s="243">
        <v>0</v>
      </c>
      <c r="AF259" s="243">
        <v>0</v>
      </c>
      <c r="AG259" s="243">
        <v>0</v>
      </c>
      <c r="AH259" s="243">
        <v>0</v>
      </c>
      <c r="AI259" s="243">
        <v>0</v>
      </c>
      <c r="AJ259" s="243">
        <v>0</v>
      </c>
      <c r="AK259" s="243">
        <v>0</v>
      </c>
      <c r="AL259" s="254">
        <f t="shared" si="153"/>
        <v>0</v>
      </c>
    </row>
    <row r="260" spans="1:38" ht="14.4" customHeight="1">
      <c r="A260" s="437"/>
      <c r="B260" s="247" t="s">
        <v>45</v>
      </c>
      <c r="C260" s="248">
        <f>SUM(C254:C259)</f>
        <v>0</v>
      </c>
      <c r="D260" s="248">
        <f t="shared" ref="D260:Q260" si="154">SUM(D254:D259)</f>
        <v>0</v>
      </c>
      <c r="E260" s="248">
        <f t="shared" si="154"/>
        <v>1122.0136861503609</v>
      </c>
      <c r="F260" s="248">
        <f t="shared" si="154"/>
        <v>0</v>
      </c>
      <c r="G260" s="248">
        <f t="shared" si="154"/>
        <v>0</v>
      </c>
      <c r="H260" s="248">
        <f t="shared" si="154"/>
        <v>0</v>
      </c>
      <c r="I260" s="248">
        <f t="shared" si="154"/>
        <v>1.5998093263881263</v>
      </c>
      <c r="J260" s="248">
        <f t="shared" si="154"/>
        <v>0</v>
      </c>
      <c r="K260" s="248">
        <f t="shared" si="154"/>
        <v>0</v>
      </c>
      <c r="L260" s="248">
        <f t="shared" si="154"/>
        <v>0</v>
      </c>
      <c r="M260" s="248">
        <f t="shared" si="154"/>
        <v>0</v>
      </c>
      <c r="N260" s="248">
        <f t="shared" si="154"/>
        <v>22.577470384042485</v>
      </c>
      <c r="O260" s="248">
        <f t="shared" si="154"/>
        <v>1232.6464007361753</v>
      </c>
      <c r="P260" s="248">
        <f t="shared" si="154"/>
        <v>0</v>
      </c>
      <c r="Q260" s="248">
        <f t="shared" si="154"/>
        <v>0</v>
      </c>
      <c r="R260" s="248">
        <f t="shared" si="152"/>
        <v>2378.8373665969666</v>
      </c>
      <c r="U260" s="437"/>
      <c r="V260" s="247" t="s">
        <v>45</v>
      </c>
      <c r="W260" s="248">
        <f>SUM(W254:W259)</f>
        <v>0</v>
      </c>
      <c r="X260" s="248">
        <f t="shared" ref="X260:AK260" si="155">SUM(X254:X259)</f>
        <v>0</v>
      </c>
      <c r="Y260" s="248">
        <f t="shared" si="155"/>
        <v>391.73765161875554</v>
      </c>
      <c r="Z260" s="248">
        <f t="shared" si="155"/>
        <v>0</v>
      </c>
      <c r="AA260" s="248">
        <f t="shared" si="155"/>
        <v>0</v>
      </c>
      <c r="AB260" s="248">
        <f t="shared" si="155"/>
        <v>0</v>
      </c>
      <c r="AC260" s="248">
        <f t="shared" si="155"/>
        <v>8.9876128575109853</v>
      </c>
      <c r="AD260" s="248">
        <f t="shared" si="155"/>
        <v>0</v>
      </c>
      <c r="AE260" s="248">
        <f t="shared" si="155"/>
        <v>50.511198483870963</v>
      </c>
      <c r="AF260" s="248">
        <f t="shared" si="155"/>
        <v>0</v>
      </c>
      <c r="AG260" s="248">
        <f t="shared" si="155"/>
        <v>0</v>
      </c>
      <c r="AH260" s="248">
        <f t="shared" si="155"/>
        <v>29.829996062885535</v>
      </c>
      <c r="AI260" s="248">
        <f t="shared" si="155"/>
        <v>1105.834511856121</v>
      </c>
      <c r="AJ260" s="248">
        <f t="shared" si="155"/>
        <v>0</v>
      </c>
      <c r="AK260" s="248">
        <f t="shared" si="155"/>
        <v>0</v>
      </c>
      <c r="AL260" s="248">
        <f t="shared" si="153"/>
        <v>1586.9009708791441</v>
      </c>
    </row>
    <row r="261" spans="1:38" ht="14.4" customHeight="1">
      <c r="A261" s="437"/>
      <c r="B261" s="242" t="s">
        <v>46</v>
      </c>
      <c r="C261" s="243">
        <v>0</v>
      </c>
      <c r="D261" s="243">
        <v>0</v>
      </c>
      <c r="E261" s="243">
        <f>Industrie!$H$37</f>
        <v>106.49926448739254</v>
      </c>
      <c r="F261" s="243">
        <v>0</v>
      </c>
      <c r="G261" s="243">
        <v>0</v>
      </c>
      <c r="H261" s="243">
        <v>0</v>
      </c>
      <c r="I261" s="243">
        <v>0</v>
      </c>
      <c r="J261" s="243">
        <v>0</v>
      </c>
      <c r="K261" s="243">
        <v>0</v>
      </c>
      <c r="L261" s="243">
        <v>0</v>
      </c>
      <c r="M261" s="243">
        <v>0</v>
      </c>
      <c r="N261" s="243">
        <v>0</v>
      </c>
      <c r="O261" s="243">
        <v>0</v>
      </c>
      <c r="P261" s="243">
        <v>0</v>
      </c>
      <c r="Q261" s="243">
        <v>0</v>
      </c>
      <c r="R261" s="254">
        <f t="shared" si="152"/>
        <v>106.49926448739254</v>
      </c>
      <c r="U261" s="437"/>
      <c r="V261" s="242" t="s">
        <v>46</v>
      </c>
      <c r="W261" s="243">
        <v>0</v>
      </c>
      <c r="X261" s="243">
        <v>0</v>
      </c>
      <c r="Y261" s="243">
        <f>Industrie!$H$59</f>
        <v>106.49926448739254</v>
      </c>
      <c r="Z261" s="243">
        <v>0</v>
      </c>
      <c r="AA261" s="243">
        <v>0</v>
      </c>
      <c r="AB261" s="243">
        <v>0</v>
      </c>
      <c r="AC261" s="243">
        <v>0</v>
      </c>
      <c r="AD261" s="243">
        <v>0</v>
      </c>
      <c r="AE261" s="243">
        <v>0</v>
      </c>
      <c r="AF261" s="243">
        <v>0</v>
      </c>
      <c r="AG261" s="243">
        <v>0</v>
      </c>
      <c r="AH261" s="243">
        <v>0</v>
      </c>
      <c r="AI261" s="243">
        <v>0</v>
      </c>
      <c r="AJ261" s="243">
        <v>0</v>
      </c>
      <c r="AK261" s="243">
        <v>0</v>
      </c>
      <c r="AL261" s="254">
        <f t="shared" si="153"/>
        <v>106.49926448739254</v>
      </c>
    </row>
    <row r="262" spans="1:38" ht="14.4" customHeight="1">
      <c r="A262" s="437"/>
      <c r="B262" s="247" t="s">
        <v>47</v>
      </c>
      <c r="C262" s="248">
        <f>C261+C260</f>
        <v>0</v>
      </c>
      <c r="D262" s="248">
        <f t="shared" ref="D262:Q262" si="156">D261+D260</f>
        <v>0</v>
      </c>
      <c r="E262" s="248">
        <f t="shared" si="156"/>
        <v>1228.5129506377534</v>
      </c>
      <c r="F262" s="248">
        <f t="shared" si="156"/>
        <v>0</v>
      </c>
      <c r="G262" s="248">
        <f t="shared" si="156"/>
        <v>0</v>
      </c>
      <c r="H262" s="248">
        <f t="shared" si="156"/>
        <v>0</v>
      </c>
      <c r="I262" s="248">
        <f t="shared" si="156"/>
        <v>1.5998093263881263</v>
      </c>
      <c r="J262" s="248">
        <f t="shared" si="156"/>
        <v>0</v>
      </c>
      <c r="K262" s="248">
        <f t="shared" si="156"/>
        <v>0</v>
      </c>
      <c r="L262" s="248">
        <f t="shared" si="156"/>
        <v>0</v>
      </c>
      <c r="M262" s="248">
        <f t="shared" si="156"/>
        <v>0</v>
      </c>
      <c r="N262" s="248">
        <f t="shared" si="156"/>
        <v>22.577470384042485</v>
      </c>
      <c r="O262" s="248">
        <f t="shared" si="156"/>
        <v>1232.6464007361753</v>
      </c>
      <c r="P262" s="248">
        <f t="shared" si="156"/>
        <v>0</v>
      </c>
      <c r="Q262" s="248">
        <f t="shared" si="156"/>
        <v>0</v>
      </c>
      <c r="R262" s="248">
        <f t="shared" si="152"/>
        <v>2485.3366310843594</v>
      </c>
      <c r="U262" s="437"/>
      <c r="V262" s="247" t="s">
        <v>47</v>
      </c>
      <c r="W262" s="248">
        <f>W261+W260</f>
        <v>0</v>
      </c>
      <c r="X262" s="248">
        <f t="shared" ref="X262:AK262" si="157">X261+X260</f>
        <v>0</v>
      </c>
      <c r="Y262" s="248">
        <f t="shared" si="157"/>
        <v>498.2369161061481</v>
      </c>
      <c r="Z262" s="248">
        <f t="shared" si="157"/>
        <v>0</v>
      </c>
      <c r="AA262" s="248">
        <f t="shared" si="157"/>
        <v>0</v>
      </c>
      <c r="AB262" s="248">
        <f t="shared" si="157"/>
        <v>0</v>
      </c>
      <c r="AC262" s="248">
        <f t="shared" si="157"/>
        <v>8.9876128575109853</v>
      </c>
      <c r="AD262" s="248">
        <f t="shared" si="157"/>
        <v>0</v>
      </c>
      <c r="AE262" s="248">
        <f t="shared" si="157"/>
        <v>50.511198483870963</v>
      </c>
      <c r="AF262" s="248">
        <f t="shared" si="157"/>
        <v>0</v>
      </c>
      <c r="AG262" s="248">
        <f t="shared" si="157"/>
        <v>0</v>
      </c>
      <c r="AH262" s="248">
        <f t="shared" si="157"/>
        <v>29.829996062885535</v>
      </c>
      <c r="AI262" s="248">
        <f t="shared" si="157"/>
        <v>1105.834511856121</v>
      </c>
      <c r="AJ262" s="248">
        <f t="shared" si="157"/>
        <v>0</v>
      </c>
      <c r="AK262" s="248">
        <f t="shared" si="157"/>
        <v>0</v>
      </c>
      <c r="AL262" s="248">
        <f t="shared" si="153"/>
        <v>1693.4002353665367</v>
      </c>
    </row>
    <row r="271" spans="1:38" ht="14.4" customHeight="1">
      <c r="A271" s="437">
        <v>2050</v>
      </c>
      <c r="B271" s="441" t="s">
        <v>12</v>
      </c>
      <c r="C271" s="440" t="s">
        <v>14</v>
      </c>
      <c r="D271" s="440" t="s">
        <v>15</v>
      </c>
      <c r="E271" s="440" t="s">
        <v>16</v>
      </c>
      <c r="F271" s="440" t="s">
        <v>17</v>
      </c>
      <c r="G271" s="440" t="s">
        <v>365</v>
      </c>
      <c r="H271" s="440" t="s">
        <v>18</v>
      </c>
      <c r="I271" s="440" t="s">
        <v>19</v>
      </c>
      <c r="J271" s="440"/>
      <c r="K271" s="440"/>
      <c r="L271" s="440"/>
      <c r="M271" s="440"/>
      <c r="N271" s="440"/>
      <c r="O271" s="432" t="s">
        <v>366</v>
      </c>
      <c r="P271" s="432" t="s">
        <v>21</v>
      </c>
      <c r="Q271" s="432" t="s">
        <v>367</v>
      </c>
      <c r="R271" s="432" t="s">
        <v>23</v>
      </c>
      <c r="U271" s="437">
        <v>2050</v>
      </c>
      <c r="V271" s="438" t="s">
        <v>12</v>
      </c>
      <c r="W271" s="432" t="s">
        <v>14</v>
      </c>
      <c r="X271" s="432" t="s">
        <v>15</v>
      </c>
      <c r="Y271" s="432" t="s">
        <v>16</v>
      </c>
      <c r="Z271" s="432" t="s">
        <v>17</v>
      </c>
      <c r="AA271" s="432" t="s">
        <v>365</v>
      </c>
      <c r="AB271" s="432" t="s">
        <v>18</v>
      </c>
      <c r="AC271" s="434" t="s">
        <v>19</v>
      </c>
      <c r="AD271" s="435"/>
      <c r="AE271" s="435"/>
      <c r="AF271" s="435"/>
      <c r="AG271" s="435"/>
      <c r="AH271" s="436"/>
      <c r="AI271" s="432" t="s">
        <v>366</v>
      </c>
      <c r="AJ271" s="432" t="s">
        <v>21</v>
      </c>
      <c r="AK271" s="432" t="s">
        <v>367</v>
      </c>
      <c r="AL271" s="432" t="s">
        <v>23</v>
      </c>
    </row>
    <row r="272" spans="1:38" ht="45.6">
      <c r="A272" s="437"/>
      <c r="B272" s="441"/>
      <c r="C272" s="440"/>
      <c r="D272" s="440"/>
      <c r="E272" s="440"/>
      <c r="F272" s="440"/>
      <c r="G272" s="440"/>
      <c r="H272" s="440"/>
      <c r="I272" s="240" t="s">
        <v>354</v>
      </c>
      <c r="J272" s="240" t="s">
        <v>7</v>
      </c>
      <c r="K272" s="240" t="s">
        <v>355</v>
      </c>
      <c r="L272" s="240" t="s">
        <v>368</v>
      </c>
      <c r="M272" s="241" t="s">
        <v>369</v>
      </c>
      <c r="N272" s="240" t="s">
        <v>370</v>
      </c>
      <c r="O272" s="432"/>
      <c r="P272" s="432"/>
      <c r="Q272" s="432"/>
      <c r="R272" s="432"/>
      <c r="U272" s="437"/>
      <c r="V272" s="439"/>
      <c r="W272" s="433"/>
      <c r="X272" s="433"/>
      <c r="Y272" s="433"/>
      <c r="Z272" s="433"/>
      <c r="AA272" s="433"/>
      <c r="AB272" s="433"/>
      <c r="AC272" s="240" t="s">
        <v>354</v>
      </c>
      <c r="AD272" s="240" t="s">
        <v>7</v>
      </c>
      <c r="AE272" s="240" t="s">
        <v>355</v>
      </c>
      <c r="AF272" s="240" t="s">
        <v>368</v>
      </c>
      <c r="AG272" s="241" t="s">
        <v>369</v>
      </c>
      <c r="AH272" s="240" t="s">
        <v>370</v>
      </c>
      <c r="AI272" s="433"/>
      <c r="AJ272" s="433"/>
      <c r="AK272" s="433"/>
      <c r="AL272" s="432"/>
    </row>
    <row r="273" spans="1:38" ht="14.4" customHeight="1">
      <c r="A273" s="437"/>
      <c r="B273" s="242" t="s">
        <v>24</v>
      </c>
      <c r="C273" s="243">
        <v>0</v>
      </c>
      <c r="D273" s="244">
        <v>0</v>
      </c>
      <c r="E273" s="244">
        <v>0</v>
      </c>
      <c r="F273" s="243">
        <v>0</v>
      </c>
      <c r="G273" s="244">
        <v>0</v>
      </c>
      <c r="H273" s="244">
        <f>H279</f>
        <v>711.52147568002738</v>
      </c>
      <c r="I273" s="244">
        <f>IF((I279-$I$27)&gt;0,$I$27+(I279-$I$27)*0.5,I279)</f>
        <v>313.69943715633065</v>
      </c>
      <c r="J273" s="244">
        <v>0</v>
      </c>
      <c r="K273" s="244">
        <f>IF((K279-$K$27)&gt;0,$K$27+(K279-$K$27)*0.5,K279)</f>
        <v>674.98641625147536</v>
      </c>
      <c r="L273" s="244">
        <f>L279</f>
        <v>18.637366632798134</v>
      </c>
      <c r="M273" s="244">
        <v>0</v>
      </c>
      <c r="N273" s="244">
        <f>N279</f>
        <v>23.889195634436682</v>
      </c>
      <c r="O273" s="245">
        <v>0</v>
      </c>
      <c r="P273" s="244">
        <v>0</v>
      </c>
      <c r="Q273" s="244">
        <v>0</v>
      </c>
      <c r="R273" s="246">
        <f>SUM(C273:Q273)</f>
        <v>1742.7338913550682</v>
      </c>
      <c r="U273" s="437"/>
      <c r="V273" s="242" t="s">
        <v>24</v>
      </c>
      <c r="W273" s="243">
        <v>0</v>
      </c>
      <c r="X273" s="244">
        <v>0</v>
      </c>
      <c r="Y273" s="244">
        <v>0</v>
      </c>
      <c r="Z273" s="243">
        <v>0</v>
      </c>
      <c r="AA273" s="244">
        <v>0</v>
      </c>
      <c r="AB273" s="244">
        <f>AB279</f>
        <v>731.30709121906386</v>
      </c>
      <c r="AC273" s="244">
        <f>IF((AC279-AC27)&gt;0,AC27+(AC279-AC27)*0.5,AC279)</f>
        <v>394.70538320811977</v>
      </c>
      <c r="AD273" s="244">
        <v>0</v>
      </c>
      <c r="AE273" s="244">
        <f>IF((AE279-AE27)&gt;0,AE27+(AE279-AE27)*0.5,AE279)</f>
        <v>437.09477447397222</v>
      </c>
      <c r="AF273" s="244">
        <f>AF279</f>
        <v>16.395373921656088</v>
      </c>
      <c r="AG273" s="244">
        <v>0</v>
      </c>
      <c r="AH273" s="244">
        <f>AH279</f>
        <v>29.652737925189456</v>
      </c>
      <c r="AI273" s="245">
        <v>0</v>
      </c>
      <c r="AJ273" s="244">
        <v>0</v>
      </c>
      <c r="AK273" s="244">
        <v>0</v>
      </c>
      <c r="AL273" s="246">
        <f>SUM(W273:AK273)</f>
        <v>1609.1553607480014</v>
      </c>
    </row>
    <row r="274" spans="1:38" ht="14.4" customHeight="1">
      <c r="A274" s="437"/>
      <c r="B274" s="242" t="s">
        <v>28</v>
      </c>
      <c r="C274" s="243">
        <f>C279</f>
        <v>0</v>
      </c>
      <c r="D274" s="244">
        <f>D279</f>
        <v>0</v>
      </c>
      <c r="E274" s="244">
        <f>E279</f>
        <v>1303.0109149387147</v>
      </c>
      <c r="F274" s="243">
        <v>0</v>
      </c>
      <c r="G274" s="244">
        <v>0</v>
      </c>
      <c r="H274" s="244">
        <v>0</v>
      </c>
      <c r="I274" s="244">
        <f>IF((I279-$I$27)&gt;0,(I279-$I$27)*0.5,0)</f>
        <v>212.08263136833062</v>
      </c>
      <c r="J274" s="244">
        <v>0</v>
      </c>
      <c r="K274" s="244">
        <f>IF((K279-$K$27)&gt;0,(K279-$K$27)*0.5,0)</f>
        <v>674.98641625147536</v>
      </c>
      <c r="L274" s="244">
        <v>0</v>
      </c>
      <c r="M274" s="244">
        <v>0</v>
      </c>
      <c r="N274" s="244">
        <v>0</v>
      </c>
      <c r="O274" s="245">
        <v>0</v>
      </c>
      <c r="P274" s="244">
        <v>0</v>
      </c>
      <c r="Q274" s="244">
        <v>0</v>
      </c>
      <c r="R274" s="246">
        <f t="shared" ref="R274:R279" si="158">SUM(C274:Q274)</f>
        <v>2190.0799625585205</v>
      </c>
      <c r="U274" s="437"/>
      <c r="V274" s="242" t="s">
        <v>28</v>
      </c>
      <c r="W274" s="243">
        <f>W279</f>
        <v>0</v>
      </c>
      <c r="X274" s="244">
        <f>X279</f>
        <v>0</v>
      </c>
      <c r="Y274" s="244">
        <f>Y279</f>
        <v>344.22737105413182</v>
      </c>
      <c r="Z274" s="243">
        <v>0</v>
      </c>
      <c r="AA274" s="244">
        <v>0</v>
      </c>
      <c r="AB274" s="244">
        <v>0</v>
      </c>
      <c r="AC274" s="244">
        <f>IF((AC279-AC27)&gt;0,(AC279-AC27)*0.5,0)</f>
        <v>293.0885774201198</v>
      </c>
      <c r="AD274" s="244">
        <v>0</v>
      </c>
      <c r="AE274" s="244">
        <f>IF((AE279-AE27)&gt;0,(AE279-AE27)*0.5,0)</f>
        <v>437.09477447397222</v>
      </c>
      <c r="AF274" s="244">
        <v>0</v>
      </c>
      <c r="AG274" s="244">
        <v>0</v>
      </c>
      <c r="AH274" s="244">
        <v>0</v>
      </c>
      <c r="AI274" s="245">
        <v>0</v>
      </c>
      <c r="AJ274" s="244">
        <v>0</v>
      </c>
      <c r="AK274" s="244">
        <v>0</v>
      </c>
      <c r="AL274" s="246">
        <f t="shared" ref="AL274:AL279" si="159">SUM(W274:AK274)</f>
        <v>1074.4107229482238</v>
      </c>
    </row>
    <row r="275" spans="1:38" ht="14.4" customHeight="1">
      <c r="A275" s="437"/>
      <c r="B275" s="242" t="s">
        <v>29</v>
      </c>
      <c r="C275" s="243">
        <v>0</v>
      </c>
      <c r="D275" s="244">
        <v>0</v>
      </c>
      <c r="E275" s="244">
        <v>0</v>
      </c>
      <c r="F275" s="243">
        <v>0</v>
      </c>
      <c r="G275" s="244">
        <v>0</v>
      </c>
      <c r="H275" s="244">
        <v>0</v>
      </c>
      <c r="I275" s="244">
        <v>0</v>
      </c>
      <c r="J275" s="244">
        <v>0</v>
      </c>
      <c r="K275" s="244">
        <v>0</v>
      </c>
      <c r="L275" s="244">
        <v>0</v>
      </c>
      <c r="M275" s="244">
        <v>0</v>
      </c>
      <c r="N275" s="244">
        <v>0</v>
      </c>
      <c r="O275" s="245">
        <v>0</v>
      </c>
      <c r="P275" s="244">
        <v>0</v>
      </c>
      <c r="Q275" s="244">
        <v>0</v>
      </c>
      <c r="R275" s="246">
        <f t="shared" si="158"/>
        <v>0</v>
      </c>
      <c r="U275" s="437"/>
      <c r="V275" s="242" t="s">
        <v>29</v>
      </c>
      <c r="W275" s="243">
        <v>0</v>
      </c>
      <c r="X275" s="244">
        <v>0</v>
      </c>
      <c r="Y275" s="244">
        <v>0</v>
      </c>
      <c r="Z275" s="243">
        <v>0</v>
      </c>
      <c r="AA275" s="244">
        <v>0</v>
      </c>
      <c r="AB275" s="244">
        <v>0</v>
      </c>
      <c r="AC275" s="244">
        <v>0</v>
      </c>
      <c r="AD275" s="244">
        <v>0</v>
      </c>
      <c r="AE275" s="244">
        <v>0</v>
      </c>
      <c r="AF275" s="244">
        <v>0</v>
      </c>
      <c r="AG275" s="244">
        <v>0</v>
      </c>
      <c r="AH275" s="244">
        <v>0</v>
      </c>
      <c r="AI275" s="245">
        <v>0</v>
      </c>
      <c r="AJ275" s="244">
        <v>0</v>
      </c>
      <c r="AK275" s="244">
        <v>0</v>
      </c>
      <c r="AL275" s="246">
        <f t="shared" si="159"/>
        <v>0</v>
      </c>
    </row>
    <row r="276" spans="1:38" ht="14.4" customHeight="1">
      <c r="A276" s="437"/>
      <c r="B276" s="242" t="s">
        <v>30</v>
      </c>
      <c r="C276" s="243">
        <v>0</v>
      </c>
      <c r="D276" s="244">
        <v>0</v>
      </c>
      <c r="E276" s="244">
        <v>0</v>
      </c>
      <c r="F276" s="243">
        <v>0</v>
      </c>
      <c r="G276" s="244">
        <v>0</v>
      </c>
      <c r="H276" s="244">
        <v>0</v>
      </c>
      <c r="I276" s="244">
        <v>0</v>
      </c>
      <c r="J276" s="244">
        <v>0</v>
      </c>
      <c r="K276" s="244">
        <v>0</v>
      </c>
      <c r="L276" s="244">
        <v>0</v>
      </c>
      <c r="M276" s="244">
        <v>0</v>
      </c>
      <c r="N276" s="244">
        <v>0</v>
      </c>
      <c r="O276" s="245">
        <v>0</v>
      </c>
      <c r="P276" s="244">
        <v>0</v>
      </c>
      <c r="Q276" s="244">
        <v>0</v>
      </c>
      <c r="R276" s="246">
        <f t="shared" si="158"/>
        <v>0</v>
      </c>
      <c r="U276" s="437"/>
      <c r="V276" s="242" t="s">
        <v>30</v>
      </c>
      <c r="W276" s="243">
        <v>0</v>
      </c>
      <c r="X276" s="244">
        <v>0</v>
      </c>
      <c r="Y276" s="244">
        <v>0</v>
      </c>
      <c r="Z276" s="243">
        <v>0</v>
      </c>
      <c r="AA276" s="244">
        <v>0</v>
      </c>
      <c r="AB276" s="244">
        <v>0</v>
      </c>
      <c r="AC276" s="244">
        <v>0</v>
      </c>
      <c r="AD276" s="244">
        <v>0</v>
      </c>
      <c r="AE276" s="244">
        <v>0</v>
      </c>
      <c r="AF276" s="244">
        <v>0</v>
      </c>
      <c r="AG276" s="244">
        <v>0</v>
      </c>
      <c r="AH276" s="244">
        <v>0</v>
      </c>
      <c r="AI276" s="245">
        <v>0</v>
      </c>
      <c r="AJ276" s="244">
        <v>0</v>
      </c>
      <c r="AK276" s="244">
        <v>0</v>
      </c>
      <c r="AL276" s="246">
        <f t="shared" si="159"/>
        <v>0</v>
      </c>
    </row>
    <row r="277" spans="1:38" ht="14.4" customHeight="1">
      <c r="A277" s="437"/>
      <c r="B277" s="242" t="s">
        <v>31</v>
      </c>
      <c r="C277" s="243">
        <v>0</v>
      </c>
      <c r="D277" s="244">
        <v>0</v>
      </c>
      <c r="E277" s="244">
        <v>0</v>
      </c>
      <c r="F277" s="243">
        <v>0</v>
      </c>
      <c r="G277" s="244">
        <v>0</v>
      </c>
      <c r="H277" s="244">
        <v>0</v>
      </c>
      <c r="I277" s="244">
        <v>0</v>
      </c>
      <c r="J277" s="244">
        <v>0</v>
      </c>
      <c r="K277" s="244">
        <v>0</v>
      </c>
      <c r="L277" s="244">
        <v>0</v>
      </c>
      <c r="M277" s="244">
        <v>0</v>
      </c>
      <c r="N277" s="244">
        <v>0</v>
      </c>
      <c r="O277" s="245">
        <v>0</v>
      </c>
      <c r="P277" s="244">
        <v>0</v>
      </c>
      <c r="Q277" s="244">
        <v>0</v>
      </c>
      <c r="R277" s="246">
        <f t="shared" si="158"/>
        <v>0</v>
      </c>
      <c r="U277" s="437"/>
      <c r="V277" s="242" t="s">
        <v>31</v>
      </c>
      <c r="W277" s="243">
        <v>0</v>
      </c>
      <c r="X277" s="244">
        <v>0</v>
      </c>
      <c r="Y277" s="244">
        <v>0</v>
      </c>
      <c r="Z277" s="243">
        <v>0</v>
      </c>
      <c r="AA277" s="244">
        <v>0</v>
      </c>
      <c r="AB277" s="244">
        <v>0</v>
      </c>
      <c r="AC277" s="244">
        <v>0</v>
      </c>
      <c r="AD277" s="244">
        <v>0</v>
      </c>
      <c r="AE277" s="244">
        <v>0</v>
      </c>
      <c r="AF277" s="244">
        <v>0</v>
      </c>
      <c r="AG277" s="244">
        <v>0</v>
      </c>
      <c r="AH277" s="244">
        <v>0</v>
      </c>
      <c r="AI277" s="245">
        <v>0</v>
      </c>
      <c r="AJ277" s="244">
        <v>0</v>
      </c>
      <c r="AK277" s="244">
        <v>0</v>
      </c>
      <c r="AL277" s="246">
        <f t="shared" si="159"/>
        <v>0</v>
      </c>
    </row>
    <row r="278" spans="1:38" ht="14.4" customHeight="1">
      <c r="A278" s="437"/>
      <c r="B278" s="242" t="s">
        <v>32</v>
      </c>
      <c r="C278" s="243">
        <v>0</v>
      </c>
      <c r="D278" s="244">
        <v>0</v>
      </c>
      <c r="E278" s="244">
        <v>0</v>
      </c>
      <c r="F278" s="243">
        <v>0</v>
      </c>
      <c r="G278" s="244">
        <v>0</v>
      </c>
      <c r="H278" s="244">
        <v>0</v>
      </c>
      <c r="I278" s="244">
        <v>0</v>
      </c>
      <c r="J278" s="244">
        <v>0</v>
      </c>
      <c r="K278" s="244">
        <v>0</v>
      </c>
      <c r="L278" s="244">
        <v>0</v>
      </c>
      <c r="M278" s="244">
        <v>0</v>
      </c>
      <c r="N278" s="244">
        <v>0</v>
      </c>
      <c r="O278" s="245">
        <v>0</v>
      </c>
      <c r="P278" s="244">
        <v>0</v>
      </c>
      <c r="Q278" s="244">
        <v>0</v>
      </c>
      <c r="R278" s="246">
        <f t="shared" si="158"/>
        <v>0</v>
      </c>
      <c r="U278" s="437"/>
      <c r="V278" s="242" t="s">
        <v>32</v>
      </c>
      <c r="W278" s="243">
        <v>0</v>
      </c>
      <c r="X278" s="244">
        <v>0</v>
      </c>
      <c r="Y278" s="244">
        <v>0</v>
      </c>
      <c r="Z278" s="243">
        <v>0</v>
      </c>
      <c r="AA278" s="244">
        <v>0</v>
      </c>
      <c r="AB278" s="244">
        <v>0</v>
      </c>
      <c r="AC278" s="244">
        <v>0</v>
      </c>
      <c r="AD278" s="244">
        <v>0</v>
      </c>
      <c r="AE278" s="244">
        <v>0</v>
      </c>
      <c r="AF278" s="244">
        <v>0</v>
      </c>
      <c r="AG278" s="244">
        <v>0</v>
      </c>
      <c r="AH278" s="244">
        <v>0</v>
      </c>
      <c r="AI278" s="245">
        <v>0</v>
      </c>
      <c r="AJ278" s="244">
        <v>0</v>
      </c>
      <c r="AK278" s="244">
        <v>0</v>
      </c>
      <c r="AL278" s="246">
        <f t="shared" si="159"/>
        <v>0</v>
      </c>
    </row>
    <row r="279" spans="1:38" ht="14.4" customHeight="1">
      <c r="A279" s="437"/>
      <c r="B279" s="247" t="s">
        <v>371</v>
      </c>
      <c r="C279" s="248">
        <f>C303+C301</f>
        <v>0</v>
      </c>
      <c r="D279" s="248">
        <f>D293+D303</f>
        <v>0</v>
      </c>
      <c r="E279" s="248">
        <f>E293+E303</f>
        <v>1303.0109149387147</v>
      </c>
      <c r="F279" s="248">
        <f t="shared" ref="F279:G279" si="160">SUM(F273:F278)</f>
        <v>0</v>
      </c>
      <c r="G279" s="248">
        <f t="shared" si="160"/>
        <v>0</v>
      </c>
      <c r="H279" s="248">
        <f>H293</f>
        <v>711.52147568002738</v>
      </c>
      <c r="I279" s="248">
        <f>I293+I301</f>
        <v>525.78206852466121</v>
      </c>
      <c r="J279" s="248">
        <f t="shared" ref="J279" si="161">SUM(J273:J278)</f>
        <v>0</v>
      </c>
      <c r="K279" s="248">
        <f>K293+K303</f>
        <v>1349.9728325029507</v>
      </c>
      <c r="L279" s="248">
        <f>L293+L303</f>
        <v>18.637366632798134</v>
      </c>
      <c r="M279" s="248">
        <f t="shared" ref="M279" si="162">SUM(M273:M278)</f>
        <v>0</v>
      </c>
      <c r="N279" s="248">
        <f>N293+N303</f>
        <v>23.889195634436682</v>
      </c>
      <c r="O279" s="248">
        <f t="shared" ref="O279:Q279" si="163">SUM(O273:O278)</f>
        <v>0</v>
      </c>
      <c r="P279" s="248">
        <f t="shared" si="163"/>
        <v>0</v>
      </c>
      <c r="Q279" s="248">
        <f t="shared" si="163"/>
        <v>0</v>
      </c>
      <c r="R279" s="248">
        <f t="shared" si="158"/>
        <v>3932.8138539135889</v>
      </c>
      <c r="U279" s="437"/>
      <c r="V279" s="247" t="s">
        <v>371</v>
      </c>
      <c r="W279" s="248">
        <f>W303+W301</f>
        <v>0</v>
      </c>
      <c r="X279" s="248">
        <f>X293+X303</f>
        <v>0</v>
      </c>
      <c r="Y279" s="248">
        <f>Y293+Y303</f>
        <v>344.22737105413182</v>
      </c>
      <c r="Z279" s="248">
        <f t="shared" ref="Z279:AA279" si="164">SUM(Z273:Z278)</f>
        <v>0</v>
      </c>
      <c r="AA279" s="248">
        <f t="shared" si="164"/>
        <v>0</v>
      </c>
      <c r="AB279" s="248">
        <f>AB293</f>
        <v>731.30709121906386</v>
      </c>
      <c r="AC279" s="248">
        <f>AC293+AC301</f>
        <v>687.79396062823957</v>
      </c>
      <c r="AD279" s="248">
        <f t="shared" ref="AD279" si="165">SUM(AD273:AD278)</f>
        <v>0</v>
      </c>
      <c r="AE279" s="248">
        <f>AE293+AE303</f>
        <v>874.18954894794444</v>
      </c>
      <c r="AF279" s="248">
        <f>AF293+AF303</f>
        <v>16.395373921656088</v>
      </c>
      <c r="AG279" s="248">
        <f t="shared" ref="AG279" si="166">SUM(AG273:AG278)</f>
        <v>0</v>
      </c>
      <c r="AH279" s="248">
        <f>AH293+AH303</f>
        <v>29.652737925189456</v>
      </c>
      <c r="AI279" s="248">
        <f t="shared" ref="AI279:AK279" si="167">SUM(AI273:AI278)</f>
        <v>0</v>
      </c>
      <c r="AJ279" s="248">
        <f t="shared" si="167"/>
        <v>0</v>
      </c>
      <c r="AK279" s="248">
        <f t="shared" si="167"/>
        <v>0</v>
      </c>
      <c r="AL279" s="248">
        <f t="shared" si="159"/>
        <v>2683.5660836962252</v>
      </c>
    </row>
    <row r="280" spans="1:38" ht="14.4" customHeight="1">
      <c r="A280" s="437"/>
      <c r="B280" s="249"/>
      <c r="C280" s="250"/>
      <c r="D280" s="219"/>
      <c r="E280" s="251"/>
      <c r="F280" s="250"/>
      <c r="G280" s="250"/>
      <c r="H280" s="250"/>
      <c r="I280" s="250"/>
      <c r="J280" s="250"/>
      <c r="K280" s="250"/>
      <c r="L280" s="250"/>
      <c r="M280" s="250"/>
      <c r="N280" s="250"/>
      <c r="O280" s="259"/>
      <c r="P280" s="250"/>
      <c r="Q280" s="250"/>
      <c r="R280" s="250"/>
      <c r="U280" s="437"/>
      <c r="V280" s="249"/>
      <c r="W280" s="250"/>
      <c r="X280" s="219"/>
      <c r="Y280" s="251"/>
      <c r="Z280" s="250"/>
      <c r="AA280" s="250"/>
      <c r="AB280" s="250"/>
      <c r="AC280" s="250"/>
      <c r="AD280" s="250"/>
      <c r="AE280" s="250"/>
      <c r="AF280" s="250"/>
      <c r="AG280" s="250"/>
      <c r="AH280" s="250"/>
      <c r="AI280" s="259"/>
      <c r="AJ280" s="250"/>
      <c r="AK280" s="250"/>
      <c r="AL280" s="250"/>
    </row>
    <row r="281" spans="1:38" ht="14.4" customHeight="1">
      <c r="A281" s="437"/>
      <c r="B281" s="252" t="s">
        <v>372</v>
      </c>
      <c r="C281" s="243">
        <v>0</v>
      </c>
      <c r="D281" s="253">
        <v>0</v>
      </c>
      <c r="E281" s="253">
        <v>0</v>
      </c>
      <c r="F281" s="243">
        <v>0</v>
      </c>
      <c r="G281" s="243">
        <v>0</v>
      </c>
      <c r="H281" s="243">
        <v>0</v>
      </c>
      <c r="I281" s="243">
        <v>0</v>
      </c>
      <c r="J281" s="243">
        <v>0</v>
      </c>
      <c r="K281" s="243">
        <v>0</v>
      </c>
      <c r="L281" s="243">
        <v>0</v>
      </c>
      <c r="M281" s="243">
        <v>0</v>
      </c>
      <c r="N281" s="243">
        <v>0</v>
      </c>
      <c r="O281" s="243">
        <v>0</v>
      </c>
      <c r="P281" s="243">
        <v>0</v>
      </c>
      <c r="Q281" s="243">
        <v>0</v>
      </c>
      <c r="R281" s="254">
        <f>SUM(C281:Q281)</f>
        <v>0</v>
      </c>
      <c r="U281" s="437"/>
      <c r="V281" s="252" t="s">
        <v>372</v>
      </c>
      <c r="W281" s="243">
        <v>0</v>
      </c>
      <c r="X281" s="253">
        <v>0</v>
      </c>
      <c r="Y281" s="253">
        <v>0</v>
      </c>
      <c r="Z281" s="243">
        <v>0</v>
      </c>
      <c r="AA281" s="243">
        <v>0</v>
      </c>
      <c r="AB281" s="243">
        <v>0</v>
      </c>
      <c r="AC281" s="243">
        <v>0</v>
      </c>
      <c r="AD281" s="243">
        <v>0</v>
      </c>
      <c r="AE281" s="243">
        <v>0</v>
      </c>
      <c r="AF281" s="243">
        <v>0</v>
      </c>
      <c r="AG281" s="243">
        <v>0</v>
      </c>
      <c r="AH281" s="243">
        <v>0</v>
      </c>
      <c r="AI281" s="243">
        <v>0</v>
      </c>
      <c r="AJ281" s="243">
        <v>0</v>
      </c>
      <c r="AK281" s="243">
        <v>0</v>
      </c>
      <c r="AL281" s="254">
        <f>SUM(W281:AK281)</f>
        <v>0</v>
      </c>
    </row>
    <row r="282" spans="1:38" ht="14.4" customHeight="1">
      <c r="A282" s="437"/>
      <c r="B282" s="252" t="s">
        <v>373</v>
      </c>
      <c r="C282" s="243">
        <f>$O$282*'Prod Energie'!$I$32/(-$J$13)</f>
        <v>0</v>
      </c>
      <c r="D282" s="243">
        <v>0</v>
      </c>
      <c r="E282" s="243">
        <f>O282*'Prod Energie'!$I$33/(-$K$13)</f>
        <v>68.289129061330954</v>
      </c>
      <c r="F282" s="243">
        <v>0</v>
      </c>
      <c r="G282" s="243">
        <v>0</v>
      </c>
      <c r="H282" s="243">
        <f>(O282)*('Prod Energie'!$I$34+'Prod Energie'!$I$39+'Prod Energie'!$I$40)/(-$L$13)</f>
        <v>711.52147568002738</v>
      </c>
      <c r="I282" s="255">
        <f>(O282)*('Prod Energie'!$I$38)/(-$M$13)</f>
        <v>524.05148475352166</v>
      </c>
      <c r="J282" s="255">
        <f>(O282)*$L$17*('Prod Energie'!$I$36)</f>
        <v>0</v>
      </c>
      <c r="K282" s="255">
        <f>(O282)*('Prod Energie'!$I$37)/(-O13)</f>
        <v>1349.9728325029507</v>
      </c>
      <c r="L282" s="255">
        <f>(O282)*('Prod Energie'!$I$41)/(-P13)</f>
        <v>18.637366632798134</v>
      </c>
      <c r="M282" s="255">
        <v>0</v>
      </c>
      <c r="N282" s="255">
        <f>(O282)*'Prod Energie'!I35/(-$Q$13)</f>
        <v>0</v>
      </c>
      <c r="O282" s="243">
        <f>O293/(1+$F$17+$F$18)</f>
        <v>-1502.3608393492809</v>
      </c>
      <c r="P282" s="243">
        <v>0</v>
      </c>
      <c r="Q282" s="243">
        <v>0</v>
      </c>
      <c r="R282" s="254">
        <f t="shared" ref="R282:R293" si="168">SUM(C282:Q282)</f>
        <v>1170.1114492813481</v>
      </c>
      <c r="U282" s="437"/>
      <c r="V282" s="252" t="s">
        <v>373</v>
      </c>
      <c r="W282" s="243">
        <f>$AI$282*'Prod Energie'!$I$53/(-$J$13)</f>
        <v>0</v>
      </c>
      <c r="X282" s="243">
        <v>0</v>
      </c>
      <c r="Y282" s="243">
        <f>AI282*'Prod Energie'!$I$54/(-$K$13)</f>
        <v>0</v>
      </c>
      <c r="Z282" s="243">
        <v>0</v>
      </c>
      <c r="AA282" s="243">
        <v>0</v>
      </c>
      <c r="AB282" s="243">
        <f>(AI282)*('Prod Energie'!$I$55+'Prod Energie'!$I$60+'Prod Energie'!$I$61)/(-$L$13)</f>
        <v>731.30709121906386</v>
      </c>
      <c r="AC282" s="255">
        <f>(AI282)*'Prod Energie'!$I$59/(-$M$13)</f>
        <v>677.94546519343328</v>
      </c>
      <c r="AD282" s="255">
        <f>(AI282)*('Prod Energie'!$I$57)/(-$N$13)</f>
        <v>0</v>
      </c>
      <c r="AE282" s="255">
        <f>(AI282)*('Prod Energie'!$I$58)/(-$O$13)</f>
        <v>813.96465844794443</v>
      </c>
      <c r="AF282" s="255">
        <f>(AI282)*('Prod Energie'!$I$62)/(-$P$13)</f>
        <v>16.395373921656088</v>
      </c>
      <c r="AG282" s="255">
        <v>0</v>
      </c>
      <c r="AH282" s="255">
        <f>(AI282)*('Prod Energie'!$I$56)/(-$Q$13)</f>
        <v>0</v>
      </c>
      <c r="AI282" s="243">
        <f>AI293/(1+$F$17+$F$18)</f>
        <v>-1337.9083650286086</v>
      </c>
      <c r="AJ282" s="243">
        <v>0</v>
      </c>
      <c r="AK282" s="243">
        <v>0</v>
      </c>
      <c r="AL282" s="254">
        <f t="shared" ref="AL282:AL293" si="169">SUM(W282:AK282)</f>
        <v>901.70422375348903</v>
      </c>
    </row>
    <row r="283" spans="1:38" ht="14.4" customHeight="1">
      <c r="A283" s="437"/>
      <c r="B283" s="252" t="s">
        <v>374</v>
      </c>
      <c r="C283" s="243">
        <v>0</v>
      </c>
      <c r="D283" s="243">
        <v>0</v>
      </c>
      <c r="E283" s="243">
        <v>0</v>
      </c>
      <c r="F283" s="243">
        <v>0</v>
      </c>
      <c r="G283" s="243">
        <v>0</v>
      </c>
      <c r="H283" s="243">
        <v>0</v>
      </c>
      <c r="I283" s="255">
        <f>$P$283*$L$18*V$17</f>
        <v>0</v>
      </c>
      <c r="J283" s="255">
        <f t="shared" ref="J283:N283" si="170">$P$283*$L$18*W$17</f>
        <v>0</v>
      </c>
      <c r="K283" s="255">
        <f t="shared" si="170"/>
        <v>0</v>
      </c>
      <c r="L283" s="255">
        <f t="shared" si="170"/>
        <v>0</v>
      </c>
      <c r="M283" s="255">
        <f t="shared" si="170"/>
        <v>0</v>
      </c>
      <c r="N283" s="255">
        <f t="shared" si="170"/>
        <v>0</v>
      </c>
      <c r="O283" s="243">
        <v>0</v>
      </c>
      <c r="P283" s="243">
        <f>P293/(1+$R$18)</f>
        <v>0</v>
      </c>
      <c r="Q283" s="243">
        <v>0</v>
      </c>
      <c r="R283" s="254">
        <f t="shared" si="168"/>
        <v>0</v>
      </c>
      <c r="U283" s="437"/>
      <c r="V283" s="252" t="s">
        <v>374</v>
      </c>
      <c r="W283" s="243">
        <v>0</v>
      </c>
      <c r="X283" s="243">
        <v>0</v>
      </c>
      <c r="Y283" s="243">
        <v>0</v>
      </c>
      <c r="Z283" s="243">
        <v>0</v>
      </c>
      <c r="AA283" s="243">
        <v>0</v>
      </c>
      <c r="AB283" s="243">
        <v>0</v>
      </c>
      <c r="AC283" s="255">
        <f>$AJ$283*$L$18*V$17</f>
        <v>0</v>
      </c>
      <c r="AD283" s="255">
        <f t="shared" ref="AD283:AH283" si="171">$AJ$283*$L$18*W$17</f>
        <v>0</v>
      </c>
      <c r="AE283" s="255">
        <f t="shared" si="171"/>
        <v>0</v>
      </c>
      <c r="AF283" s="255">
        <f t="shared" si="171"/>
        <v>0</v>
      </c>
      <c r="AG283" s="255">
        <f t="shared" si="171"/>
        <v>0</v>
      </c>
      <c r="AH283" s="255">
        <f t="shared" si="171"/>
        <v>0</v>
      </c>
      <c r="AI283" s="243">
        <v>0</v>
      </c>
      <c r="AJ283" s="243">
        <f>AJ293/(1+$R$18)</f>
        <v>0</v>
      </c>
      <c r="AK283" s="243">
        <v>0</v>
      </c>
      <c r="AL283" s="254">
        <f t="shared" si="169"/>
        <v>0</v>
      </c>
    </row>
    <row r="284" spans="1:38" ht="14.4" customHeight="1">
      <c r="A284" s="437"/>
      <c r="B284" s="252" t="s">
        <v>375</v>
      </c>
      <c r="C284" s="243">
        <v>0</v>
      </c>
      <c r="D284" s="243">
        <v>0</v>
      </c>
      <c r="E284" s="243">
        <v>0</v>
      </c>
      <c r="F284" s="243">
        <v>0</v>
      </c>
      <c r="G284" s="243">
        <v>0</v>
      </c>
      <c r="H284" s="243">
        <v>0</v>
      </c>
      <c r="I284" s="256">
        <v>0</v>
      </c>
      <c r="J284" s="256">
        <v>0</v>
      </c>
      <c r="K284" s="256">
        <v>0</v>
      </c>
      <c r="L284" s="256">
        <v>0</v>
      </c>
      <c r="M284" s="256">
        <v>0</v>
      </c>
      <c r="N284" s="256">
        <v>0</v>
      </c>
      <c r="O284" s="243">
        <v>0</v>
      </c>
      <c r="P284" s="243">
        <v>0</v>
      </c>
      <c r="Q284" s="243">
        <v>0</v>
      </c>
      <c r="R284" s="254">
        <f t="shared" si="168"/>
        <v>0</v>
      </c>
      <c r="U284" s="437"/>
      <c r="V284" s="252" t="s">
        <v>375</v>
      </c>
      <c r="W284" s="243">
        <v>0</v>
      </c>
      <c r="X284" s="243">
        <v>0</v>
      </c>
      <c r="Y284" s="243">
        <v>0</v>
      </c>
      <c r="Z284" s="243">
        <v>0</v>
      </c>
      <c r="AA284" s="243">
        <v>0</v>
      </c>
      <c r="AB284" s="243">
        <v>0</v>
      </c>
      <c r="AC284" s="256">
        <v>0</v>
      </c>
      <c r="AD284" s="256">
        <v>0</v>
      </c>
      <c r="AE284" s="256">
        <v>0</v>
      </c>
      <c r="AF284" s="256">
        <v>0</v>
      </c>
      <c r="AG284" s="256">
        <v>0</v>
      </c>
      <c r="AH284" s="256">
        <v>0</v>
      </c>
      <c r="AI284" s="243">
        <v>0</v>
      </c>
      <c r="AJ284" s="243">
        <v>0</v>
      </c>
      <c r="AK284" s="243">
        <v>0</v>
      </c>
      <c r="AL284" s="254">
        <f t="shared" si="169"/>
        <v>0</v>
      </c>
    </row>
    <row r="285" spans="1:38" ht="14.4" customHeight="1">
      <c r="A285" s="437"/>
      <c r="B285" s="252" t="s">
        <v>376</v>
      </c>
      <c r="C285" s="243">
        <v>0</v>
      </c>
      <c r="D285" s="243">
        <v>0</v>
      </c>
      <c r="E285" s="243">
        <v>0</v>
      </c>
      <c r="F285" s="243">
        <v>0</v>
      </c>
      <c r="G285" s="243">
        <v>0</v>
      </c>
      <c r="H285" s="243">
        <v>0</v>
      </c>
      <c r="I285" s="243">
        <v>0</v>
      </c>
      <c r="J285" s="243">
        <v>0</v>
      </c>
      <c r="K285" s="243">
        <v>0</v>
      </c>
      <c r="L285" s="243">
        <v>0</v>
      </c>
      <c r="M285" s="243">
        <v>0</v>
      </c>
      <c r="N285" s="243">
        <v>0</v>
      </c>
      <c r="O285" s="243">
        <v>0</v>
      </c>
      <c r="P285" s="243">
        <v>0</v>
      </c>
      <c r="Q285" s="243">
        <v>0</v>
      </c>
      <c r="R285" s="254">
        <f t="shared" si="168"/>
        <v>0</v>
      </c>
      <c r="U285" s="437"/>
      <c r="V285" s="252" t="s">
        <v>376</v>
      </c>
      <c r="W285" s="243">
        <v>0</v>
      </c>
      <c r="X285" s="243">
        <v>0</v>
      </c>
      <c r="Y285" s="243">
        <v>0</v>
      </c>
      <c r="Z285" s="243">
        <v>0</v>
      </c>
      <c r="AA285" s="243">
        <v>0</v>
      </c>
      <c r="AB285" s="243">
        <v>0</v>
      </c>
      <c r="AC285" s="243">
        <v>0</v>
      </c>
      <c r="AD285" s="243">
        <v>0</v>
      </c>
      <c r="AE285" s="243">
        <v>0</v>
      </c>
      <c r="AF285" s="243">
        <v>0</v>
      </c>
      <c r="AG285" s="243">
        <v>0</v>
      </c>
      <c r="AH285" s="243">
        <v>0</v>
      </c>
      <c r="AI285" s="243">
        <v>0</v>
      </c>
      <c r="AJ285" s="243">
        <v>0</v>
      </c>
      <c r="AK285" s="243">
        <v>0</v>
      </c>
      <c r="AL285" s="254">
        <f t="shared" si="169"/>
        <v>0</v>
      </c>
    </row>
    <row r="286" spans="1:38" ht="14.4" customHeight="1">
      <c r="A286" s="437"/>
      <c r="B286" s="252" t="s">
        <v>36</v>
      </c>
      <c r="C286" s="243">
        <v>0</v>
      </c>
      <c r="D286" s="243">
        <v>0</v>
      </c>
      <c r="E286" s="243">
        <v>0</v>
      </c>
      <c r="F286" s="243">
        <v>0</v>
      </c>
      <c r="G286" s="243">
        <v>0</v>
      </c>
      <c r="H286" s="243">
        <v>0</v>
      </c>
      <c r="I286" s="243">
        <v>0</v>
      </c>
      <c r="J286" s="243">
        <v>0</v>
      </c>
      <c r="K286" s="243">
        <v>0</v>
      </c>
      <c r="L286" s="243">
        <v>0</v>
      </c>
      <c r="M286" s="243">
        <v>0</v>
      </c>
      <c r="N286" s="243">
        <v>0</v>
      </c>
      <c r="O286" s="243">
        <v>0</v>
      </c>
      <c r="P286" s="243">
        <v>0</v>
      </c>
      <c r="Q286" s="243">
        <v>0</v>
      </c>
      <c r="R286" s="254">
        <f t="shared" si="168"/>
        <v>0</v>
      </c>
      <c r="U286" s="437"/>
      <c r="V286" s="252" t="s">
        <v>36</v>
      </c>
      <c r="W286" s="243">
        <v>0</v>
      </c>
      <c r="X286" s="243">
        <v>0</v>
      </c>
      <c r="Y286" s="243">
        <v>0</v>
      </c>
      <c r="Z286" s="243">
        <v>0</v>
      </c>
      <c r="AA286" s="243">
        <v>0</v>
      </c>
      <c r="AB286" s="243">
        <v>0</v>
      </c>
      <c r="AC286" s="243">
        <v>0</v>
      </c>
      <c r="AD286" s="243">
        <v>0</v>
      </c>
      <c r="AE286" s="243">
        <v>0</v>
      </c>
      <c r="AF286" s="243">
        <v>0</v>
      </c>
      <c r="AG286" s="243">
        <v>0</v>
      </c>
      <c r="AH286" s="243">
        <v>0</v>
      </c>
      <c r="AI286" s="243">
        <v>0</v>
      </c>
      <c r="AJ286" s="243">
        <v>0</v>
      </c>
      <c r="AK286" s="243">
        <v>0</v>
      </c>
      <c r="AL286" s="254">
        <f t="shared" si="169"/>
        <v>0</v>
      </c>
    </row>
    <row r="287" spans="1:38" ht="14.4" customHeight="1">
      <c r="A287" s="437"/>
      <c r="B287" s="252" t="s">
        <v>377</v>
      </c>
      <c r="C287" s="243">
        <v>0</v>
      </c>
      <c r="D287" s="243">
        <v>0</v>
      </c>
      <c r="E287" s="243">
        <v>0</v>
      </c>
      <c r="F287" s="243">
        <v>0</v>
      </c>
      <c r="G287" s="243">
        <v>0</v>
      </c>
      <c r="H287" s="243">
        <v>0</v>
      </c>
      <c r="I287" s="243">
        <v>0</v>
      </c>
      <c r="J287" s="243">
        <v>0</v>
      </c>
      <c r="K287" s="243">
        <v>0</v>
      </c>
      <c r="L287" s="243">
        <v>0</v>
      </c>
      <c r="M287" s="243">
        <v>0</v>
      </c>
      <c r="N287" s="243">
        <v>0</v>
      </c>
      <c r="O287" s="243">
        <v>0</v>
      </c>
      <c r="P287" s="243">
        <v>0</v>
      </c>
      <c r="Q287" s="243">
        <v>0</v>
      </c>
      <c r="R287" s="254">
        <f t="shared" si="168"/>
        <v>0</v>
      </c>
      <c r="U287" s="437"/>
      <c r="V287" s="252" t="s">
        <v>377</v>
      </c>
      <c r="W287" s="243">
        <v>0</v>
      </c>
      <c r="X287" s="243">
        <v>0</v>
      </c>
      <c r="Y287" s="243">
        <v>0</v>
      </c>
      <c r="Z287" s="243">
        <v>0</v>
      </c>
      <c r="AA287" s="243">
        <v>0</v>
      </c>
      <c r="AB287" s="243">
        <v>0</v>
      </c>
      <c r="AC287" s="243">
        <v>0</v>
      </c>
      <c r="AD287" s="243">
        <v>0</v>
      </c>
      <c r="AE287" s="243">
        <v>0</v>
      </c>
      <c r="AF287" s="243">
        <v>0</v>
      </c>
      <c r="AG287" s="243">
        <v>0</v>
      </c>
      <c r="AH287" s="243">
        <v>0</v>
      </c>
      <c r="AI287" s="243">
        <v>0</v>
      </c>
      <c r="AJ287" s="243">
        <v>0</v>
      </c>
      <c r="AK287" s="243">
        <v>0</v>
      </c>
      <c r="AL287" s="254">
        <f t="shared" si="169"/>
        <v>0</v>
      </c>
    </row>
    <row r="288" spans="1:38" ht="14.4" customHeight="1">
      <c r="A288" s="437"/>
      <c r="B288" s="252" t="s">
        <v>378</v>
      </c>
      <c r="C288" s="243">
        <v>0</v>
      </c>
      <c r="D288" s="243">
        <v>0</v>
      </c>
      <c r="E288" s="243">
        <v>0</v>
      </c>
      <c r="F288" s="243">
        <v>0</v>
      </c>
      <c r="G288" s="243">
        <v>0</v>
      </c>
      <c r="H288" s="243">
        <v>0</v>
      </c>
      <c r="I288" s="243">
        <v>0</v>
      </c>
      <c r="J288" s="243">
        <v>0</v>
      </c>
      <c r="K288" s="243">
        <v>0</v>
      </c>
      <c r="L288" s="243">
        <v>0</v>
      </c>
      <c r="M288" s="243">
        <v>0</v>
      </c>
      <c r="N288" s="243">
        <v>0</v>
      </c>
      <c r="O288" s="243">
        <v>0</v>
      </c>
      <c r="P288" s="243">
        <v>0</v>
      </c>
      <c r="Q288" s="243">
        <v>0</v>
      </c>
      <c r="R288" s="254">
        <f t="shared" si="168"/>
        <v>0</v>
      </c>
      <c r="U288" s="437"/>
      <c r="V288" s="252" t="s">
        <v>378</v>
      </c>
      <c r="W288" s="243">
        <v>0</v>
      </c>
      <c r="X288" s="243">
        <v>0</v>
      </c>
      <c r="Y288" s="243">
        <v>0</v>
      </c>
      <c r="Z288" s="243">
        <v>0</v>
      </c>
      <c r="AA288" s="243">
        <v>0</v>
      </c>
      <c r="AB288" s="243">
        <v>0</v>
      </c>
      <c r="AC288" s="243">
        <v>0</v>
      </c>
      <c r="AD288" s="243">
        <v>0</v>
      </c>
      <c r="AE288" s="243">
        <v>0</v>
      </c>
      <c r="AF288" s="243">
        <v>0</v>
      </c>
      <c r="AG288" s="243">
        <v>0</v>
      </c>
      <c r="AH288" s="243">
        <v>0</v>
      </c>
      <c r="AI288" s="243">
        <v>0</v>
      </c>
      <c r="AJ288" s="243">
        <v>0</v>
      </c>
      <c r="AK288" s="243">
        <v>0</v>
      </c>
      <c r="AL288" s="254">
        <f t="shared" si="169"/>
        <v>0</v>
      </c>
    </row>
    <row r="289" spans="1:40" ht="14.4" customHeight="1">
      <c r="A289" s="437"/>
      <c r="B289" s="252" t="s">
        <v>379</v>
      </c>
      <c r="C289" s="243">
        <v>0</v>
      </c>
      <c r="D289" s="243">
        <v>0</v>
      </c>
      <c r="E289" s="243">
        <v>0</v>
      </c>
      <c r="F289" s="243">
        <v>0</v>
      </c>
      <c r="G289" s="243">
        <v>0</v>
      </c>
      <c r="H289" s="243">
        <v>0</v>
      </c>
      <c r="I289" s="243">
        <v>0</v>
      </c>
      <c r="J289" s="243">
        <v>0</v>
      </c>
      <c r="K289" s="243">
        <v>0</v>
      </c>
      <c r="L289" s="243">
        <v>0</v>
      </c>
      <c r="M289" s="243">
        <v>0</v>
      </c>
      <c r="N289" s="243">
        <v>0</v>
      </c>
      <c r="O289" s="243">
        <v>0</v>
      </c>
      <c r="P289" s="243">
        <v>0</v>
      </c>
      <c r="Q289" s="243">
        <v>0</v>
      </c>
      <c r="R289" s="254">
        <f t="shared" si="168"/>
        <v>0</v>
      </c>
      <c r="U289" s="437"/>
      <c r="V289" s="252" t="s">
        <v>379</v>
      </c>
      <c r="W289" s="243">
        <v>0</v>
      </c>
      <c r="X289" s="243">
        <v>0</v>
      </c>
      <c r="Y289" s="243">
        <v>0</v>
      </c>
      <c r="Z289" s="243">
        <v>0</v>
      </c>
      <c r="AA289" s="243">
        <v>0</v>
      </c>
      <c r="AB289" s="243">
        <v>0</v>
      </c>
      <c r="AC289" s="243">
        <v>0</v>
      </c>
      <c r="AD289" s="243">
        <v>0</v>
      </c>
      <c r="AE289" s="243">
        <v>0</v>
      </c>
      <c r="AF289" s="243">
        <v>0</v>
      </c>
      <c r="AG289" s="243">
        <v>0</v>
      </c>
      <c r="AH289" s="243">
        <v>0</v>
      </c>
      <c r="AI289" s="243">
        <v>0</v>
      </c>
      <c r="AJ289" s="243">
        <v>0</v>
      </c>
      <c r="AK289" s="243">
        <v>0</v>
      </c>
      <c r="AL289" s="254">
        <f t="shared" si="169"/>
        <v>0</v>
      </c>
    </row>
    <row r="290" spans="1:40" ht="14.4" customHeight="1">
      <c r="A290" s="437"/>
      <c r="B290" s="252" t="s">
        <v>37</v>
      </c>
      <c r="C290" s="243">
        <v>0</v>
      </c>
      <c r="D290" s="243">
        <v>0</v>
      </c>
      <c r="E290" s="243">
        <v>0</v>
      </c>
      <c r="F290" s="243">
        <v>0</v>
      </c>
      <c r="G290" s="243">
        <v>0</v>
      </c>
      <c r="H290" s="243">
        <v>0</v>
      </c>
      <c r="I290" s="243">
        <v>0</v>
      </c>
      <c r="J290" s="243">
        <v>0</v>
      </c>
      <c r="K290" s="243">
        <v>0</v>
      </c>
      <c r="L290" s="243">
        <v>0</v>
      </c>
      <c r="M290" s="243">
        <v>0</v>
      </c>
      <c r="N290" s="243">
        <v>0</v>
      </c>
      <c r="O290" s="243">
        <v>0</v>
      </c>
      <c r="P290" s="243">
        <v>0</v>
      </c>
      <c r="Q290" s="243">
        <v>0</v>
      </c>
      <c r="R290" s="254">
        <f t="shared" si="168"/>
        <v>0</v>
      </c>
      <c r="U290" s="437"/>
      <c r="V290" s="252" t="s">
        <v>37</v>
      </c>
      <c r="W290" s="243">
        <v>0</v>
      </c>
      <c r="X290" s="243">
        <v>0</v>
      </c>
      <c r="Y290" s="243">
        <v>0</v>
      </c>
      <c r="Z290" s="243">
        <v>0</v>
      </c>
      <c r="AA290" s="243">
        <v>0</v>
      </c>
      <c r="AB290" s="243">
        <v>0</v>
      </c>
      <c r="AC290" s="243">
        <v>0</v>
      </c>
      <c r="AD290" s="243">
        <v>0</v>
      </c>
      <c r="AE290" s="243">
        <v>0</v>
      </c>
      <c r="AF290" s="243">
        <v>0</v>
      </c>
      <c r="AG290" s="243">
        <v>0</v>
      </c>
      <c r="AH290" s="243">
        <v>0</v>
      </c>
      <c r="AI290" s="243">
        <v>0</v>
      </c>
      <c r="AJ290" s="243">
        <v>0</v>
      </c>
      <c r="AK290" s="243">
        <v>0</v>
      </c>
      <c r="AL290" s="254">
        <f t="shared" si="169"/>
        <v>0</v>
      </c>
    </row>
    <row r="291" spans="1:40" ht="14.4" customHeight="1">
      <c r="A291" s="437"/>
      <c r="B291" s="252" t="s">
        <v>38</v>
      </c>
      <c r="C291" s="243">
        <v>0</v>
      </c>
      <c r="D291" s="243">
        <v>0</v>
      </c>
      <c r="E291" s="243">
        <v>0</v>
      </c>
      <c r="F291" s="243">
        <v>0</v>
      </c>
      <c r="G291" s="243">
        <v>0</v>
      </c>
      <c r="H291" s="243">
        <v>0</v>
      </c>
      <c r="I291" s="243">
        <v>0</v>
      </c>
      <c r="J291" s="243">
        <v>0</v>
      </c>
      <c r="K291" s="243">
        <v>0</v>
      </c>
      <c r="L291" s="243">
        <v>0</v>
      </c>
      <c r="M291" s="243">
        <v>0</v>
      </c>
      <c r="N291" s="243">
        <v>0</v>
      </c>
      <c r="O291" s="243">
        <f>O282*$F$17</f>
        <v>17.79426117079193</v>
      </c>
      <c r="P291" s="243">
        <v>0</v>
      </c>
      <c r="Q291" s="243">
        <v>0</v>
      </c>
      <c r="R291" s="254">
        <f t="shared" si="168"/>
        <v>17.79426117079193</v>
      </c>
      <c r="U291" s="437"/>
      <c r="V291" s="252" t="s">
        <v>38</v>
      </c>
      <c r="W291" s="243">
        <v>0</v>
      </c>
      <c r="X291" s="243">
        <v>0</v>
      </c>
      <c r="Y291" s="243">
        <v>0</v>
      </c>
      <c r="Z291" s="243">
        <v>0</v>
      </c>
      <c r="AA291" s="243">
        <v>0</v>
      </c>
      <c r="AB291" s="243">
        <v>0</v>
      </c>
      <c r="AC291" s="243">
        <v>0</v>
      </c>
      <c r="AD291" s="243">
        <v>0</v>
      </c>
      <c r="AE291" s="243">
        <v>0</v>
      </c>
      <c r="AF291" s="243">
        <v>0</v>
      </c>
      <c r="AG291" s="243">
        <v>0</v>
      </c>
      <c r="AH291" s="243">
        <v>0</v>
      </c>
      <c r="AI291" s="243">
        <f>AI282*$F$17</f>
        <v>15.8464532929505</v>
      </c>
      <c r="AJ291" s="243">
        <v>0</v>
      </c>
      <c r="AK291" s="243">
        <v>0</v>
      </c>
      <c r="AL291" s="254">
        <f t="shared" si="169"/>
        <v>15.8464532929505</v>
      </c>
    </row>
    <row r="292" spans="1:40" ht="14.4" customHeight="1">
      <c r="A292" s="437"/>
      <c r="B292" s="252" t="s">
        <v>39</v>
      </c>
      <c r="C292" s="243">
        <v>0</v>
      </c>
      <c r="D292" s="243">
        <v>0</v>
      </c>
      <c r="E292" s="243">
        <v>0</v>
      </c>
      <c r="F292" s="243">
        <v>0</v>
      </c>
      <c r="G292" s="243">
        <v>0</v>
      </c>
      <c r="H292" s="243">
        <v>0</v>
      </c>
      <c r="I292" s="243">
        <v>0</v>
      </c>
      <c r="J292" s="243">
        <v>0</v>
      </c>
      <c r="K292" s="243">
        <v>0</v>
      </c>
      <c r="L292" s="243">
        <v>0</v>
      </c>
      <c r="M292" s="243">
        <v>0</v>
      </c>
      <c r="N292" s="243">
        <v>0</v>
      </c>
      <c r="O292" s="243">
        <f>O282*$F$18</f>
        <v>147.80844065026864</v>
      </c>
      <c r="P292" s="243">
        <f>P283*$R$18</f>
        <v>0</v>
      </c>
      <c r="Q292" s="243">
        <v>0</v>
      </c>
      <c r="R292" s="254">
        <f t="shared" si="168"/>
        <v>147.80844065026864</v>
      </c>
      <c r="U292" s="437"/>
      <c r="V292" s="252" t="s">
        <v>39</v>
      </c>
      <c r="W292" s="243">
        <v>0</v>
      </c>
      <c r="X292" s="243">
        <v>0</v>
      </c>
      <c r="Y292" s="243">
        <v>0</v>
      </c>
      <c r="Z292" s="243">
        <v>0</v>
      </c>
      <c r="AA292" s="243">
        <v>0</v>
      </c>
      <c r="AB292" s="243">
        <v>0</v>
      </c>
      <c r="AC292" s="243">
        <v>0</v>
      </c>
      <c r="AD292" s="243">
        <v>0</v>
      </c>
      <c r="AE292" s="243">
        <v>0</v>
      </c>
      <c r="AF292" s="243">
        <v>0</v>
      </c>
      <c r="AG292" s="243">
        <v>0</v>
      </c>
      <c r="AH292" s="243">
        <v>0</v>
      </c>
      <c r="AI292" s="243">
        <f>AI282*$F$18</f>
        <v>131.62892960753857</v>
      </c>
      <c r="AJ292" s="243">
        <f>AJ283*$R$18</f>
        <v>0</v>
      </c>
      <c r="AK292" s="243">
        <v>0</v>
      </c>
      <c r="AL292" s="254">
        <f t="shared" si="169"/>
        <v>131.62892960753857</v>
      </c>
    </row>
    <row r="293" spans="1:40" ht="14.4" customHeight="1">
      <c r="A293" s="437"/>
      <c r="B293" s="247" t="s">
        <v>40</v>
      </c>
      <c r="C293" s="248">
        <f>SUM(C281:C292)</f>
        <v>0</v>
      </c>
      <c r="D293" s="248">
        <f t="shared" ref="D293:N293" si="172">SUM(D281:D292)</f>
        <v>0</v>
      </c>
      <c r="E293" s="248">
        <f t="shared" si="172"/>
        <v>68.289129061330954</v>
      </c>
      <c r="F293" s="248">
        <f t="shared" si="172"/>
        <v>0</v>
      </c>
      <c r="G293" s="248">
        <f t="shared" si="172"/>
        <v>0</v>
      </c>
      <c r="H293" s="248">
        <f t="shared" si="172"/>
        <v>711.52147568002738</v>
      </c>
      <c r="I293" s="248">
        <f t="shared" si="172"/>
        <v>524.05148475352166</v>
      </c>
      <c r="J293" s="248">
        <f t="shared" si="172"/>
        <v>0</v>
      </c>
      <c r="K293" s="248">
        <f t="shared" si="172"/>
        <v>1349.9728325029507</v>
      </c>
      <c r="L293" s="248">
        <f t="shared" si="172"/>
        <v>18.637366632798134</v>
      </c>
      <c r="M293" s="248">
        <f t="shared" si="172"/>
        <v>0</v>
      </c>
      <c r="N293" s="248">
        <f t="shared" si="172"/>
        <v>0</v>
      </c>
      <c r="O293" s="248">
        <f>-O303</f>
        <v>-1336.7581375282205</v>
      </c>
      <c r="P293" s="248">
        <f>-P295</f>
        <v>0</v>
      </c>
      <c r="Q293" s="248">
        <f t="shared" ref="Q293" si="173">SUM(Q281:Q292)</f>
        <v>0</v>
      </c>
      <c r="R293" s="248">
        <f t="shared" si="168"/>
        <v>1335.7141511024086</v>
      </c>
      <c r="U293" s="437"/>
      <c r="V293" s="247" t="s">
        <v>40</v>
      </c>
      <c r="W293" s="248">
        <f>SUM(W281:W292)</f>
        <v>0</v>
      </c>
      <c r="X293" s="248">
        <f t="shared" ref="X293:AH293" si="174">SUM(X281:X292)</f>
        <v>0</v>
      </c>
      <c r="Y293" s="248">
        <f t="shared" si="174"/>
        <v>0</v>
      </c>
      <c r="Z293" s="248">
        <f t="shared" si="174"/>
        <v>0</v>
      </c>
      <c r="AA293" s="248">
        <f t="shared" si="174"/>
        <v>0</v>
      </c>
      <c r="AB293" s="248">
        <f t="shared" si="174"/>
        <v>731.30709121906386</v>
      </c>
      <c r="AC293" s="248">
        <f t="shared" si="174"/>
        <v>677.94546519343328</v>
      </c>
      <c r="AD293" s="248">
        <f t="shared" si="174"/>
        <v>0</v>
      </c>
      <c r="AE293" s="248">
        <f t="shared" si="174"/>
        <v>813.96465844794443</v>
      </c>
      <c r="AF293" s="248">
        <f t="shared" si="174"/>
        <v>16.395373921656088</v>
      </c>
      <c r="AG293" s="248">
        <f t="shared" si="174"/>
        <v>0</v>
      </c>
      <c r="AH293" s="248">
        <f t="shared" si="174"/>
        <v>0</v>
      </c>
      <c r="AI293" s="248">
        <f>-AI303</f>
        <v>-1190.4329821281196</v>
      </c>
      <c r="AJ293" s="248">
        <f>-AJ295</f>
        <v>0</v>
      </c>
      <c r="AK293" s="248">
        <f t="shared" ref="AK293" si="175">SUM(AK281:AK292)</f>
        <v>0</v>
      </c>
      <c r="AL293" s="248">
        <f t="shared" si="169"/>
        <v>1049.179606653978</v>
      </c>
      <c r="AN293" s="259">
        <f>AL293+AL303</f>
        <v>2683.5660836962252</v>
      </c>
    </row>
    <row r="294" spans="1:40" ht="14.4" customHeight="1">
      <c r="A294" s="437"/>
      <c r="B294" s="249"/>
      <c r="C294" s="250"/>
      <c r="D294" s="250"/>
      <c r="E294" s="257"/>
      <c r="F294" s="250"/>
      <c r="G294" s="250"/>
      <c r="H294" s="250"/>
      <c r="I294" s="257"/>
      <c r="J294" s="250"/>
      <c r="K294" s="250"/>
      <c r="L294" s="250"/>
      <c r="M294" s="258"/>
      <c r="N294" s="250"/>
      <c r="O294" s="250"/>
      <c r="P294" s="250"/>
      <c r="Q294" s="250"/>
      <c r="R294" s="250"/>
      <c r="U294" s="437"/>
      <c r="V294" s="249"/>
      <c r="W294" s="250"/>
      <c r="X294" s="250"/>
      <c r="Y294" s="257"/>
      <c r="Z294" s="250"/>
      <c r="AA294" s="250"/>
      <c r="AB294" s="250"/>
      <c r="AC294" s="257"/>
      <c r="AD294" s="250"/>
      <c r="AE294" s="250"/>
      <c r="AF294" s="250"/>
      <c r="AG294" s="258"/>
      <c r="AH294" s="250"/>
      <c r="AI294" s="250"/>
      <c r="AJ294" s="250"/>
      <c r="AK294" s="250"/>
      <c r="AL294" s="250"/>
    </row>
    <row r="295" spans="1:40" ht="14.4" customHeight="1">
      <c r="A295" s="437"/>
      <c r="B295" s="252" t="s">
        <v>41</v>
      </c>
      <c r="C295" s="243">
        <v>0</v>
      </c>
      <c r="D295" s="243">
        <v>0</v>
      </c>
      <c r="E295" s="243">
        <f>Industrie!$I$35</f>
        <v>20.016768485753552</v>
      </c>
      <c r="F295" s="243">
        <v>0</v>
      </c>
      <c r="G295" s="243">
        <v>0</v>
      </c>
      <c r="H295" s="243">
        <v>0</v>
      </c>
      <c r="I295" s="243">
        <f>Industrie!$I$38*$I$49/SUM($I$49:$N$49)</f>
        <v>1.7305837711395931</v>
      </c>
      <c r="J295" s="243">
        <f>Industrie!$I$38*$J$49/SUM($I$49:$N$49)</f>
        <v>0</v>
      </c>
      <c r="K295" s="243">
        <f>Industrie!$I$38*$K$49/SUM($I$49:$N$49)</f>
        <v>0</v>
      </c>
      <c r="L295" s="243">
        <f>Industrie!$I$38*$L$49/SUM($I$49:$N$49)</f>
        <v>0</v>
      </c>
      <c r="M295" s="243">
        <f>Industrie!$I$38*$M$49/SUM($I$49:$N$49)</f>
        <v>0</v>
      </c>
      <c r="N295" s="243">
        <f>Industrie!$I$38*$N$49/SUM($I$49:$N$49)</f>
        <v>0</v>
      </c>
      <c r="O295" s="243">
        <f>Industrie!$I$36</f>
        <v>51.028808308918947</v>
      </c>
      <c r="P295" s="243">
        <f>Industrie!$I$39</f>
        <v>0</v>
      </c>
      <c r="Q295" s="243">
        <v>0</v>
      </c>
      <c r="R295" s="254">
        <f>SUM(C295:Q295)</f>
        <v>72.776160565812091</v>
      </c>
      <c r="U295" s="437"/>
      <c r="V295" s="252" t="s">
        <v>41</v>
      </c>
      <c r="W295" s="243">
        <v>0</v>
      </c>
      <c r="X295" s="243">
        <v>0</v>
      </c>
      <c r="Y295" s="243">
        <f>Industrie!$I$56</f>
        <v>0</v>
      </c>
      <c r="Z295" s="243">
        <v>0</v>
      </c>
      <c r="AA295" s="243">
        <v>0</v>
      </c>
      <c r="AB295" s="243">
        <v>0</v>
      </c>
      <c r="AC295" s="243">
        <f>Industrie!$I$62*$AC$49/SUM($I$49:$N$49)</f>
        <v>9.8484954348063098</v>
      </c>
      <c r="AD295" s="243">
        <f>Industrie!$I$62*$AD$49/SUM($I$49:$N$49)</f>
        <v>0</v>
      </c>
      <c r="AE295" s="243">
        <f>Industrie!$I$62*$AE$49/SUM($I$49:$N$49)</f>
        <v>0</v>
      </c>
      <c r="AF295" s="243">
        <f>Industrie!$I$62*$AF$49/SUM($I$49:$N$49)</f>
        <v>0</v>
      </c>
      <c r="AG295" s="243">
        <f>Industrie!$I$62*$AG$49/SUM($I$49:$N$49)</f>
        <v>0</v>
      </c>
      <c r="AH295" s="243">
        <f>Industrie!$I$62*$AH$49/SUM($I$49:$N$49)</f>
        <v>0</v>
      </c>
      <c r="AI295" s="243">
        <f>Industrie!$I$57</f>
        <v>50.319736236156537</v>
      </c>
      <c r="AJ295" s="243">
        <f>Industrie!$I$63</f>
        <v>0</v>
      </c>
      <c r="AK295" s="243">
        <v>0</v>
      </c>
      <c r="AL295" s="254">
        <f>SUM(W295:AK295)</f>
        <v>60.168231670962847</v>
      </c>
    </row>
    <row r="296" spans="1:40" ht="14.4" customHeight="1">
      <c r="A296" s="437"/>
      <c r="B296" s="252" t="s">
        <v>42</v>
      </c>
      <c r="C296" s="243">
        <v>0</v>
      </c>
      <c r="D296" s="243">
        <v>0</v>
      </c>
      <c r="E296" s="243">
        <f>Transports!$K$44</f>
        <v>959.12099600759393</v>
      </c>
      <c r="F296" s="243">
        <v>0</v>
      </c>
      <c r="G296" s="243">
        <v>0</v>
      </c>
      <c r="H296" s="243">
        <v>0</v>
      </c>
      <c r="I296" s="243">
        <v>0</v>
      </c>
      <c r="J296" s="243">
        <v>0</v>
      </c>
      <c r="K296" s="243">
        <v>0</v>
      </c>
      <c r="L296" s="243">
        <v>0</v>
      </c>
      <c r="M296" s="243">
        <v>0</v>
      </c>
      <c r="N296" s="243">
        <v>0</v>
      </c>
      <c r="O296" s="243">
        <f>Transports!$K$45</f>
        <v>201.76115107693192</v>
      </c>
      <c r="P296" s="243">
        <v>0</v>
      </c>
      <c r="Q296" s="243">
        <v>0</v>
      </c>
      <c r="R296" s="254">
        <f>SUM(C296:Q296)</f>
        <v>1160.882147084526</v>
      </c>
      <c r="U296" s="437"/>
      <c r="V296" s="252" t="s">
        <v>42</v>
      </c>
      <c r="W296" s="243">
        <v>0</v>
      </c>
      <c r="X296" s="243">
        <v>0</v>
      </c>
      <c r="Y296" s="243">
        <f>Transports!$K71</f>
        <v>229.02245524313935</v>
      </c>
      <c r="Z296" s="243">
        <v>0</v>
      </c>
      <c r="AA296" s="243">
        <v>0</v>
      </c>
      <c r="AB296" s="243">
        <v>0</v>
      </c>
      <c r="AC296" s="243">
        <v>0</v>
      </c>
      <c r="AD296" s="243">
        <v>0</v>
      </c>
      <c r="AE296" s="243">
        <v>0</v>
      </c>
      <c r="AF296" s="243">
        <v>0</v>
      </c>
      <c r="AG296" s="243">
        <v>0</v>
      </c>
      <c r="AH296" s="243">
        <v>0</v>
      </c>
      <c r="AI296" s="243">
        <f>Transports!$K$72</f>
        <v>507.42904660677834</v>
      </c>
      <c r="AJ296" s="243">
        <v>0</v>
      </c>
      <c r="AK296" s="243">
        <v>0</v>
      </c>
      <c r="AL296" s="254">
        <f t="shared" ref="AL296:AL303" si="176">SUM(W296:AK296)</f>
        <v>736.45150184991769</v>
      </c>
    </row>
    <row r="297" spans="1:40" ht="14.4" customHeight="1">
      <c r="A297" s="437"/>
      <c r="B297" s="252" t="s">
        <v>43</v>
      </c>
      <c r="C297" s="243">
        <v>0</v>
      </c>
      <c r="D297" s="243">
        <v>0</v>
      </c>
      <c r="E297" s="243">
        <f>'Résidentiel-tertiaire'!$I$163</f>
        <v>69.744974739710429</v>
      </c>
      <c r="F297" s="243">
        <v>0</v>
      </c>
      <c r="G297" s="243">
        <v>0</v>
      </c>
      <c r="H297" s="243">
        <v>0</v>
      </c>
      <c r="I297" s="243">
        <f>'Résidentiel-tertiaire'!$I$164*$I$51/SUM($I$51:$N$51)</f>
        <v>0</v>
      </c>
      <c r="J297" s="243">
        <f>'Résidentiel-tertiaire'!$I$164*$J$51/SUM($I$51:$N$51)</f>
        <v>0</v>
      </c>
      <c r="K297" s="243">
        <f>'Résidentiel-tertiaire'!$I$164*$K$51/SUM($I$51:$N$51)</f>
        <v>0</v>
      </c>
      <c r="L297" s="243">
        <f>'Résidentiel-tertiaire'!$I$164*$L$51/SUM($I$51:$N$51)</f>
        <v>0</v>
      </c>
      <c r="M297" s="243">
        <f>'Résidentiel-tertiaire'!$I$164*$M$51/SUM($I$51:$N$51)</f>
        <v>0</v>
      </c>
      <c r="N297" s="243">
        <f>'Résidentiel-tertiaire'!$I$164*$N$51/SUM($I$51:$N$51)</f>
        <v>23.411179312037117</v>
      </c>
      <c r="O297" s="243">
        <f>'Résidentiel-tertiaire'!$I$165</f>
        <v>337.00272980667222</v>
      </c>
      <c r="P297" s="243">
        <v>0</v>
      </c>
      <c r="Q297" s="243">
        <v>0</v>
      </c>
      <c r="R297" s="254">
        <f>SUM(C297:Q297)</f>
        <v>430.15888385841976</v>
      </c>
      <c r="S297" s="259"/>
      <c r="U297" s="437"/>
      <c r="V297" s="252" t="s">
        <v>43</v>
      </c>
      <c r="W297" s="243">
        <v>0</v>
      </c>
      <c r="X297" s="243">
        <v>0</v>
      </c>
      <c r="Y297" s="243">
        <f>'Résidentiel-tertiaire'!$I$177</f>
        <v>0</v>
      </c>
      <c r="Z297" s="243">
        <v>0</v>
      </c>
      <c r="AA297" s="243">
        <v>0</v>
      </c>
      <c r="AB297" s="243">
        <v>0</v>
      </c>
      <c r="AC297" s="243">
        <f>'Résidentiel-tertiaire'!$I$178*$AC$51/SUM($I$51:$N$51)</f>
        <v>0</v>
      </c>
      <c r="AD297" s="243">
        <f>'Résidentiel-tertiaire'!$I$178*$AD$51/SUM($I$51:$N$51)</f>
        <v>0</v>
      </c>
      <c r="AE297" s="243">
        <f>'Résidentiel-tertiaire'!$I$178*$AE$51/SUM($I$51:$N$51)</f>
        <v>0</v>
      </c>
      <c r="AF297" s="243">
        <f>'Résidentiel-tertiaire'!$I$178*$AF$51/SUM($I$51:$N$51)</f>
        <v>0</v>
      </c>
      <c r="AG297" s="243">
        <f>'Résidentiel-tertiaire'!$I$178*$AG$51/SUM($I$51:$N$51)</f>
        <v>0</v>
      </c>
      <c r="AH297" s="243">
        <f>'Résidentiel-tertiaire'!$I$178*$AH$51/SUM($I$51:$N$51)</f>
        <v>29.402438346613167</v>
      </c>
      <c r="AI297" s="243">
        <f>'Résidentiel-tertiaire'!$I$179</f>
        <v>241.81670849314668</v>
      </c>
      <c r="AJ297" s="243">
        <v>0</v>
      </c>
      <c r="AK297" s="243">
        <v>0</v>
      </c>
      <c r="AL297" s="254">
        <f t="shared" si="176"/>
        <v>271.21914683975984</v>
      </c>
    </row>
    <row r="298" spans="1:40" ht="14.4" customHeight="1">
      <c r="A298" s="437"/>
      <c r="B298" s="252" t="s">
        <v>44</v>
      </c>
      <c r="C298" s="243">
        <v>0</v>
      </c>
      <c r="D298" s="243">
        <v>0</v>
      </c>
      <c r="E298" s="411">
        <f>'Résidentiel-tertiaire'!$I$168</f>
        <v>0</v>
      </c>
      <c r="F298" s="243">
        <v>0</v>
      </c>
      <c r="G298" s="243">
        <v>0</v>
      </c>
      <c r="H298" s="243">
        <v>0</v>
      </c>
      <c r="I298" s="243">
        <f>'Résidentiel-tertiaire'!$I$169*$I$52/SUM($I$52:$N$52)</f>
        <v>0</v>
      </c>
      <c r="J298" s="243">
        <f>'Résidentiel-tertiaire'!$I$169*$J$52/SUM($I$52:$N$52)</f>
        <v>0</v>
      </c>
      <c r="K298" s="243">
        <f>'Résidentiel-tertiaire'!$I$169*$K$52/SUM($I$52:$N$52)</f>
        <v>0</v>
      </c>
      <c r="L298" s="243">
        <f>'Résidentiel-tertiaire'!$I$169*$L$52/SUM($I$52:$N$52)</f>
        <v>0</v>
      </c>
      <c r="M298" s="243">
        <f>'Résidentiel-tertiaire'!$I$169*$M$52/SUM($I$52:$N$52)</f>
        <v>0</v>
      </c>
      <c r="N298" s="243">
        <f>'Résidentiel-tertiaire'!$I$169*$N$52/SUM($I$52:$N$52)</f>
        <v>0.47801632239956604</v>
      </c>
      <c r="O298" s="243">
        <f>'Résidentiel-tertiaire'!$I$170</f>
        <v>746.3601406814272</v>
      </c>
      <c r="P298" s="243">
        <v>0</v>
      </c>
      <c r="Q298" s="243">
        <v>0</v>
      </c>
      <c r="R298" s="254">
        <f>SUM(F298:Q298)</f>
        <v>746.83815700382672</v>
      </c>
      <c r="U298" s="437"/>
      <c r="V298" s="252" t="s">
        <v>44</v>
      </c>
      <c r="W298" s="243">
        <v>0</v>
      </c>
      <c r="X298" s="243">
        <v>0</v>
      </c>
      <c r="Y298" s="243">
        <f>'Résidentiel-tertiaire'!$I$182</f>
        <v>0</v>
      </c>
      <c r="Z298" s="243">
        <v>0</v>
      </c>
      <c r="AA298" s="243">
        <v>0</v>
      </c>
      <c r="AB298" s="243">
        <v>0</v>
      </c>
      <c r="AC298" s="243">
        <f>'Résidentiel-tertiaire'!$I$183*$AC$52/SUM($I$52:$N$52)</f>
        <v>0</v>
      </c>
      <c r="AD298" s="243">
        <f>'Résidentiel-tertiaire'!$I$183*$AD$52/SUM($I$52:$N$52)</f>
        <v>0</v>
      </c>
      <c r="AE298" s="243">
        <f>'Résidentiel-tertiaire'!$I$183*$AE$52/SUM($I$52:$N$52)</f>
        <v>0</v>
      </c>
      <c r="AF298" s="243">
        <f>'Résidentiel-tertiaire'!$I$183*$AF$52/SUM($I$52:$N$52)</f>
        <v>0</v>
      </c>
      <c r="AG298" s="243">
        <f>'Résidentiel-tertiaire'!$I$183*$AG$52/SUM($I$52:$N$52)</f>
        <v>0</v>
      </c>
      <c r="AH298" s="243">
        <f>'Résidentiel-tertiaire'!$I$183*$AH$52/SUM($I$52:$N$52)</f>
        <v>0.25029957857628793</v>
      </c>
      <c r="AI298" s="243">
        <f>'Résidentiel-tertiaire'!$I$184</f>
        <v>390.81014585637047</v>
      </c>
      <c r="AJ298" s="243">
        <v>0</v>
      </c>
      <c r="AK298" s="243">
        <v>0</v>
      </c>
      <c r="AL298" s="254">
        <f>SUM(W298:AK298)</f>
        <v>391.06044543494676</v>
      </c>
    </row>
    <row r="299" spans="1:40" ht="14.4" customHeight="1">
      <c r="A299" s="437"/>
      <c r="B299" s="252" t="s">
        <v>4</v>
      </c>
      <c r="C299" s="243">
        <v>0</v>
      </c>
      <c r="D299" s="243">
        <v>0</v>
      </c>
      <c r="E299" s="243">
        <f>Agriculture!$Y$27</f>
        <v>70.63413083333333</v>
      </c>
      <c r="F299" s="243">
        <v>0</v>
      </c>
      <c r="G299" s="243">
        <v>0</v>
      </c>
      <c r="H299" s="243">
        <v>0</v>
      </c>
      <c r="I299" s="243">
        <v>0</v>
      </c>
      <c r="J299" s="243">
        <v>0</v>
      </c>
      <c r="K299" s="243">
        <v>0</v>
      </c>
      <c r="L299" s="243">
        <v>0</v>
      </c>
      <c r="M299" s="243">
        <v>0</v>
      </c>
      <c r="N299" s="243">
        <v>0</v>
      </c>
      <c r="O299" s="243">
        <f>Agriculture!$Y$28</f>
        <v>0.60530765427002464</v>
      </c>
      <c r="P299" s="243">
        <v>0</v>
      </c>
      <c r="Q299" s="243">
        <v>0</v>
      </c>
      <c r="R299" s="254">
        <f t="shared" ref="R299:R303" si="177">SUM(C299:Q299)</f>
        <v>71.239438487603351</v>
      </c>
      <c r="U299" s="437"/>
      <c r="V299" s="252" t="s">
        <v>4</v>
      </c>
      <c r="W299" s="243">
        <v>0</v>
      </c>
      <c r="X299" s="243">
        <v>0</v>
      </c>
      <c r="Y299" s="243">
        <f>Agriculture!$AG$43</f>
        <v>0</v>
      </c>
      <c r="Z299" s="243">
        <v>0</v>
      </c>
      <c r="AA299" s="243">
        <v>0</v>
      </c>
      <c r="AB299" s="243">
        <v>0</v>
      </c>
      <c r="AC299" s="243">
        <v>0</v>
      </c>
      <c r="AD299" s="243">
        <v>0</v>
      </c>
      <c r="AE299" s="243">
        <f>Agriculture!$AG$45</f>
        <v>60.224890500000001</v>
      </c>
      <c r="AF299" s="243">
        <v>0</v>
      </c>
      <c r="AG299" s="243">
        <v>0</v>
      </c>
      <c r="AH299" s="243">
        <v>0</v>
      </c>
      <c r="AI299" s="243">
        <f>Agriculture!$AG$44</f>
        <v>5.7344935667686552E-2</v>
      </c>
      <c r="AJ299" s="243">
        <v>0</v>
      </c>
      <c r="AK299" s="243">
        <v>0</v>
      </c>
      <c r="AL299" s="254">
        <f t="shared" si="176"/>
        <v>60.282235435667687</v>
      </c>
    </row>
    <row r="300" spans="1:40" ht="14.4" customHeight="1">
      <c r="A300" s="437"/>
      <c r="B300" s="252" t="s">
        <v>380</v>
      </c>
      <c r="C300" s="243">
        <v>0</v>
      </c>
      <c r="D300" s="243">
        <v>0</v>
      </c>
      <c r="E300" s="243">
        <v>0</v>
      </c>
      <c r="F300" s="243">
        <v>0</v>
      </c>
      <c r="G300" s="243">
        <v>0</v>
      </c>
      <c r="H300" s="243">
        <v>0</v>
      </c>
      <c r="I300" s="243">
        <v>0</v>
      </c>
      <c r="J300" s="243">
        <v>0</v>
      </c>
      <c r="K300" s="243">
        <v>0</v>
      </c>
      <c r="L300" s="243">
        <v>0</v>
      </c>
      <c r="M300" s="243">
        <v>0</v>
      </c>
      <c r="N300" s="243">
        <v>0</v>
      </c>
      <c r="O300" s="243">
        <v>0</v>
      </c>
      <c r="P300" s="243">
        <v>0</v>
      </c>
      <c r="Q300" s="243">
        <v>0</v>
      </c>
      <c r="R300" s="254">
        <f t="shared" si="177"/>
        <v>0</v>
      </c>
      <c r="U300" s="437"/>
      <c r="V300" s="252" t="s">
        <v>380</v>
      </c>
      <c r="W300" s="243">
        <v>0</v>
      </c>
      <c r="X300" s="243">
        <v>0</v>
      </c>
      <c r="Y300" s="243">
        <v>0</v>
      </c>
      <c r="Z300" s="243">
        <v>0</v>
      </c>
      <c r="AA300" s="243">
        <v>0</v>
      </c>
      <c r="AB300" s="243">
        <v>0</v>
      </c>
      <c r="AC300" s="243">
        <v>0</v>
      </c>
      <c r="AD300" s="243">
        <v>0</v>
      </c>
      <c r="AE300" s="243">
        <v>0</v>
      </c>
      <c r="AF300" s="243">
        <v>0</v>
      </c>
      <c r="AG300" s="243">
        <v>0</v>
      </c>
      <c r="AH300" s="243">
        <v>0</v>
      </c>
      <c r="AI300" s="243">
        <v>0</v>
      </c>
      <c r="AJ300" s="243">
        <v>0</v>
      </c>
      <c r="AK300" s="243">
        <v>0</v>
      </c>
      <c r="AL300" s="254">
        <f t="shared" si="176"/>
        <v>0</v>
      </c>
    </row>
    <row r="301" spans="1:40" ht="14.4" customHeight="1">
      <c r="A301" s="437"/>
      <c r="B301" s="247" t="s">
        <v>45</v>
      </c>
      <c r="C301" s="248">
        <f>SUM(C295:C300)</f>
        <v>0</v>
      </c>
      <c r="D301" s="248">
        <f t="shared" ref="D301:Q301" si="178">SUM(D295:D300)</f>
        <v>0</v>
      </c>
      <c r="E301" s="248">
        <f t="shared" si="178"/>
        <v>1119.5168700663912</v>
      </c>
      <c r="F301" s="248">
        <f t="shared" si="178"/>
        <v>0</v>
      </c>
      <c r="G301" s="248">
        <f t="shared" si="178"/>
        <v>0</v>
      </c>
      <c r="H301" s="248">
        <f t="shared" si="178"/>
        <v>0</v>
      </c>
      <c r="I301" s="248">
        <f t="shared" si="178"/>
        <v>1.7305837711395931</v>
      </c>
      <c r="J301" s="248">
        <f t="shared" si="178"/>
        <v>0</v>
      </c>
      <c r="K301" s="248">
        <f t="shared" si="178"/>
        <v>0</v>
      </c>
      <c r="L301" s="248">
        <f t="shared" si="178"/>
        <v>0</v>
      </c>
      <c r="M301" s="248">
        <f t="shared" si="178"/>
        <v>0</v>
      </c>
      <c r="N301" s="248">
        <f t="shared" si="178"/>
        <v>23.889195634436682</v>
      </c>
      <c r="O301" s="248">
        <f t="shared" si="178"/>
        <v>1336.7581375282205</v>
      </c>
      <c r="P301" s="248">
        <f t="shared" si="178"/>
        <v>0</v>
      </c>
      <c r="Q301" s="248">
        <f t="shared" si="178"/>
        <v>0</v>
      </c>
      <c r="R301" s="248">
        <f t="shared" si="177"/>
        <v>2481.894787000188</v>
      </c>
      <c r="U301" s="437"/>
      <c r="V301" s="247" t="s">
        <v>45</v>
      </c>
      <c r="W301" s="248">
        <f>SUM(W295:W300)</f>
        <v>0</v>
      </c>
      <c r="X301" s="248">
        <f t="shared" ref="X301:AK301" si="179">SUM(X295:X300)</f>
        <v>0</v>
      </c>
      <c r="Y301" s="248">
        <f t="shared" si="179"/>
        <v>229.02245524313935</v>
      </c>
      <c r="Z301" s="248">
        <f t="shared" si="179"/>
        <v>0</v>
      </c>
      <c r="AA301" s="248">
        <f t="shared" si="179"/>
        <v>0</v>
      </c>
      <c r="AB301" s="248">
        <f t="shared" si="179"/>
        <v>0</v>
      </c>
      <c r="AC301" s="248">
        <f t="shared" si="179"/>
        <v>9.8484954348063098</v>
      </c>
      <c r="AD301" s="248">
        <f t="shared" si="179"/>
        <v>0</v>
      </c>
      <c r="AE301" s="248">
        <f t="shared" si="179"/>
        <v>60.224890500000001</v>
      </c>
      <c r="AF301" s="248">
        <f t="shared" si="179"/>
        <v>0</v>
      </c>
      <c r="AG301" s="248">
        <f t="shared" si="179"/>
        <v>0</v>
      </c>
      <c r="AH301" s="248">
        <f t="shared" si="179"/>
        <v>29.652737925189456</v>
      </c>
      <c r="AI301" s="248">
        <f t="shared" si="179"/>
        <v>1190.4329821281196</v>
      </c>
      <c r="AJ301" s="248">
        <f t="shared" si="179"/>
        <v>0</v>
      </c>
      <c r="AK301" s="248">
        <f t="shared" si="179"/>
        <v>0</v>
      </c>
      <c r="AL301" s="248">
        <f t="shared" si="176"/>
        <v>1519.1815612312548</v>
      </c>
    </row>
    <row r="302" spans="1:40" ht="14.4" customHeight="1">
      <c r="A302" s="437"/>
      <c r="B302" s="242" t="s">
        <v>46</v>
      </c>
      <c r="C302" s="243">
        <v>0</v>
      </c>
      <c r="D302" s="243">
        <v>0</v>
      </c>
      <c r="E302" s="243">
        <f>Industrie!$I$37</f>
        <v>115.20491581099249</v>
      </c>
      <c r="F302" s="243">
        <v>0</v>
      </c>
      <c r="G302" s="243">
        <v>0</v>
      </c>
      <c r="H302" s="243">
        <v>0</v>
      </c>
      <c r="I302" s="243">
        <v>0</v>
      </c>
      <c r="J302" s="243">
        <v>0</v>
      </c>
      <c r="K302" s="243">
        <v>0</v>
      </c>
      <c r="L302" s="243">
        <v>0</v>
      </c>
      <c r="M302" s="243">
        <v>0</v>
      </c>
      <c r="N302" s="243">
        <v>0</v>
      </c>
      <c r="O302" s="243">
        <v>0</v>
      </c>
      <c r="P302" s="243">
        <v>0</v>
      </c>
      <c r="Q302" s="243">
        <v>0</v>
      </c>
      <c r="R302" s="254">
        <f t="shared" si="177"/>
        <v>115.20491581099249</v>
      </c>
      <c r="U302" s="437"/>
      <c r="V302" s="242" t="s">
        <v>46</v>
      </c>
      <c r="W302" s="243">
        <v>0</v>
      </c>
      <c r="X302" s="243">
        <v>0</v>
      </c>
      <c r="Y302" s="243">
        <f>Industrie!$I$59</f>
        <v>115.20491581099249</v>
      </c>
      <c r="Z302" s="243">
        <v>0</v>
      </c>
      <c r="AA302" s="243">
        <v>0</v>
      </c>
      <c r="AB302" s="243">
        <v>0</v>
      </c>
      <c r="AC302" s="243">
        <v>0</v>
      </c>
      <c r="AD302" s="243">
        <v>0</v>
      </c>
      <c r="AE302" s="243">
        <v>0</v>
      </c>
      <c r="AF302" s="243">
        <v>0</v>
      </c>
      <c r="AG302" s="243">
        <v>0</v>
      </c>
      <c r="AH302" s="243">
        <v>0</v>
      </c>
      <c r="AI302" s="243">
        <v>0</v>
      </c>
      <c r="AJ302" s="243">
        <v>0</v>
      </c>
      <c r="AK302" s="243">
        <v>0</v>
      </c>
      <c r="AL302" s="254">
        <f t="shared" si="176"/>
        <v>115.20491581099249</v>
      </c>
    </row>
    <row r="303" spans="1:40" ht="14.4" customHeight="1">
      <c r="A303" s="437"/>
      <c r="B303" s="247" t="s">
        <v>47</v>
      </c>
      <c r="C303" s="248">
        <f>C302+C301</f>
        <v>0</v>
      </c>
      <c r="D303" s="248">
        <f t="shared" ref="D303:Q303" si="180">D302+D301</f>
        <v>0</v>
      </c>
      <c r="E303" s="248">
        <f t="shared" si="180"/>
        <v>1234.7217858773838</v>
      </c>
      <c r="F303" s="248">
        <f t="shared" si="180"/>
        <v>0</v>
      </c>
      <c r="G303" s="248">
        <f t="shared" si="180"/>
        <v>0</v>
      </c>
      <c r="H303" s="248">
        <f t="shared" si="180"/>
        <v>0</v>
      </c>
      <c r="I303" s="248">
        <f t="shared" si="180"/>
        <v>1.7305837711395931</v>
      </c>
      <c r="J303" s="248">
        <f t="shared" si="180"/>
        <v>0</v>
      </c>
      <c r="K303" s="248">
        <f t="shared" si="180"/>
        <v>0</v>
      </c>
      <c r="L303" s="248">
        <f t="shared" si="180"/>
        <v>0</v>
      </c>
      <c r="M303" s="248">
        <f t="shared" si="180"/>
        <v>0</v>
      </c>
      <c r="N303" s="248">
        <f t="shared" si="180"/>
        <v>23.889195634436682</v>
      </c>
      <c r="O303" s="248">
        <f t="shared" si="180"/>
        <v>1336.7581375282205</v>
      </c>
      <c r="P303" s="248">
        <f t="shared" si="180"/>
        <v>0</v>
      </c>
      <c r="Q303" s="248">
        <f t="shared" si="180"/>
        <v>0</v>
      </c>
      <c r="R303" s="248">
        <f t="shared" si="177"/>
        <v>2597.0997028111806</v>
      </c>
      <c r="U303" s="437"/>
      <c r="V303" s="247" t="s">
        <v>47</v>
      </c>
      <c r="W303" s="248">
        <f>W302+W301</f>
        <v>0</v>
      </c>
      <c r="X303" s="248">
        <f t="shared" ref="X303:AK303" si="181">X302+X301</f>
        <v>0</v>
      </c>
      <c r="Y303" s="248">
        <f t="shared" si="181"/>
        <v>344.22737105413182</v>
      </c>
      <c r="Z303" s="248">
        <f t="shared" si="181"/>
        <v>0</v>
      </c>
      <c r="AA303" s="248">
        <f t="shared" si="181"/>
        <v>0</v>
      </c>
      <c r="AB303" s="248">
        <f t="shared" si="181"/>
        <v>0</v>
      </c>
      <c r="AC303" s="248">
        <f t="shared" si="181"/>
        <v>9.8484954348063098</v>
      </c>
      <c r="AD303" s="248">
        <f t="shared" si="181"/>
        <v>0</v>
      </c>
      <c r="AE303" s="248">
        <f t="shared" si="181"/>
        <v>60.224890500000001</v>
      </c>
      <c r="AF303" s="248">
        <f t="shared" si="181"/>
        <v>0</v>
      </c>
      <c r="AG303" s="248">
        <f t="shared" si="181"/>
        <v>0</v>
      </c>
      <c r="AH303" s="248">
        <f t="shared" si="181"/>
        <v>29.652737925189456</v>
      </c>
      <c r="AI303" s="248">
        <f t="shared" si="181"/>
        <v>1190.4329821281196</v>
      </c>
      <c r="AJ303" s="248">
        <f t="shared" si="181"/>
        <v>0</v>
      </c>
      <c r="AK303" s="248">
        <f t="shared" si="181"/>
        <v>0</v>
      </c>
      <c r="AL303" s="248">
        <f t="shared" si="176"/>
        <v>1634.3864770422472</v>
      </c>
    </row>
    <row r="305" spans="4:17">
      <c r="J305" s="259"/>
    </row>
    <row r="307" spans="4:17">
      <c r="Q307" s="259"/>
    </row>
    <row r="311" spans="4:17">
      <c r="D311" s="428"/>
      <c r="E311" s="428">
        <v>2019</v>
      </c>
      <c r="F311" s="428">
        <v>2025</v>
      </c>
      <c r="G311" s="428">
        <v>2030</v>
      </c>
      <c r="H311" s="428">
        <v>2035</v>
      </c>
      <c r="I311" s="428">
        <v>2040</v>
      </c>
      <c r="J311" s="428">
        <v>2045</v>
      </c>
      <c r="K311" s="428">
        <v>2050</v>
      </c>
    </row>
    <row r="312" spans="4:17">
      <c r="D312" s="428" t="s">
        <v>508</v>
      </c>
      <c r="E312" s="428">
        <f>-$O$36/SUM($C$36:$N$36)</f>
        <v>0.4312352758730662</v>
      </c>
      <c r="F312" s="428">
        <f>-$O$77/SUM($C$77:$N$77)</f>
        <v>0.67093626105519977</v>
      </c>
      <c r="G312" s="428">
        <f>-$O$118/SUM($C$118:$N$118)</f>
        <v>0.65201639354072549</v>
      </c>
      <c r="H312" s="428">
        <f>-$O$159/SUM($C$159:$N$159)</f>
        <v>0.62512677417424445</v>
      </c>
      <c r="I312" s="428">
        <f>-$O$200/SUM($C$200:$N$200)</f>
        <v>0.59665160719972832</v>
      </c>
      <c r="J312" s="428">
        <f>-$O$241/SUM($C$241:$N$241)</f>
        <v>0.57643778217070873</v>
      </c>
      <c r="K312" s="428">
        <f>-$O$282/SUM($C$282:$N$282)</f>
        <v>0.56216142847980233</v>
      </c>
    </row>
  </sheetData>
  <mergeCells count="18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AB66:AB67"/>
    <mergeCell ref="AC66:AH66"/>
    <mergeCell ref="AI66:AI67"/>
    <mergeCell ref="AJ66:AJ67"/>
    <mergeCell ref="AK66:AK67"/>
    <mergeCell ref="AL66:AL67"/>
    <mergeCell ref="V66:V67"/>
    <mergeCell ref="W66:W67"/>
    <mergeCell ref="X66:X67"/>
    <mergeCell ref="Y66:Y67"/>
    <mergeCell ref="Z66:Z67"/>
    <mergeCell ref="AA66:AA67"/>
    <mergeCell ref="I107:N107"/>
    <mergeCell ref="O107:O108"/>
    <mergeCell ref="P107:P108"/>
    <mergeCell ref="Q107:Q108"/>
    <mergeCell ref="A107:A139"/>
    <mergeCell ref="B107:B108"/>
    <mergeCell ref="C107:C108"/>
    <mergeCell ref="D107:D108"/>
    <mergeCell ref="E107:E108"/>
    <mergeCell ref="F107:F108"/>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AJ148:AJ149"/>
    <mergeCell ref="AK148:AK149"/>
    <mergeCell ref="AL148:AL149"/>
    <mergeCell ref="V148:V149"/>
    <mergeCell ref="W148:W149"/>
    <mergeCell ref="X148:X149"/>
    <mergeCell ref="Y148:Y149"/>
    <mergeCell ref="Z148:Z149"/>
    <mergeCell ref="AA148:AA149"/>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G271:G272"/>
    <mergeCell ref="H271:H272"/>
    <mergeCell ref="I271:N271"/>
    <mergeCell ref="O271:O272"/>
    <mergeCell ref="P271:P272"/>
    <mergeCell ref="Q271:Q272"/>
    <mergeCell ref="A271:A303"/>
    <mergeCell ref="B271:B272"/>
    <mergeCell ref="C271:C272"/>
    <mergeCell ref="D271:D272"/>
    <mergeCell ref="E271:E272"/>
    <mergeCell ref="F271:F272"/>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s>
  <conditionalFormatting sqref="D44:F44 C45:F46 I26:M26 O48:R48 C48:H48 G44:H46 C40:H43 I40:Q46 O30:R32 D30:H32 I30:N31 P27:R29 F27:F29 C27:C32 C33:R35 C47:Q47 C36:H37 R36:R47 O36:Q37">
    <cfRule type="cellIs" dxfId="596" priority="1449" operator="equal">
      <formula>0</formula>
    </cfRule>
  </conditionalFormatting>
  <conditionalFormatting sqref="O27:O32">
    <cfRule type="cellIs" dxfId="595" priority="1450" operator="equal">
      <formula>0</formula>
    </cfRule>
  </conditionalFormatting>
  <conditionalFormatting sqref="C27:D32 G27:H32">
    <cfRule type="cellIs" dxfId="594" priority="1451" operator="equal">
      <formula>0</formula>
    </cfRule>
  </conditionalFormatting>
  <conditionalFormatting sqref="E27:E32">
    <cfRule type="cellIs" dxfId="593" priority="1452" operator="equal">
      <formula>0</formula>
    </cfRule>
  </conditionalFormatting>
  <conditionalFormatting sqref="C44">
    <cfRule type="cellIs" dxfId="592" priority="1453" operator="equal">
      <formula>0</formula>
    </cfRule>
  </conditionalFormatting>
  <conditionalFormatting sqref="N26">
    <cfRule type="cellIs" dxfId="591" priority="1454" operator="equal">
      <formula>0</formula>
    </cfRule>
  </conditionalFormatting>
  <conditionalFormatting sqref="I30:I32 I48">
    <cfRule type="cellIs" dxfId="590" priority="1455" operator="equal">
      <formula>0</formula>
    </cfRule>
  </conditionalFormatting>
  <conditionalFormatting sqref="I27:I32 J27:N27">
    <cfRule type="cellIs" dxfId="589" priority="1456" operator="equal">
      <formula>0</formula>
    </cfRule>
  </conditionalFormatting>
  <conditionalFormatting sqref="J30:J32 J48">
    <cfRule type="cellIs" dxfId="588" priority="1457" operator="equal">
      <formula>0</formula>
    </cfRule>
  </conditionalFormatting>
  <conditionalFormatting sqref="J27:J32">
    <cfRule type="cellIs" dxfId="587" priority="1458" operator="equal">
      <formula>0</formula>
    </cfRule>
  </conditionalFormatting>
  <conditionalFormatting sqref="K30:K32 K48">
    <cfRule type="cellIs" dxfId="586" priority="1459" operator="equal">
      <formula>0</formula>
    </cfRule>
  </conditionalFormatting>
  <conditionalFormatting sqref="K27:K32">
    <cfRule type="cellIs" dxfId="585" priority="1460" operator="equal">
      <formula>0</formula>
    </cfRule>
  </conditionalFormatting>
  <conditionalFormatting sqref="L30:L32 L48">
    <cfRule type="cellIs" dxfId="584" priority="1461" operator="equal">
      <formula>0</formula>
    </cfRule>
  </conditionalFormatting>
  <conditionalFormatting sqref="L27:L32">
    <cfRule type="cellIs" dxfId="583" priority="1462" operator="equal">
      <formula>0</formula>
    </cfRule>
  </conditionalFormatting>
  <conditionalFormatting sqref="M30:M32 M48">
    <cfRule type="cellIs" dxfId="582" priority="1463" operator="equal">
      <formula>0</formula>
    </cfRule>
  </conditionalFormatting>
  <conditionalFormatting sqref="M27:M32">
    <cfRule type="cellIs" dxfId="581" priority="1464" operator="equal">
      <formula>0</formula>
    </cfRule>
  </conditionalFormatting>
  <conditionalFormatting sqref="N30:N32 N48">
    <cfRule type="cellIs" dxfId="580" priority="1465" operator="equal">
      <formula>0</formula>
    </cfRule>
  </conditionalFormatting>
  <conditionalFormatting sqref="N27:N32">
    <cfRule type="cellIs" dxfId="579" priority="1466" operator="equal">
      <formula>0</formula>
    </cfRule>
  </conditionalFormatting>
  <conditionalFormatting sqref="C35:R35 C40:Q47 C36:H37 R36:R47 O36:Q37 C27:R33">
    <cfRule type="expression" dxfId="578" priority="1467">
      <formula>LEN(TRIM(C27))=0</formula>
    </cfRule>
  </conditionalFormatting>
  <conditionalFormatting sqref="K30:K31">
    <cfRule type="cellIs" dxfId="577" priority="1468" operator="equal">
      <formula>0</formula>
    </cfRule>
  </conditionalFormatting>
  <conditionalFormatting sqref="L30:L31">
    <cfRule type="cellIs" dxfId="576" priority="1469" operator="equal">
      <formula>0</formula>
    </cfRule>
  </conditionalFormatting>
  <conditionalFormatting sqref="C38:Q39">
    <cfRule type="cellIs" dxfId="575" priority="1470" operator="equal">
      <formula>0</formula>
    </cfRule>
  </conditionalFormatting>
  <conditionalFormatting sqref="O38:O39">
    <cfRule type="cellIs" dxfId="574" priority="1471" operator="equal">
      <formula>0</formula>
    </cfRule>
  </conditionalFormatting>
  <conditionalFormatting sqref="C38:Q39">
    <cfRule type="expression" dxfId="573" priority="1472">
      <formula>LEN(TRIM(C38))=0</formula>
    </cfRule>
  </conditionalFormatting>
  <conditionalFormatting sqref="M30:N30">
    <cfRule type="cellIs" dxfId="572" priority="1473" operator="equal">
      <formula>0</formula>
    </cfRule>
  </conditionalFormatting>
  <conditionalFormatting sqref="M31:N31">
    <cfRule type="cellIs" dxfId="571" priority="1474" operator="equal">
      <formula>0</formula>
    </cfRule>
  </conditionalFormatting>
  <conditionalFormatting sqref="C50:Q55 R49:R54 R56 C49:H49 O49:Q49">
    <cfRule type="cellIs" dxfId="570" priority="1475" operator="equal">
      <formula>0</formula>
    </cfRule>
  </conditionalFormatting>
  <conditionalFormatting sqref="C56:Q56">
    <cfRule type="cellIs" dxfId="569" priority="1476" operator="equal">
      <formula>0</formula>
    </cfRule>
  </conditionalFormatting>
  <conditionalFormatting sqref="C50:R54 C56:R56 C55:Q55 C49:H49 O49:R49">
    <cfRule type="expression" dxfId="568" priority="1477">
      <formula>LEN(TRIM(C49))=0</formula>
    </cfRule>
  </conditionalFormatting>
  <conditionalFormatting sqref="C56:Q56">
    <cfRule type="cellIs" dxfId="567" priority="1478" operator="equal">
      <formula>0</formula>
    </cfRule>
  </conditionalFormatting>
  <conditionalFormatting sqref="C57:Q57">
    <cfRule type="cellIs" dxfId="566" priority="1479" operator="equal">
      <formula>0</formula>
    </cfRule>
  </conditionalFormatting>
  <conditionalFormatting sqref="C57:Q57">
    <cfRule type="expression" dxfId="565" priority="1480">
      <formula>LEN(TRIM(C57))=0</formula>
    </cfRule>
  </conditionalFormatting>
  <conditionalFormatting sqref="R57">
    <cfRule type="cellIs" dxfId="564" priority="1447" operator="equal">
      <formula>0</formula>
    </cfRule>
  </conditionalFormatting>
  <conditionalFormatting sqref="R57">
    <cfRule type="expression" dxfId="563" priority="1448">
      <formula>LEN(TRIM(R57))=0</formula>
    </cfRule>
  </conditionalFormatting>
  <conditionalFormatting sqref="R55">
    <cfRule type="cellIs" dxfId="562" priority="1445" operator="equal">
      <formula>0</formula>
    </cfRule>
  </conditionalFormatting>
  <conditionalFormatting sqref="R55">
    <cfRule type="expression" dxfId="561" priority="1446">
      <formula>LEN(TRIM(R55))=0</formula>
    </cfRule>
  </conditionalFormatting>
  <conditionalFormatting sqref="I49:N49">
    <cfRule type="cellIs" dxfId="560" priority="1443" operator="equal">
      <formula>0</formula>
    </cfRule>
  </conditionalFormatting>
  <conditionalFormatting sqref="I49:N49">
    <cfRule type="expression" dxfId="559" priority="1444">
      <formula>LEN(TRIM(I49))=0</formula>
    </cfRule>
  </conditionalFormatting>
  <conditionalFormatting sqref="I36:N37">
    <cfRule type="cellIs" dxfId="558" priority="1441" operator="equal">
      <formula>0</formula>
    </cfRule>
  </conditionalFormatting>
  <conditionalFormatting sqref="I36:N37">
    <cfRule type="expression" dxfId="557" priority="1442">
      <formula>LEN(TRIM(I36))=0</formula>
    </cfRule>
  </conditionalFormatting>
  <conditionalFormatting sqref="AC26:AG26">
    <cfRule type="cellIs" dxfId="556" priority="1409" operator="equal">
      <formula>0</formula>
    </cfRule>
  </conditionalFormatting>
  <conditionalFormatting sqref="AH26">
    <cfRule type="cellIs" dxfId="555" priority="1414" operator="equal">
      <formula>0</formula>
    </cfRule>
  </conditionalFormatting>
  <conditionalFormatting sqref="AC190:AG190">
    <cfRule type="cellIs" dxfId="554" priority="1014" operator="equal">
      <formula>0</formula>
    </cfRule>
  </conditionalFormatting>
  <conditionalFormatting sqref="AH190">
    <cfRule type="cellIs" dxfId="553" priority="1019" operator="equal">
      <formula>0</formula>
    </cfRule>
  </conditionalFormatting>
  <conditionalFormatting sqref="W38:AK39">
    <cfRule type="cellIs" dxfId="552" priority="893" operator="equal">
      <formula>0</formula>
    </cfRule>
  </conditionalFormatting>
  <conditionalFormatting sqref="I67:M67">
    <cfRule type="cellIs" dxfId="551" priority="1369" operator="equal">
      <formula>0</formula>
    </cfRule>
  </conditionalFormatting>
  <conditionalFormatting sqref="N67">
    <cfRule type="cellIs" dxfId="550" priority="1374" operator="equal">
      <formula>0</formula>
    </cfRule>
  </conditionalFormatting>
  <conditionalFormatting sqref="I108:M108">
    <cfRule type="cellIs" dxfId="549" priority="1329" operator="equal">
      <formula>0</formula>
    </cfRule>
  </conditionalFormatting>
  <conditionalFormatting sqref="N108">
    <cfRule type="cellIs" dxfId="548" priority="1334" operator="equal">
      <formula>0</formula>
    </cfRule>
  </conditionalFormatting>
  <conditionalFormatting sqref="I149:M149">
    <cfRule type="cellIs" dxfId="547" priority="1289" operator="equal">
      <formula>0</formula>
    </cfRule>
  </conditionalFormatting>
  <conditionalFormatting sqref="N149">
    <cfRule type="cellIs" dxfId="546" priority="1294" operator="equal">
      <formula>0</formula>
    </cfRule>
  </conditionalFormatting>
  <conditionalFormatting sqref="AC149:AG149">
    <cfRule type="cellIs" dxfId="545" priority="1054" operator="equal">
      <formula>0</formula>
    </cfRule>
  </conditionalFormatting>
  <conditionalFormatting sqref="AH149">
    <cfRule type="cellIs" dxfId="544" priority="1059" operator="equal">
      <formula>0</formula>
    </cfRule>
  </conditionalFormatting>
  <conditionalFormatting sqref="I190:M190">
    <cfRule type="cellIs" dxfId="543" priority="1249" operator="equal">
      <formula>0</formula>
    </cfRule>
  </conditionalFormatting>
  <conditionalFormatting sqref="N190">
    <cfRule type="cellIs" dxfId="542" priority="1254" operator="equal">
      <formula>0</formula>
    </cfRule>
  </conditionalFormatting>
  <conditionalFormatting sqref="I231:M231">
    <cfRule type="cellIs" dxfId="541" priority="1209" operator="equal">
      <formula>0</formula>
    </cfRule>
  </conditionalFormatting>
  <conditionalFormatting sqref="N231">
    <cfRule type="cellIs" dxfId="540" priority="1214" operator="equal">
      <formula>0</formula>
    </cfRule>
  </conditionalFormatting>
  <conditionalFormatting sqref="AC108:AG108">
    <cfRule type="cellIs" dxfId="539" priority="1094" operator="equal">
      <formula>0</formula>
    </cfRule>
  </conditionalFormatting>
  <conditionalFormatting sqref="AH108">
    <cfRule type="cellIs" dxfId="538" priority="1099" operator="equal">
      <formula>0</formula>
    </cfRule>
  </conditionalFormatting>
  <conditionalFormatting sqref="I272:M272">
    <cfRule type="cellIs" dxfId="537" priority="1169" operator="equal">
      <formula>0</formula>
    </cfRule>
  </conditionalFormatting>
  <conditionalFormatting sqref="N272">
    <cfRule type="cellIs" dxfId="536" priority="1174" operator="equal">
      <formula>0</formula>
    </cfRule>
  </conditionalFormatting>
  <conditionalFormatting sqref="AC67:AH67">
    <cfRule type="cellIs" dxfId="535" priority="1130" operator="equal">
      <formula>0</formula>
    </cfRule>
  </conditionalFormatting>
  <conditionalFormatting sqref="V68:V73">
    <cfRule type="cellIs" dxfId="534" priority="1132" operator="equal">
      <formula>0</formula>
    </cfRule>
  </conditionalFormatting>
  <conditionalFormatting sqref="V79:V80">
    <cfRule type="cellIs" dxfId="533" priority="1150" operator="equal">
      <formula>0</formula>
    </cfRule>
  </conditionalFormatting>
  <conditionalFormatting sqref="V90:V96">
    <cfRule type="cellIs" dxfId="532" priority="1155" operator="equal">
      <formula>0</formula>
    </cfRule>
  </conditionalFormatting>
  <conditionalFormatting sqref="V97">
    <cfRule type="cellIs" dxfId="531" priority="1156" operator="equal">
      <formula>0</formula>
    </cfRule>
  </conditionalFormatting>
  <conditionalFormatting sqref="V98">
    <cfRule type="cellIs" dxfId="530" priority="1159" operator="equal">
      <formula>0</formula>
    </cfRule>
  </conditionalFormatting>
  <conditionalFormatting sqref="D85:F85 C86:F87 O89:R89 C89:H89 G85:H87 C81:H84 I81:Q87 O71:R73 D71:H73 I71:N72 P68:R70 F68:F70 C68:C73 C76:R76 P75:R75 C75:N75 C88:Q88 R77:R88 C74:R74 R69:R74 C77:Q78">
    <cfRule type="cellIs" dxfId="529" priority="842" operator="equal">
      <formula>0</formula>
    </cfRule>
  </conditionalFormatting>
  <conditionalFormatting sqref="O68:O73">
    <cfRule type="cellIs" dxfId="528" priority="843" operator="equal">
      <formula>0</formula>
    </cfRule>
  </conditionalFormatting>
  <conditionalFormatting sqref="C68:D73 G68:H73">
    <cfRule type="cellIs" dxfId="527" priority="844" operator="equal">
      <formula>0</formula>
    </cfRule>
  </conditionalFormatting>
  <conditionalFormatting sqref="E68:E73">
    <cfRule type="cellIs" dxfId="526" priority="845" operator="equal">
      <formula>0</formula>
    </cfRule>
  </conditionalFormatting>
  <conditionalFormatting sqref="C85">
    <cfRule type="cellIs" dxfId="525" priority="846" operator="equal">
      <formula>0</formula>
    </cfRule>
  </conditionalFormatting>
  <conditionalFormatting sqref="I71:I73 I89">
    <cfRule type="cellIs" dxfId="524" priority="847" operator="equal">
      <formula>0</formula>
    </cfRule>
  </conditionalFormatting>
  <conditionalFormatting sqref="I70:I73 J68:N68">
    <cfRule type="cellIs" dxfId="523" priority="848" operator="equal">
      <formula>0</formula>
    </cfRule>
  </conditionalFormatting>
  <conditionalFormatting sqref="J71:J73 J89">
    <cfRule type="cellIs" dxfId="522" priority="849" operator="equal">
      <formula>0</formula>
    </cfRule>
  </conditionalFormatting>
  <conditionalFormatting sqref="J68:J73">
    <cfRule type="cellIs" dxfId="521" priority="850" operator="equal">
      <formula>0</formula>
    </cfRule>
  </conditionalFormatting>
  <conditionalFormatting sqref="K71:K73 K89">
    <cfRule type="cellIs" dxfId="520" priority="851" operator="equal">
      <formula>0</formula>
    </cfRule>
  </conditionalFormatting>
  <conditionalFormatting sqref="K68:K73">
    <cfRule type="cellIs" dxfId="519" priority="852" operator="equal">
      <formula>0</formula>
    </cfRule>
  </conditionalFormatting>
  <conditionalFormatting sqref="L68:L73">
    <cfRule type="cellIs" dxfId="518" priority="854" operator="equal">
      <formula>0</formula>
    </cfRule>
  </conditionalFormatting>
  <conditionalFormatting sqref="M71:M73 M89">
    <cfRule type="cellIs" dxfId="517" priority="855" operator="equal">
      <formula>0</formula>
    </cfRule>
  </conditionalFormatting>
  <conditionalFormatting sqref="M68:M73">
    <cfRule type="cellIs" dxfId="516" priority="856" operator="equal">
      <formula>0</formula>
    </cfRule>
  </conditionalFormatting>
  <conditionalFormatting sqref="N71:N73 N89">
    <cfRule type="cellIs" dxfId="515" priority="857" operator="equal">
      <formula>0</formula>
    </cfRule>
  </conditionalFormatting>
  <conditionalFormatting sqref="K71:K72">
    <cfRule type="cellIs" dxfId="514" priority="860" operator="equal">
      <formula>0</formula>
    </cfRule>
  </conditionalFormatting>
  <conditionalFormatting sqref="L71:L72">
    <cfRule type="cellIs" dxfId="513" priority="861" operator="equal">
      <formula>0</formula>
    </cfRule>
  </conditionalFormatting>
  <conditionalFormatting sqref="C79:Q80">
    <cfRule type="cellIs" dxfId="512" priority="862" operator="equal">
      <formula>0</formula>
    </cfRule>
  </conditionalFormatting>
  <conditionalFormatting sqref="M71:N71">
    <cfRule type="cellIs" dxfId="511" priority="865" operator="equal">
      <formula>0</formula>
    </cfRule>
  </conditionalFormatting>
  <conditionalFormatting sqref="N68:N73">
    <cfRule type="cellIs" dxfId="510" priority="858" operator="equal">
      <formula>0</formula>
    </cfRule>
  </conditionalFormatting>
  <conditionalFormatting sqref="O79:O80">
    <cfRule type="cellIs" dxfId="509" priority="863" operator="equal">
      <formula>0</formula>
    </cfRule>
  </conditionalFormatting>
  <conditionalFormatting sqref="M72:N72">
    <cfRule type="cellIs" dxfId="508" priority="866" operator="equal">
      <formula>0</formula>
    </cfRule>
  </conditionalFormatting>
  <conditionalFormatting sqref="R90:R97 C90:Q96">
    <cfRule type="cellIs" dxfId="507" priority="867" operator="equal">
      <formula>0</formula>
    </cfRule>
  </conditionalFormatting>
  <conditionalFormatting sqref="C97:Q97">
    <cfRule type="cellIs" dxfId="506" priority="868" operator="equal">
      <formula>0</formula>
    </cfRule>
  </conditionalFormatting>
  <conditionalFormatting sqref="C97:Q97">
    <cfRule type="cellIs" dxfId="505" priority="870" operator="equal">
      <formula>0</formula>
    </cfRule>
  </conditionalFormatting>
  <conditionalFormatting sqref="C98:Q98">
    <cfRule type="cellIs" dxfId="504" priority="871" operator="equal">
      <formula>0</formula>
    </cfRule>
  </conditionalFormatting>
  <conditionalFormatting sqref="X44:Z44 W45:Z46 AI48:AL48 W48:AB48 AA44:AB46 W40:AB43 AC40:AK46 AI30:AL32 X30:AB32 AC30:AH31 AJ27:AL29 Z27:Z29 W27:W32 W47:AL47 AL36:AL46 W33:AL33 W35:AL35 AJ34:AL34 W34:AH34 W36:AK37">
    <cfRule type="cellIs" dxfId="503" priority="873" operator="equal">
      <formula>0</formula>
    </cfRule>
  </conditionalFormatting>
  <conditionalFormatting sqref="AI27:AI32">
    <cfRule type="cellIs" dxfId="502" priority="874" operator="equal">
      <formula>0</formula>
    </cfRule>
  </conditionalFormatting>
  <conditionalFormatting sqref="Y27:Y32">
    <cfRule type="cellIs" dxfId="501" priority="876" operator="equal">
      <formula>0</formula>
    </cfRule>
  </conditionalFormatting>
  <conditionalFormatting sqref="W44">
    <cfRule type="cellIs" dxfId="500" priority="877" operator="equal">
      <formula>0</formula>
    </cfRule>
  </conditionalFormatting>
  <conditionalFormatting sqref="AC30:AC32 AC48">
    <cfRule type="cellIs" dxfId="499" priority="878" operator="equal">
      <formula>0</formula>
    </cfRule>
  </conditionalFormatting>
  <conditionalFormatting sqref="AC27:AC32 AD27:AH27">
    <cfRule type="cellIs" dxfId="498" priority="879" operator="equal">
      <formula>0</formula>
    </cfRule>
  </conditionalFormatting>
  <conditionalFormatting sqref="AD27:AD32">
    <cfRule type="cellIs" dxfId="497" priority="881" operator="equal">
      <formula>0</formula>
    </cfRule>
  </conditionalFormatting>
  <conditionalFormatting sqref="AE30:AE32 AE48">
    <cfRule type="cellIs" dxfId="496" priority="882" operator="equal">
      <formula>0</formula>
    </cfRule>
  </conditionalFormatting>
  <conditionalFormatting sqref="AE27:AE32">
    <cfRule type="cellIs" dxfId="495" priority="883" operator="equal">
      <formula>0</formula>
    </cfRule>
  </conditionalFormatting>
  <conditionalFormatting sqref="AF30:AF32 AF48">
    <cfRule type="cellIs" dxfId="494" priority="884" operator="equal">
      <formula>0</formula>
    </cfRule>
  </conditionalFormatting>
  <conditionalFormatting sqref="AG30:AG32 AG48">
    <cfRule type="cellIs" dxfId="493" priority="886" operator="equal">
      <formula>0</formula>
    </cfRule>
  </conditionalFormatting>
  <conditionalFormatting sqref="AG27:AG32">
    <cfRule type="cellIs" dxfId="492" priority="887" operator="equal">
      <formula>0</formula>
    </cfRule>
  </conditionalFormatting>
  <conditionalFormatting sqref="L71:L73 L89">
    <cfRule type="cellIs" dxfId="491" priority="853" operator="equal">
      <formula>0</formula>
    </cfRule>
  </conditionalFormatting>
  <conditionalFormatting sqref="AC231:AG231">
    <cfRule type="cellIs" dxfId="490" priority="974" operator="equal">
      <formula>0</formula>
    </cfRule>
  </conditionalFormatting>
  <conditionalFormatting sqref="AD30:AD32 AD48">
    <cfRule type="cellIs" dxfId="489" priority="880" operator="equal">
      <formula>0</formula>
    </cfRule>
  </conditionalFormatting>
  <conditionalFormatting sqref="AH231">
    <cfRule type="cellIs" dxfId="488" priority="979" operator="equal">
      <formula>0</formula>
    </cfRule>
  </conditionalFormatting>
  <conditionalFormatting sqref="AF27:AF32">
    <cfRule type="cellIs" dxfId="487" priority="885" operator="equal">
      <formula>0</formula>
    </cfRule>
  </conditionalFormatting>
  <conditionalFormatting sqref="AH30:AH32 AH48">
    <cfRule type="cellIs" dxfId="486" priority="888" operator="equal">
      <formula>0</formula>
    </cfRule>
  </conditionalFormatting>
  <conditionalFormatting sqref="AH27:AH32">
    <cfRule type="cellIs" dxfId="485" priority="889" operator="equal">
      <formula>0</formula>
    </cfRule>
  </conditionalFormatting>
  <conditionalFormatting sqref="AE30:AE31">
    <cfRule type="cellIs" dxfId="484" priority="891" operator="equal">
      <formula>0</formula>
    </cfRule>
  </conditionalFormatting>
  <conditionalFormatting sqref="AF30:AF31">
    <cfRule type="cellIs" dxfId="483" priority="892" operator="equal">
      <formula>0</formula>
    </cfRule>
  </conditionalFormatting>
  <conditionalFormatting sqref="AI38:AI39">
    <cfRule type="cellIs" dxfId="482" priority="894" operator="equal">
      <formula>0</formula>
    </cfRule>
  </conditionalFormatting>
  <conditionalFormatting sqref="AG30:AH30">
    <cfRule type="cellIs" dxfId="481" priority="896" operator="equal">
      <formula>0</formula>
    </cfRule>
  </conditionalFormatting>
  <conditionalFormatting sqref="AL49:AL56 W49:AK55">
    <cfRule type="cellIs" dxfId="480" priority="898" operator="equal">
      <formula>0</formula>
    </cfRule>
  </conditionalFormatting>
  <conditionalFormatting sqref="W56:AK56">
    <cfRule type="cellIs" dxfId="479" priority="899" operator="equal">
      <formula>0</formula>
    </cfRule>
  </conditionalFormatting>
  <conditionalFormatting sqref="W56:AK56">
    <cfRule type="cellIs" dxfId="478" priority="901" operator="equal">
      <formula>0</formula>
    </cfRule>
  </conditionalFormatting>
  <conditionalFormatting sqref="W27:X32 AA27:AB32">
    <cfRule type="cellIs" dxfId="477" priority="875" operator="equal">
      <formula>0</formula>
    </cfRule>
  </conditionalFormatting>
  <conditionalFormatting sqref="C98:Q98">
    <cfRule type="expression" dxfId="476" priority="872">
      <formula>LEN(TRIM(C98))=0</formula>
    </cfRule>
  </conditionalFormatting>
  <conditionalFormatting sqref="AC272:AG272">
    <cfRule type="cellIs" dxfId="475" priority="934" operator="equal">
      <formula>0</formula>
    </cfRule>
  </conditionalFormatting>
  <conditionalFormatting sqref="W57:AL57">
    <cfRule type="cellIs" dxfId="474" priority="902" operator="equal">
      <formula>0</formula>
    </cfRule>
  </conditionalFormatting>
  <conditionalFormatting sqref="AH272">
    <cfRule type="cellIs" dxfId="473" priority="939" operator="equal">
      <formula>0</formula>
    </cfRule>
  </conditionalFormatting>
  <conditionalFormatting sqref="AH67">
    <cfRule type="cellIs" dxfId="472" priority="911" operator="equal">
      <formula>0</formula>
    </cfRule>
  </conditionalFormatting>
  <conditionalFormatting sqref="W49:AL56">
    <cfRule type="expression" dxfId="471" priority="900">
      <formula>LEN(TRIM(W49))=0</formula>
    </cfRule>
  </conditionalFormatting>
  <conditionalFormatting sqref="AG31:AH31">
    <cfRule type="cellIs" dxfId="470" priority="897" operator="equal">
      <formula>0</formula>
    </cfRule>
  </conditionalFormatting>
  <conditionalFormatting sqref="R98">
    <cfRule type="cellIs" dxfId="469" priority="499" operator="equal">
      <formula>0</formula>
    </cfRule>
  </conditionalFormatting>
  <conditionalFormatting sqref="W35:AL35 W40:AK46 W27:AL33 W47:AL47 AL36:AL46 W36:AK37">
    <cfRule type="expression" dxfId="468" priority="890">
      <formula>LEN(TRIM(W27))=0</formula>
    </cfRule>
  </conditionalFormatting>
  <conditionalFormatting sqref="W38:AK39">
    <cfRule type="expression" dxfId="467" priority="895">
      <formula>LEN(TRIM(W38))=0</formula>
    </cfRule>
  </conditionalFormatting>
  <conditionalFormatting sqref="W57:AL57">
    <cfRule type="expression" dxfId="466" priority="903">
      <formula>LEN(TRIM(W57))=0</formula>
    </cfRule>
  </conditionalFormatting>
  <conditionalFormatting sqref="C76:R76 C81:Q88 R77:R88 C70:R74 C77:Q78 C68:H69 J68:R69">
    <cfRule type="expression" dxfId="465" priority="859">
      <formula>LEN(TRIM(C68))=0</formula>
    </cfRule>
  </conditionalFormatting>
  <conditionalFormatting sqref="C79:Q80">
    <cfRule type="expression" dxfId="464" priority="864">
      <formula>LEN(TRIM(C79))=0</formula>
    </cfRule>
  </conditionalFormatting>
  <conditionalFormatting sqref="C90:R97">
    <cfRule type="expression" dxfId="463" priority="869">
      <formula>LEN(TRIM(C90))=0</formula>
    </cfRule>
  </conditionalFormatting>
  <conditionalFormatting sqref="R98">
    <cfRule type="expression" dxfId="462" priority="500">
      <formula>LEN(TRIM(R98))=0</formula>
    </cfRule>
  </conditionalFormatting>
  <conditionalFormatting sqref="X85:Z85 W86:Z87 AI89:AL89 W89:AB89 AA85:AB87 W81:AB84 AC81:AK85 AI71:AL73 X71:AB73 AC71:AH72 AJ68:AL70 Z68:Z70 W68:W73 W76:AL76 AJ75:AL75 W75:AH75 W88:AK88 AL77:AL88 W74:AL74 AC86:AH87 AK86:AK87 W77:AK78">
    <cfRule type="cellIs" dxfId="461" priority="468" operator="equal">
      <formula>0</formula>
    </cfRule>
  </conditionalFormatting>
  <conditionalFormatting sqref="AI68:AI73">
    <cfRule type="cellIs" dxfId="460" priority="469" operator="equal">
      <formula>0</formula>
    </cfRule>
  </conditionalFormatting>
  <conditionalFormatting sqref="W68:X73 AA68:AB73">
    <cfRule type="cellIs" dxfId="459" priority="470" operator="equal">
      <formula>0</formula>
    </cfRule>
  </conditionalFormatting>
  <conditionalFormatting sqref="Y68:Y73">
    <cfRule type="cellIs" dxfId="458" priority="471" operator="equal">
      <formula>0</formula>
    </cfRule>
  </conditionalFormatting>
  <conditionalFormatting sqref="W85">
    <cfRule type="cellIs" dxfId="457" priority="472" operator="equal">
      <formula>0</formula>
    </cfRule>
  </conditionalFormatting>
  <conditionalFormatting sqref="AC71:AC73 AC89">
    <cfRule type="cellIs" dxfId="456" priority="473" operator="equal">
      <formula>0</formula>
    </cfRule>
  </conditionalFormatting>
  <conditionalFormatting sqref="AC70:AC73 AD68 AF68:AH68">
    <cfRule type="cellIs" dxfId="455" priority="474" operator="equal">
      <formula>0</formula>
    </cfRule>
  </conditionalFormatting>
  <conditionalFormatting sqref="AD71:AD73 AD89">
    <cfRule type="cellIs" dxfId="454" priority="475" operator="equal">
      <formula>0</formula>
    </cfRule>
  </conditionalFormatting>
  <conditionalFormatting sqref="AD68:AD73">
    <cfRule type="cellIs" dxfId="453" priority="476" operator="equal">
      <formula>0</formula>
    </cfRule>
  </conditionalFormatting>
  <conditionalFormatting sqref="AE71:AE73 AE89">
    <cfRule type="cellIs" dxfId="452" priority="477" operator="equal">
      <formula>0</formula>
    </cfRule>
  </conditionalFormatting>
  <conditionalFormatting sqref="AE70:AE73">
    <cfRule type="cellIs" dxfId="451" priority="478" operator="equal">
      <formula>0</formula>
    </cfRule>
  </conditionalFormatting>
  <conditionalFormatting sqref="AF68:AF73">
    <cfRule type="cellIs" dxfId="450" priority="480" operator="equal">
      <formula>0</formula>
    </cfRule>
  </conditionalFormatting>
  <conditionalFormatting sqref="AG71:AG73 AG89">
    <cfRule type="cellIs" dxfId="449" priority="481" operator="equal">
      <formula>0</formula>
    </cfRule>
  </conditionalFormatting>
  <conditionalFormatting sqref="AG68:AG73">
    <cfRule type="cellIs" dxfId="448" priority="482" operator="equal">
      <formula>0</formula>
    </cfRule>
  </conditionalFormatting>
  <conditionalFormatting sqref="AH71:AH73 AH89">
    <cfRule type="cellIs" dxfId="447" priority="483" operator="equal">
      <formula>0</formula>
    </cfRule>
  </conditionalFormatting>
  <conditionalFormatting sqref="AE71:AE72">
    <cfRule type="cellIs" dxfId="446" priority="486" operator="equal">
      <formula>0</formula>
    </cfRule>
  </conditionalFormatting>
  <conditionalFormatting sqref="AF71:AF72">
    <cfRule type="cellIs" dxfId="445" priority="487" operator="equal">
      <formula>0</formula>
    </cfRule>
  </conditionalFormatting>
  <conditionalFormatting sqref="W79:AK80">
    <cfRule type="cellIs" dxfId="444" priority="488" operator="equal">
      <formula>0</formula>
    </cfRule>
  </conditionalFormatting>
  <conditionalFormatting sqref="AG71:AH71">
    <cfRule type="cellIs" dxfId="443" priority="491" operator="equal">
      <formula>0</formula>
    </cfRule>
  </conditionalFormatting>
  <conditionalFormatting sqref="AH68:AH73">
    <cfRule type="cellIs" dxfId="442" priority="484" operator="equal">
      <formula>0</formula>
    </cfRule>
  </conditionalFormatting>
  <conditionalFormatting sqref="AI79:AI80">
    <cfRule type="cellIs" dxfId="441" priority="489" operator="equal">
      <formula>0</formula>
    </cfRule>
  </conditionalFormatting>
  <conditionalFormatting sqref="AG72:AH72">
    <cfRule type="cellIs" dxfId="440" priority="492" operator="equal">
      <formula>0</formula>
    </cfRule>
  </conditionalFormatting>
  <conditionalFormatting sqref="AL90:AL97 W90:AK96">
    <cfRule type="cellIs" dxfId="439" priority="493" operator="equal">
      <formula>0</formula>
    </cfRule>
  </conditionalFormatting>
  <conditionalFormatting sqref="W97:AK97">
    <cfRule type="cellIs" dxfId="438" priority="494" operator="equal">
      <formula>0</formula>
    </cfRule>
  </conditionalFormatting>
  <conditionalFormatting sqref="W97:AK97">
    <cfRule type="cellIs" dxfId="437" priority="496" operator="equal">
      <formula>0</formula>
    </cfRule>
  </conditionalFormatting>
  <conditionalFormatting sqref="W98:AK98">
    <cfRule type="cellIs" dxfId="436" priority="497" operator="equal">
      <formula>0</formula>
    </cfRule>
  </conditionalFormatting>
  <conditionalFormatting sqref="AF71:AF73 AF89">
    <cfRule type="cellIs" dxfId="435" priority="479" operator="equal">
      <formula>0</formula>
    </cfRule>
  </conditionalFormatting>
  <conditionalFormatting sqref="W98:AK98">
    <cfRule type="expression" dxfId="434" priority="498">
      <formula>LEN(TRIM(W98))=0</formula>
    </cfRule>
  </conditionalFormatting>
  <conditionalFormatting sqref="AL98">
    <cfRule type="cellIs" dxfId="433" priority="466" operator="equal">
      <formula>0</formula>
    </cfRule>
  </conditionalFormatting>
  <conditionalFormatting sqref="W76:AL76 W81:AK85 AL77:AL88 W70:AL74 W88:AK88 W86:AH87 AK86:AK87 W77:AK78 W68:AB69 AD68:AD69 AF68:AL69">
    <cfRule type="expression" dxfId="432" priority="485">
      <formula>LEN(TRIM(W68))=0</formula>
    </cfRule>
  </conditionalFormatting>
  <conditionalFormatting sqref="W79:AK80">
    <cfRule type="expression" dxfId="431" priority="490">
      <formula>LEN(TRIM(W79))=0</formula>
    </cfRule>
  </conditionalFormatting>
  <conditionalFormatting sqref="W90:AL97">
    <cfRule type="expression" dxfId="430" priority="495">
      <formula>LEN(TRIM(W90))=0</formula>
    </cfRule>
  </conditionalFormatting>
  <conditionalFormatting sqref="AL98">
    <cfRule type="expression" dxfId="429" priority="467">
      <formula>LEN(TRIM(AL98))=0</formula>
    </cfRule>
  </conditionalFormatting>
  <conditionalFormatting sqref="D126:F126 C127:F128 O130:R130 C130:H130 G126:H128 C122:H125 I122:Q126 O112:R114 D112:H114 I112:N113 P109:R111 F109:F111 C109:C114 C117:R117 P116:R116 C116:N116 C129:Q129 R118:R129 C115:R115 I127:N128 Q127:Q128 C119:Q119 O118:Q118">
    <cfRule type="cellIs" dxfId="428" priority="402" operator="equal">
      <formula>0</formula>
    </cfRule>
  </conditionalFormatting>
  <conditionalFormatting sqref="O109:O114">
    <cfRule type="cellIs" dxfId="427" priority="403" operator="equal">
      <formula>0</formula>
    </cfRule>
  </conditionalFormatting>
  <conditionalFormatting sqref="C109:D114 G109:H114">
    <cfRule type="cellIs" dxfId="426" priority="404" operator="equal">
      <formula>0</formula>
    </cfRule>
  </conditionalFormatting>
  <conditionalFormatting sqref="E109:E114">
    <cfRule type="cellIs" dxfId="425" priority="405" operator="equal">
      <formula>0</formula>
    </cfRule>
  </conditionalFormatting>
  <conditionalFormatting sqref="C126">
    <cfRule type="cellIs" dxfId="424" priority="406" operator="equal">
      <formula>0</formula>
    </cfRule>
  </conditionalFormatting>
  <conditionalFormatting sqref="I112:I114 I130">
    <cfRule type="cellIs" dxfId="423" priority="407" operator="equal">
      <formula>0</formula>
    </cfRule>
  </conditionalFormatting>
  <conditionalFormatting sqref="I111:I114 J109 L109:N109">
    <cfRule type="cellIs" dxfId="422" priority="408" operator="equal">
      <formula>0</formula>
    </cfRule>
  </conditionalFormatting>
  <conditionalFormatting sqref="J112:J114 J130">
    <cfRule type="cellIs" dxfId="421" priority="409" operator="equal">
      <formula>0</formula>
    </cfRule>
  </conditionalFormatting>
  <conditionalFormatting sqref="J109:J114">
    <cfRule type="cellIs" dxfId="420" priority="410" operator="equal">
      <formula>0</formula>
    </cfRule>
  </conditionalFormatting>
  <conditionalFormatting sqref="K112:K114 K130">
    <cfRule type="cellIs" dxfId="419" priority="411" operator="equal">
      <formula>0</formula>
    </cfRule>
  </conditionalFormatting>
  <conditionalFormatting sqref="K111:K114">
    <cfRule type="cellIs" dxfId="418" priority="412" operator="equal">
      <formula>0</formula>
    </cfRule>
  </conditionalFormatting>
  <conditionalFormatting sqref="L109:L114">
    <cfRule type="cellIs" dxfId="417" priority="414" operator="equal">
      <formula>0</formula>
    </cfRule>
  </conditionalFormatting>
  <conditionalFormatting sqref="M112:M114 M130">
    <cfRule type="cellIs" dxfId="416" priority="415" operator="equal">
      <formula>0</formula>
    </cfRule>
  </conditionalFormatting>
  <conditionalFormatting sqref="M109:M114">
    <cfRule type="cellIs" dxfId="415" priority="416" operator="equal">
      <formula>0</formula>
    </cfRule>
  </conditionalFormatting>
  <conditionalFormatting sqref="N112:N114 N130">
    <cfRule type="cellIs" dxfId="414" priority="417" operator="equal">
      <formula>0</formula>
    </cfRule>
  </conditionalFormatting>
  <conditionalFormatting sqref="K112:K113">
    <cfRule type="cellIs" dxfId="413" priority="420" operator="equal">
      <formula>0</formula>
    </cfRule>
  </conditionalFormatting>
  <conditionalFormatting sqref="L112:L113">
    <cfRule type="cellIs" dxfId="412" priority="421" operator="equal">
      <formula>0</formula>
    </cfRule>
  </conditionalFormatting>
  <conditionalFormatting sqref="C120:Q121">
    <cfRule type="cellIs" dxfId="411" priority="422" operator="equal">
      <formula>0</formula>
    </cfRule>
  </conditionalFormatting>
  <conditionalFormatting sqref="M112:N112">
    <cfRule type="cellIs" dxfId="410" priority="425" operator="equal">
      <formula>0</formula>
    </cfRule>
  </conditionalFormatting>
  <conditionalFormatting sqref="N109:N114">
    <cfRule type="cellIs" dxfId="409" priority="418" operator="equal">
      <formula>0</formula>
    </cfRule>
  </conditionalFormatting>
  <conditionalFormatting sqref="O120:O121">
    <cfRule type="cellIs" dxfId="408" priority="423" operator="equal">
      <formula>0</formula>
    </cfRule>
  </conditionalFormatting>
  <conditionalFormatting sqref="M113:N113">
    <cfRule type="cellIs" dxfId="407" priority="426" operator="equal">
      <formula>0</formula>
    </cfRule>
  </conditionalFormatting>
  <conditionalFormatting sqref="R131:R138 C131:Q137">
    <cfRule type="cellIs" dxfId="406" priority="427" operator="equal">
      <formula>0</formula>
    </cfRule>
  </conditionalFormatting>
  <conditionalFormatting sqref="C138:Q138">
    <cfRule type="cellIs" dxfId="405" priority="428" operator="equal">
      <formula>0</formula>
    </cfRule>
  </conditionalFormatting>
  <conditionalFormatting sqref="C138:Q138">
    <cfRule type="cellIs" dxfId="404" priority="430" operator="equal">
      <formula>0</formula>
    </cfRule>
  </conditionalFormatting>
  <conditionalFormatting sqref="C139:Q139">
    <cfRule type="cellIs" dxfId="403" priority="431" operator="equal">
      <formula>0</formula>
    </cfRule>
  </conditionalFormatting>
  <conditionalFormatting sqref="L112:L114 L130">
    <cfRule type="cellIs" dxfId="402" priority="413" operator="equal">
      <formula>0</formula>
    </cfRule>
  </conditionalFormatting>
  <conditionalFormatting sqref="C139:Q139">
    <cfRule type="expression" dxfId="401" priority="432">
      <formula>LEN(TRIM(C139))=0</formula>
    </cfRule>
  </conditionalFormatting>
  <conditionalFormatting sqref="R139">
    <cfRule type="cellIs" dxfId="400" priority="400" operator="equal">
      <formula>0</formula>
    </cfRule>
  </conditionalFormatting>
  <conditionalFormatting sqref="C117:R117 C122:Q126 R118:R129 C111:R115 C129:Q129 C127:N128 Q127:Q128 C119:Q119 C109:H110 L109:R110 J109:J110 O118:Q118">
    <cfRule type="expression" dxfId="399" priority="419">
      <formula>LEN(TRIM(C109))=0</formula>
    </cfRule>
  </conditionalFormatting>
  <conditionalFormatting sqref="C120:Q121">
    <cfRule type="expression" dxfId="398" priority="424">
      <formula>LEN(TRIM(C120))=0</formula>
    </cfRule>
  </conditionalFormatting>
  <conditionalFormatting sqref="C131:R138">
    <cfRule type="expression" dxfId="397" priority="429">
      <formula>LEN(TRIM(C131))=0</formula>
    </cfRule>
  </conditionalFormatting>
  <conditionalFormatting sqref="R139">
    <cfRule type="expression" dxfId="396" priority="401">
      <formula>LEN(TRIM(R139))=0</formula>
    </cfRule>
  </conditionalFormatting>
  <conditionalFormatting sqref="O127:P128">
    <cfRule type="cellIs" dxfId="395" priority="398" operator="equal">
      <formula>0</formula>
    </cfRule>
  </conditionalFormatting>
  <conditionalFormatting sqref="O127:P128">
    <cfRule type="expression" dxfId="394" priority="399">
      <formula>LEN(TRIM(O127))=0</formula>
    </cfRule>
  </conditionalFormatting>
  <conditionalFormatting sqref="D167:F167 C168:F169 O171:R171 C171:H171 G167:H169 C163:H166 I163:Q167 O153:R155 D153:H155 I153:N154 P150:R152 F150:F152 C150:C155 C158:R158 P157:R157 C157:N157 C170:Q170 R159:R170 C156:R156 I168:N169 Q168:Q169 C160:Q160 O159:Q159">
    <cfRule type="cellIs" dxfId="393" priority="367" operator="equal">
      <formula>0</formula>
    </cfRule>
  </conditionalFormatting>
  <conditionalFormatting sqref="O150:O155">
    <cfRule type="cellIs" dxfId="392" priority="368" operator="equal">
      <formula>0</formula>
    </cfRule>
  </conditionalFormatting>
  <conditionalFormatting sqref="C150:D155 G150:H155">
    <cfRule type="cellIs" dxfId="391" priority="369" operator="equal">
      <formula>0</formula>
    </cfRule>
  </conditionalFormatting>
  <conditionalFormatting sqref="E150:E155">
    <cfRule type="cellIs" dxfId="390" priority="370" operator="equal">
      <formula>0</formula>
    </cfRule>
  </conditionalFormatting>
  <conditionalFormatting sqref="C167">
    <cfRule type="cellIs" dxfId="389" priority="371" operator="equal">
      <formula>0</formula>
    </cfRule>
  </conditionalFormatting>
  <conditionalFormatting sqref="I153:I155 I171">
    <cfRule type="cellIs" dxfId="388" priority="372" operator="equal">
      <formula>0</formula>
    </cfRule>
  </conditionalFormatting>
  <conditionalFormatting sqref="I152:I155 J150 L150:N150">
    <cfRule type="cellIs" dxfId="387" priority="373" operator="equal">
      <formula>0</formula>
    </cfRule>
  </conditionalFormatting>
  <conditionalFormatting sqref="J153:J155 J171">
    <cfRule type="cellIs" dxfId="386" priority="374" operator="equal">
      <formula>0</formula>
    </cfRule>
  </conditionalFormatting>
  <conditionalFormatting sqref="J150:J155">
    <cfRule type="cellIs" dxfId="385" priority="375" operator="equal">
      <formula>0</formula>
    </cfRule>
  </conditionalFormatting>
  <conditionalFormatting sqref="K153:K155 K171">
    <cfRule type="cellIs" dxfId="384" priority="376" operator="equal">
      <formula>0</formula>
    </cfRule>
  </conditionalFormatting>
  <conditionalFormatting sqref="K152:K155">
    <cfRule type="cellIs" dxfId="383" priority="377" operator="equal">
      <formula>0</formula>
    </cfRule>
  </conditionalFormatting>
  <conditionalFormatting sqref="L150:L155">
    <cfRule type="cellIs" dxfId="382" priority="379" operator="equal">
      <formula>0</formula>
    </cfRule>
  </conditionalFormatting>
  <conditionalFormatting sqref="M153:M155 M171">
    <cfRule type="cellIs" dxfId="381" priority="380" operator="equal">
      <formula>0</formula>
    </cfRule>
  </conditionalFormatting>
  <conditionalFormatting sqref="M150:M155">
    <cfRule type="cellIs" dxfId="380" priority="381" operator="equal">
      <formula>0</formula>
    </cfRule>
  </conditionalFormatting>
  <conditionalFormatting sqref="N153:N155 N171">
    <cfRule type="cellIs" dxfId="379" priority="382" operator="equal">
      <formula>0</formula>
    </cfRule>
  </conditionalFormatting>
  <conditionalFormatting sqref="K153:K154">
    <cfRule type="cellIs" dxfId="378" priority="385" operator="equal">
      <formula>0</formula>
    </cfRule>
  </conditionalFormatting>
  <conditionalFormatting sqref="L153:L154">
    <cfRule type="cellIs" dxfId="377" priority="386" operator="equal">
      <formula>0</formula>
    </cfRule>
  </conditionalFormatting>
  <conditionalFormatting sqref="C161:Q162">
    <cfRule type="cellIs" dxfId="376" priority="387" operator="equal">
      <formula>0</formula>
    </cfRule>
  </conditionalFormatting>
  <conditionalFormatting sqref="M153:N153">
    <cfRule type="cellIs" dxfId="375" priority="390" operator="equal">
      <formula>0</formula>
    </cfRule>
  </conditionalFormatting>
  <conditionalFormatting sqref="N150:N155">
    <cfRule type="cellIs" dxfId="374" priority="383" operator="equal">
      <formula>0</formula>
    </cfRule>
  </conditionalFormatting>
  <conditionalFormatting sqref="O161:O162">
    <cfRule type="cellIs" dxfId="373" priority="388" operator="equal">
      <formula>0</formula>
    </cfRule>
  </conditionalFormatting>
  <conditionalFormatting sqref="M154:N154">
    <cfRule type="cellIs" dxfId="372" priority="391" operator="equal">
      <formula>0</formula>
    </cfRule>
  </conditionalFormatting>
  <conditionalFormatting sqref="R172:R179 C172:Q178">
    <cfRule type="cellIs" dxfId="371" priority="392" operator="equal">
      <formula>0</formula>
    </cfRule>
  </conditionalFormatting>
  <conditionalFormatting sqref="C179:Q179">
    <cfRule type="cellIs" dxfId="370" priority="393" operator="equal">
      <formula>0</formula>
    </cfRule>
  </conditionalFormatting>
  <conditionalFormatting sqref="C179:Q179">
    <cfRule type="cellIs" dxfId="369" priority="395" operator="equal">
      <formula>0</formula>
    </cfRule>
  </conditionalFormatting>
  <conditionalFormatting sqref="C180:Q180">
    <cfRule type="cellIs" dxfId="368" priority="396" operator="equal">
      <formula>0</formula>
    </cfRule>
  </conditionalFormatting>
  <conditionalFormatting sqref="L153:L155 L171">
    <cfRule type="cellIs" dxfId="367" priority="378" operator="equal">
      <formula>0</formula>
    </cfRule>
  </conditionalFormatting>
  <conditionalFormatting sqref="C180:Q180">
    <cfRule type="expression" dxfId="366" priority="397">
      <formula>LEN(TRIM(C180))=0</formula>
    </cfRule>
  </conditionalFormatting>
  <conditionalFormatting sqref="R180">
    <cfRule type="cellIs" dxfId="365" priority="365" operator="equal">
      <formula>0</formula>
    </cfRule>
  </conditionalFormatting>
  <conditionalFormatting sqref="C158:R158 C163:Q167 R159:R170 C152:R156 C170:Q170 C168:N169 Q168:Q169 C160:Q160 C150:H151 L150:R151 J150:J151 O159:Q159">
    <cfRule type="expression" dxfId="364" priority="384">
      <formula>LEN(TRIM(C150))=0</formula>
    </cfRule>
  </conditionalFormatting>
  <conditionalFormatting sqref="C161:Q162">
    <cfRule type="expression" dxfId="363" priority="389">
      <formula>LEN(TRIM(C161))=0</formula>
    </cfRule>
  </conditionalFormatting>
  <conditionalFormatting sqref="C172:R179">
    <cfRule type="expression" dxfId="362" priority="394">
      <formula>LEN(TRIM(C172))=0</formula>
    </cfRule>
  </conditionalFormatting>
  <conditionalFormatting sqref="R180">
    <cfRule type="expression" dxfId="361" priority="366">
      <formula>LEN(TRIM(R180))=0</formula>
    </cfRule>
  </conditionalFormatting>
  <conditionalFormatting sqref="O168:P169">
    <cfRule type="cellIs" dxfId="360" priority="363" operator="equal">
      <formula>0</formula>
    </cfRule>
  </conditionalFormatting>
  <conditionalFormatting sqref="O168:P169">
    <cfRule type="expression" dxfId="359" priority="364">
      <formula>LEN(TRIM(O168))=0</formula>
    </cfRule>
  </conditionalFormatting>
  <conditionalFormatting sqref="D208:F208 C209:F210 O212:R212 C212:H212 G208:H210 C204:H207 I204:Q208 O194:R196 D194:H196 I194:N195 P191:R193 F191:F193 C191:C196 C199:R199 P198:R198 C198:N198 C211:Q211 R200:R211 C197:R197 I209:N210 Q209:Q210 C201:Q201 O200:Q200">
    <cfRule type="cellIs" dxfId="358" priority="332" operator="equal">
      <formula>0</formula>
    </cfRule>
  </conditionalFormatting>
  <conditionalFormatting sqref="O191:O196">
    <cfRule type="cellIs" dxfId="357" priority="333" operator="equal">
      <formula>0</formula>
    </cfRule>
  </conditionalFormatting>
  <conditionalFormatting sqref="C191:D196 G191:H196">
    <cfRule type="cellIs" dxfId="356" priority="334" operator="equal">
      <formula>0</formula>
    </cfRule>
  </conditionalFormatting>
  <conditionalFormatting sqref="E191:E196">
    <cfRule type="cellIs" dxfId="355" priority="335" operator="equal">
      <formula>0</formula>
    </cfRule>
  </conditionalFormatting>
  <conditionalFormatting sqref="C208">
    <cfRule type="cellIs" dxfId="354" priority="336" operator="equal">
      <formula>0</formula>
    </cfRule>
  </conditionalFormatting>
  <conditionalFormatting sqref="I194:I196 I212">
    <cfRule type="cellIs" dxfId="353" priority="337" operator="equal">
      <formula>0</formula>
    </cfRule>
  </conditionalFormatting>
  <conditionalFormatting sqref="I193:I196 J191 L191:N191">
    <cfRule type="cellIs" dxfId="352" priority="338" operator="equal">
      <formula>0</formula>
    </cfRule>
  </conditionalFormatting>
  <conditionalFormatting sqref="J194:J196 J212">
    <cfRule type="cellIs" dxfId="351" priority="339" operator="equal">
      <formula>0</formula>
    </cfRule>
  </conditionalFormatting>
  <conditionalFormatting sqref="J191:J196">
    <cfRule type="cellIs" dxfId="350" priority="340" operator="equal">
      <formula>0</formula>
    </cfRule>
  </conditionalFormatting>
  <conditionalFormatting sqref="K194:K196 K212">
    <cfRule type="cellIs" dxfId="349" priority="341" operator="equal">
      <formula>0</formula>
    </cfRule>
  </conditionalFormatting>
  <conditionalFormatting sqref="K193:K196">
    <cfRule type="cellIs" dxfId="348" priority="342" operator="equal">
      <formula>0</formula>
    </cfRule>
  </conditionalFormatting>
  <conditionalFormatting sqref="L191:L196">
    <cfRule type="cellIs" dxfId="347" priority="344" operator="equal">
      <formula>0</formula>
    </cfRule>
  </conditionalFormatting>
  <conditionalFormatting sqref="M194:M196 M212">
    <cfRule type="cellIs" dxfId="346" priority="345" operator="equal">
      <formula>0</formula>
    </cfRule>
  </conditionalFormatting>
  <conditionalFormatting sqref="M191:M196">
    <cfRule type="cellIs" dxfId="345" priority="346" operator="equal">
      <formula>0</formula>
    </cfRule>
  </conditionalFormatting>
  <conditionalFormatting sqref="N194:N196 N212">
    <cfRule type="cellIs" dxfId="344" priority="347" operator="equal">
      <formula>0</formula>
    </cfRule>
  </conditionalFormatting>
  <conditionalFormatting sqref="K194:K195">
    <cfRule type="cellIs" dxfId="343" priority="350" operator="equal">
      <formula>0</formula>
    </cfRule>
  </conditionalFormatting>
  <conditionalFormatting sqref="L194:L195">
    <cfRule type="cellIs" dxfId="342" priority="351" operator="equal">
      <formula>0</formula>
    </cfRule>
  </conditionalFormatting>
  <conditionalFormatting sqref="C202:Q203">
    <cfRule type="cellIs" dxfId="341" priority="352" operator="equal">
      <formula>0</formula>
    </cfRule>
  </conditionalFormatting>
  <conditionalFormatting sqref="M194:N194">
    <cfRule type="cellIs" dxfId="340" priority="355" operator="equal">
      <formula>0</formula>
    </cfRule>
  </conditionalFormatting>
  <conditionalFormatting sqref="N191:N196">
    <cfRule type="cellIs" dxfId="339" priority="348" operator="equal">
      <formula>0</formula>
    </cfRule>
  </conditionalFormatting>
  <conditionalFormatting sqref="O202:O203">
    <cfRule type="cellIs" dxfId="338" priority="353" operator="equal">
      <formula>0</formula>
    </cfRule>
  </conditionalFormatting>
  <conditionalFormatting sqref="M195:N195">
    <cfRule type="cellIs" dxfId="337" priority="356" operator="equal">
      <formula>0</formula>
    </cfRule>
  </conditionalFormatting>
  <conditionalFormatting sqref="R213:R220 C213:Q219">
    <cfRule type="cellIs" dxfId="336" priority="357" operator="equal">
      <formula>0</formula>
    </cfRule>
  </conditionalFormatting>
  <conditionalFormatting sqref="C220:Q220">
    <cfRule type="cellIs" dxfId="335" priority="358" operator="equal">
      <formula>0</formula>
    </cfRule>
  </conditionalFormatting>
  <conditionalFormatting sqref="C220:Q220">
    <cfRule type="cellIs" dxfId="334" priority="360" operator="equal">
      <formula>0</formula>
    </cfRule>
  </conditionalFormatting>
  <conditionalFormatting sqref="C221:Q221">
    <cfRule type="cellIs" dxfId="333" priority="361" operator="equal">
      <formula>0</formula>
    </cfRule>
  </conditionalFormatting>
  <conditionalFormatting sqref="L194:L196 L212">
    <cfRule type="cellIs" dxfId="332" priority="343" operator="equal">
      <formula>0</formula>
    </cfRule>
  </conditionalFormatting>
  <conditionalFormatting sqref="C221:Q221">
    <cfRule type="expression" dxfId="331" priority="362">
      <formula>LEN(TRIM(C221))=0</formula>
    </cfRule>
  </conditionalFormatting>
  <conditionalFormatting sqref="R221">
    <cfRule type="cellIs" dxfId="330" priority="330" operator="equal">
      <formula>0</formula>
    </cfRule>
  </conditionalFormatting>
  <conditionalFormatting sqref="C199:R199 C204:Q208 R200:R211 C193:R197 C211:Q211 C209:N210 Q209:Q210 C201:Q201 C191:H192 J191:J192 L191:R192 O200:Q200">
    <cfRule type="expression" dxfId="329" priority="349">
      <formula>LEN(TRIM(C191))=0</formula>
    </cfRule>
  </conditionalFormatting>
  <conditionalFormatting sqref="C202:Q203">
    <cfRule type="expression" dxfId="328" priority="354">
      <formula>LEN(TRIM(C202))=0</formula>
    </cfRule>
  </conditionalFormatting>
  <conditionalFormatting sqref="C213:R220">
    <cfRule type="expression" dxfId="327" priority="359">
      <formula>LEN(TRIM(C213))=0</formula>
    </cfRule>
  </conditionalFormatting>
  <conditionalFormatting sqref="R221">
    <cfRule type="expression" dxfId="326" priority="331">
      <formula>LEN(TRIM(R221))=0</formula>
    </cfRule>
  </conditionalFormatting>
  <conditionalFormatting sqref="O209:P210">
    <cfRule type="cellIs" dxfId="325" priority="328" operator="equal">
      <formula>0</formula>
    </cfRule>
  </conditionalFormatting>
  <conditionalFormatting sqref="O209:P210">
    <cfRule type="expression" dxfId="324" priority="329">
      <formula>LEN(TRIM(O209))=0</formula>
    </cfRule>
  </conditionalFormatting>
  <conditionalFormatting sqref="D249:F249 C250:F251 O253:R253 C253:H253 G249:H251 C245:H248 I245:Q249 O235:R237 D235:H237 I235:N236 P232:R234 F232:F234 C232:C237 C240:R240 P239:R239 C239:N239 C252:Q252 R241:R252 C238:R238 I250:N251 Q250:Q251 C242:Q242 O241:Q241">
    <cfRule type="cellIs" dxfId="323" priority="297" operator="equal">
      <formula>0</formula>
    </cfRule>
  </conditionalFormatting>
  <conditionalFormatting sqref="O232:O237">
    <cfRule type="cellIs" dxfId="322" priority="298" operator="equal">
      <formula>0</formula>
    </cfRule>
  </conditionalFormatting>
  <conditionalFormatting sqref="C232:D237 G232:H237">
    <cfRule type="cellIs" dxfId="321" priority="299" operator="equal">
      <formula>0</formula>
    </cfRule>
  </conditionalFormatting>
  <conditionalFormatting sqref="E232:E237">
    <cfRule type="cellIs" dxfId="320" priority="300" operator="equal">
      <formula>0</formula>
    </cfRule>
  </conditionalFormatting>
  <conditionalFormatting sqref="C249">
    <cfRule type="cellIs" dxfId="319" priority="301" operator="equal">
      <formula>0</formula>
    </cfRule>
  </conditionalFormatting>
  <conditionalFormatting sqref="I235:I237 I253">
    <cfRule type="cellIs" dxfId="318" priority="302" operator="equal">
      <formula>0</formula>
    </cfRule>
  </conditionalFormatting>
  <conditionalFormatting sqref="I234:I237 J232 L232:N232">
    <cfRule type="cellIs" dxfId="317" priority="303" operator="equal">
      <formula>0</formula>
    </cfRule>
  </conditionalFormatting>
  <conditionalFormatting sqref="J235:J237 J253">
    <cfRule type="cellIs" dxfId="316" priority="304" operator="equal">
      <formula>0</formula>
    </cfRule>
  </conditionalFormatting>
  <conditionalFormatting sqref="J232:J237">
    <cfRule type="cellIs" dxfId="315" priority="305" operator="equal">
      <formula>0</formula>
    </cfRule>
  </conditionalFormatting>
  <conditionalFormatting sqref="K235:K237 K253">
    <cfRule type="cellIs" dxfId="314" priority="306" operator="equal">
      <formula>0</formula>
    </cfRule>
  </conditionalFormatting>
  <conditionalFormatting sqref="K234:K237">
    <cfRule type="cellIs" dxfId="313" priority="307" operator="equal">
      <formula>0</formula>
    </cfRule>
  </conditionalFormatting>
  <conditionalFormatting sqref="L232:L237">
    <cfRule type="cellIs" dxfId="312" priority="309" operator="equal">
      <formula>0</formula>
    </cfRule>
  </conditionalFormatting>
  <conditionalFormatting sqref="M235:M237 M253">
    <cfRule type="cellIs" dxfId="311" priority="310" operator="equal">
      <formula>0</formula>
    </cfRule>
  </conditionalFormatting>
  <conditionalFormatting sqref="M232:M237">
    <cfRule type="cellIs" dxfId="310" priority="311" operator="equal">
      <formula>0</formula>
    </cfRule>
  </conditionalFormatting>
  <conditionalFormatting sqref="N235:N237 N253">
    <cfRule type="cellIs" dxfId="309" priority="312" operator="equal">
      <formula>0</formula>
    </cfRule>
  </conditionalFormatting>
  <conditionalFormatting sqref="K235:K236">
    <cfRule type="cellIs" dxfId="308" priority="315" operator="equal">
      <formula>0</formula>
    </cfRule>
  </conditionalFormatting>
  <conditionalFormatting sqref="L235:L236">
    <cfRule type="cellIs" dxfId="307" priority="316" operator="equal">
      <formula>0</formula>
    </cfRule>
  </conditionalFormatting>
  <conditionalFormatting sqref="C243:Q244">
    <cfRule type="cellIs" dxfId="306" priority="317" operator="equal">
      <formula>0</formula>
    </cfRule>
  </conditionalFormatting>
  <conditionalFormatting sqref="M235:N235">
    <cfRule type="cellIs" dxfId="305" priority="320" operator="equal">
      <formula>0</formula>
    </cfRule>
  </conditionalFormatting>
  <conditionalFormatting sqref="N232:N237">
    <cfRule type="cellIs" dxfId="304" priority="313" operator="equal">
      <formula>0</formula>
    </cfRule>
  </conditionalFormatting>
  <conditionalFormatting sqref="O243:O244">
    <cfRule type="cellIs" dxfId="303" priority="318" operator="equal">
      <formula>0</formula>
    </cfRule>
  </conditionalFormatting>
  <conditionalFormatting sqref="M236:N236">
    <cfRule type="cellIs" dxfId="302" priority="321" operator="equal">
      <formula>0</formula>
    </cfRule>
  </conditionalFormatting>
  <conditionalFormatting sqref="R254:R261 C254:Q260">
    <cfRule type="cellIs" dxfId="301" priority="322" operator="equal">
      <formula>0</formula>
    </cfRule>
  </conditionalFormatting>
  <conditionalFormatting sqref="C261:Q261">
    <cfRule type="cellIs" dxfId="300" priority="323" operator="equal">
      <formula>0</formula>
    </cfRule>
  </conditionalFormatting>
  <conditionalFormatting sqref="C261:Q261">
    <cfRule type="cellIs" dxfId="299" priority="325" operator="equal">
      <formula>0</formula>
    </cfRule>
  </conditionalFormatting>
  <conditionalFormatting sqref="C262:Q262">
    <cfRule type="cellIs" dxfId="298" priority="326" operator="equal">
      <formula>0</formula>
    </cfRule>
  </conditionalFormatting>
  <conditionalFormatting sqref="L235:L237 L253">
    <cfRule type="cellIs" dxfId="297" priority="308" operator="equal">
      <formula>0</formula>
    </cfRule>
  </conditionalFormatting>
  <conditionalFormatting sqref="C262:Q262">
    <cfRule type="expression" dxfId="296" priority="327">
      <formula>LEN(TRIM(C262))=0</formula>
    </cfRule>
  </conditionalFormatting>
  <conditionalFormatting sqref="R262">
    <cfRule type="cellIs" dxfId="295" priority="295" operator="equal">
      <formula>0</formula>
    </cfRule>
  </conditionalFormatting>
  <conditionalFormatting sqref="C240:R240 C245:Q249 R241:R252 C234:R238 C252:Q252 C250:N251 Q250:Q251 C242:Q242 C232:H233 J232:J233 L232:R233 O241:Q241">
    <cfRule type="expression" dxfId="294" priority="314">
      <formula>LEN(TRIM(C232))=0</formula>
    </cfRule>
  </conditionalFormatting>
  <conditionalFormatting sqref="C243:Q244">
    <cfRule type="expression" dxfId="293" priority="319">
      <formula>LEN(TRIM(C243))=0</formula>
    </cfRule>
  </conditionalFormatting>
  <conditionalFormatting sqref="C254:R261">
    <cfRule type="expression" dxfId="292" priority="324">
      <formula>LEN(TRIM(C254))=0</formula>
    </cfRule>
  </conditionalFormatting>
  <conditionalFormatting sqref="R262">
    <cfRule type="expression" dxfId="291" priority="296">
      <formula>LEN(TRIM(R262))=0</formula>
    </cfRule>
  </conditionalFormatting>
  <conditionalFormatting sqref="O250:P251">
    <cfRule type="cellIs" dxfId="290" priority="293" operator="equal">
      <formula>0</formula>
    </cfRule>
  </conditionalFormatting>
  <conditionalFormatting sqref="O250:P251">
    <cfRule type="expression" dxfId="289" priority="294">
      <formula>LEN(TRIM(O250))=0</formula>
    </cfRule>
  </conditionalFormatting>
  <conditionalFormatting sqref="D290:F290 C291:F292 O294:R294 C294:H294 G290:H292 C286:H289 I286:Q290 O276:R278 D276:H278 I276:N277 P273:R275 F273:F275 C273:C278 C281:R281 P280:R280 C280:N280 C293:Q293 R282:R293 C279:R279 I291:N292 Q291:Q292 C283:Q283 O282:Q282">
    <cfRule type="cellIs" dxfId="288" priority="262" operator="equal">
      <formula>0</formula>
    </cfRule>
  </conditionalFormatting>
  <conditionalFormatting sqref="O273:O278">
    <cfRule type="cellIs" dxfId="287" priority="263" operator="equal">
      <formula>0</formula>
    </cfRule>
  </conditionalFormatting>
  <conditionalFormatting sqref="C273:D278 G273:H278">
    <cfRule type="cellIs" dxfId="286" priority="264" operator="equal">
      <formula>0</formula>
    </cfRule>
  </conditionalFormatting>
  <conditionalFormatting sqref="E273:E278">
    <cfRule type="cellIs" dxfId="285" priority="265" operator="equal">
      <formula>0</formula>
    </cfRule>
  </conditionalFormatting>
  <conditionalFormatting sqref="C290">
    <cfRule type="cellIs" dxfId="284" priority="266" operator="equal">
      <formula>0</formula>
    </cfRule>
  </conditionalFormatting>
  <conditionalFormatting sqref="I276:I278 I294">
    <cfRule type="cellIs" dxfId="283" priority="267" operator="equal">
      <formula>0</formula>
    </cfRule>
  </conditionalFormatting>
  <conditionalFormatting sqref="I275:I278 J273 L273:N273">
    <cfRule type="cellIs" dxfId="282" priority="268" operator="equal">
      <formula>0</formula>
    </cfRule>
  </conditionalFormatting>
  <conditionalFormatting sqref="J276:J278 J294">
    <cfRule type="cellIs" dxfId="281" priority="269" operator="equal">
      <formula>0</formula>
    </cfRule>
  </conditionalFormatting>
  <conditionalFormatting sqref="J273:J278">
    <cfRule type="cellIs" dxfId="280" priority="270" operator="equal">
      <formula>0</formula>
    </cfRule>
  </conditionalFormatting>
  <conditionalFormatting sqref="K276:K278 K294">
    <cfRule type="cellIs" dxfId="279" priority="271" operator="equal">
      <formula>0</formula>
    </cfRule>
  </conditionalFormatting>
  <conditionalFormatting sqref="K275:K278">
    <cfRule type="cellIs" dxfId="278" priority="272" operator="equal">
      <formula>0</formula>
    </cfRule>
  </conditionalFormatting>
  <conditionalFormatting sqref="L273:L278">
    <cfRule type="cellIs" dxfId="277" priority="274" operator="equal">
      <formula>0</formula>
    </cfRule>
  </conditionalFormatting>
  <conditionalFormatting sqref="M276:M278 M294">
    <cfRule type="cellIs" dxfId="276" priority="275" operator="equal">
      <formula>0</formula>
    </cfRule>
  </conditionalFormatting>
  <conditionalFormatting sqref="M273:M278">
    <cfRule type="cellIs" dxfId="275" priority="276" operator="equal">
      <formula>0</formula>
    </cfRule>
  </conditionalFormatting>
  <conditionalFormatting sqref="N276:N278 N294">
    <cfRule type="cellIs" dxfId="274" priority="277" operator="equal">
      <formula>0</formula>
    </cfRule>
  </conditionalFormatting>
  <conditionalFormatting sqref="K276:K277">
    <cfRule type="cellIs" dxfId="273" priority="280" operator="equal">
      <formula>0</formula>
    </cfRule>
  </conditionalFormatting>
  <conditionalFormatting sqref="L276:L277">
    <cfRule type="cellIs" dxfId="272" priority="281" operator="equal">
      <formula>0</formula>
    </cfRule>
  </conditionalFormatting>
  <conditionalFormatting sqref="C284:Q285">
    <cfRule type="cellIs" dxfId="271" priority="282" operator="equal">
      <formula>0</formula>
    </cfRule>
  </conditionalFormatting>
  <conditionalFormatting sqref="M276:N276">
    <cfRule type="cellIs" dxfId="270" priority="285" operator="equal">
      <formula>0</formula>
    </cfRule>
  </conditionalFormatting>
  <conditionalFormatting sqref="N273:N278">
    <cfRule type="cellIs" dxfId="269" priority="278" operator="equal">
      <formula>0</formula>
    </cfRule>
  </conditionalFormatting>
  <conditionalFormatting sqref="O284:O285">
    <cfRule type="cellIs" dxfId="268" priority="283" operator="equal">
      <formula>0</formula>
    </cfRule>
  </conditionalFormatting>
  <conditionalFormatting sqref="M277:N277">
    <cfRule type="cellIs" dxfId="267" priority="286" operator="equal">
      <formula>0</formula>
    </cfRule>
  </conditionalFormatting>
  <conditionalFormatting sqref="R295:R302 C295:Q301">
    <cfRule type="cellIs" dxfId="266" priority="287" operator="equal">
      <formula>0</formula>
    </cfRule>
  </conditionalFormatting>
  <conditionalFormatting sqref="C302:Q302">
    <cfRule type="cellIs" dxfId="265" priority="288" operator="equal">
      <formula>0</formula>
    </cfRule>
  </conditionalFormatting>
  <conditionalFormatting sqref="C302:Q302">
    <cfRule type="cellIs" dxfId="264" priority="290" operator="equal">
      <formula>0</formula>
    </cfRule>
  </conditionalFormatting>
  <conditionalFormatting sqref="C303:Q303">
    <cfRule type="cellIs" dxfId="263" priority="291" operator="equal">
      <formula>0</formula>
    </cfRule>
  </conditionalFormatting>
  <conditionalFormatting sqref="L276:L278 L294">
    <cfRule type="cellIs" dxfId="262" priority="273" operator="equal">
      <formula>0</formula>
    </cfRule>
  </conditionalFormatting>
  <conditionalFormatting sqref="C303:Q303">
    <cfRule type="expression" dxfId="261" priority="292">
      <formula>LEN(TRIM(C303))=0</formula>
    </cfRule>
  </conditionalFormatting>
  <conditionalFormatting sqref="R303">
    <cfRule type="cellIs" dxfId="260" priority="260" operator="equal">
      <formula>0</formula>
    </cfRule>
  </conditionalFormatting>
  <conditionalFormatting sqref="C281:R281 C286:Q290 R282:R293 C275:R279 C293:Q293 C291:N292 Q291:Q292 C283:Q283 C273:H274 J273:J274 L273:R274 O282:Q282">
    <cfRule type="expression" dxfId="259" priority="279">
      <formula>LEN(TRIM(C273))=0</formula>
    </cfRule>
  </conditionalFormatting>
  <conditionalFormatting sqref="C284:Q285">
    <cfRule type="expression" dxfId="258" priority="284">
      <formula>LEN(TRIM(C284))=0</formula>
    </cfRule>
  </conditionalFormatting>
  <conditionalFormatting sqref="C295:R302">
    <cfRule type="expression" dxfId="257" priority="289">
      <formula>LEN(TRIM(C295))=0</formula>
    </cfRule>
  </conditionalFormatting>
  <conditionalFormatting sqref="R303">
    <cfRule type="expression" dxfId="256" priority="261">
      <formula>LEN(TRIM(R303))=0</formula>
    </cfRule>
  </conditionalFormatting>
  <conditionalFormatting sqref="O291:P292">
    <cfRule type="cellIs" dxfId="255" priority="258" operator="equal">
      <formula>0</formula>
    </cfRule>
  </conditionalFormatting>
  <conditionalFormatting sqref="O291:P292">
    <cfRule type="expression" dxfId="254" priority="259">
      <formula>LEN(TRIM(O291))=0</formula>
    </cfRule>
  </conditionalFormatting>
  <conditionalFormatting sqref="AI86:AJ87">
    <cfRule type="cellIs" dxfId="253" priority="256" operator="equal">
      <formula>0</formula>
    </cfRule>
  </conditionalFormatting>
  <conditionalFormatting sqref="AI86:AJ87">
    <cfRule type="expression" dxfId="252" priority="257">
      <formula>LEN(TRIM(AI86))=0</formula>
    </cfRule>
  </conditionalFormatting>
  <conditionalFormatting sqref="X126:Z126 W127:Z128 AI130:AL130 W130:AB130 AA126:AB128 W122:AB125 AC122:AK126 AI112:AL114 X112:AB114 AC112:AH113 AJ109:AL111 Z109:Z111 W109:W114 W117:AL117 AJ116:AL116 W116:AH116 W129:AK129 AL118:AL129 W115:AL115 AC127:AH128 AK127:AK128 W119:AK119 AI118:AK118">
    <cfRule type="cellIs" dxfId="251" priority="225" operator="equal">
      <formula>0</formula>
    </cfRule>
  </conditionalFormatting>
  <conditionalFormatting sqref="AI109:AI114">
    <cfRule type="cellIs" dxfId="250" priority="226" operator="equal">
      <formula>0</formula>
    </cfRule>
  </conditionalFormatting>
  <conditionalFormatting sqref="W109:X114 AA109:AB114">
    <cfRule type="cellIs" dxfId="249" priority="227" operator="equal">
      <formula>0</formula>
    </cfRule>
  </conditionalFormatting>
  <conditionalFormatting sqref="Y109:Y114">
    <cfRule type="cellIs" dxfId="248" priority="228" operator="equal">
      <formula>0</formula>
    </cfRule>
  </conditionalFormatting>
  <conditionalFormatting sqref="W126">
    <cfRule type="cellIs" dxfId="247" priority="229" operator="equal">
      <formula>0</formula>
    </cfRule>
  </conditionalFormatting>
  <conditionalFormatting sqref="AC112:AC114 AC130">
    <cfRule type="cellIs" dxfId="246" priority="230" operator="equal">
      <formula>0</formula>
    </cfRule>
  </conditionalFormatting>
  <conditionalFormatting sqref="AC111:AC114 AD109 AF109:AH109">
    <cfRule type="cellIs" dxfId="245" priority="231" operator="equal">
      <formula>0</formula>
    </cfRule>
  </conditionalFormatting>
  <conditionalFormatting sqref="AD112:AD114 AD130">
    <cfRule type="cellIs" dxfId="244" priority="232" operator="equal">
      <formula>0</formula>
    </cfRule>
  </conditionalFormatting>
  <conditionalFormatting sqref="AD109:AD114">
    <cfRule type="cellIs" dxfId="243" priority="233" operator="equal">
      <formula>0</formula>
    </cfRule>
  </conditionalFormatting>
  <conditionalFormatting sqref="AE112:AE114 AE130">
    <cfRule type="cellIs" dxfId="242" priority="234" operator="equal">
      <formula>0</formula>
    </cfRule>
  </conditionalFormatting>
  <conditionalFormatting sqref="AE111:AE114">
    <cfRule type="cellIs" dxfId="241" priority="235" operator="equal">
      <formula>0</formula>
    </cfRule>
  </conditionalFormatting>
  <conditionalFormatting sqref="AF109:AF114">
    <cfRule type="cellIs" dxfId="240" priority="237" operator="equal">
      <formula>0</formula>
    </cfRule>
  </conditionalFormatting>
  <conditionalFormatting sqref="AG112:AG114 AG130">
    <cfRule type="cellIs" dxfId="239" priority="238" operator="equal">
      <formula>0</formula>
    </cfRule>
  </conditionalFormatting>
  <conditionalFormatting sqref="AG109:AG114">
    <cfRule type="cellIs" dxfId="238" priority="239" operator="equal">
      <formula>0</formula>
    </cfRule>
  </conditionalFormatting>
  <conditionalFormatting sqref="AH112:AH114 AH130">
    <cfRule type="cellIs" dxfId="237" priority="240" operator="equal">
      <formula>0</formula>
    </cfRule>
  </conditionalFormatting>
  <conditionalFormatting sqref="AE112:AE113">
    <cfRule type="cellIs" dxfId="236" priority="243" operator="equal">
      <formula>0</formula>
    </cfRule>
  </conditionalFormatting>
  <conditionalFormatting sqref="AF112:AF113">
    <cfRule type="cellIs" dxfId="235" priority="244" operator="equal">
      <formula>0</formula>
    </cfRule>
  </conditionalFormatting>
  <conditionalFormatting sqref="W120:AK121">
    <cfRule type="cellIs" dxfId="234" priority="245" operator="equal">
      <formula>0</formula>
    </cfRule>
  </conditionalFormatting>
  <conditionalFormatting sqref="AG112:AH112">
    <cfRule type="cellIs" dxfId="233" priority="248" operator="equal">
      <formula>0</formula>
    </cfRule>
  </conditionalFormatting>
  <conditionalFormatting sqref="AH109:AH114">
    <cfRule type="cellIs" dxfId="232" priority="241" operator="equal">
      <formula>0</formula>
    </cfRule>
  </conditionalFormatting>
  <conditionalFormatting sqref="AI120:AI121">
    <cfRule type="cellIs" dxfId="231" priority="246" operator="equal">
      <formula>0</formula>
    </cfRule>
  </conditionalFormatting>
  <conditionalFormatting sqref="AG113:AH113">
    <cfRule type="cellIs" dxfId="230" priority="249" operator="equal">
      <formula>0</formula>
    </cfRule>
  </conditionalFormatting>
  <conditionalFormatting sqref="AL131:AL138 W131:AK137">
    <cfRule type="cellIs" dxfId="229" priority="250" operator="equal">
      <formula>0</formula>
    </cfRule>
  </conditionalFormatting>
  <conditionalFormatting sqref="W138:AK138">
    <cfRule type="cellIs" dxfId="228" priority="251" operator="equal">
      <formula>0</formula>
    </cfRule>
  </conditionalFormatting>
  <conditionalFormatting sqref="W138:AK138">
    <cfRule type="cellIs" dxfId="227" priority="253" operator="equal">
      <formula>0</formula>
    </cfRule>
  </conditionalFormatting>
  <conditionalFormatting sqref="W139:AK139">
    <cfRule type="cellIs" dxfId="226" priority="254" operator="equal">
      <formula>0</formula>
    </cfRule>
  </conditionalFormatting>
  <conditionalFormatting sqref="AF112:AF114 AF130">
    <cfRule type="cellIs" dxfId="225" priority="236" operator="equal">
      <formula>0</formula>
    </cfRule>
  </conditionalFormatting>
  <conditionalFormatting sqref="W139:AK139">
    <cfRule type="expression" dxfId="224" priority="255">
      <formula>LEN(TRIM(W139))=0</formula>
    </cfRule>
  </conditionalFormatting>
  <conditionalFormatting sqref="AL139">
    <cfRule type="cellIs" dxfId="223" priority="223" operator="equal">
      <formula>0</formula>
    </cfRule>
  </conditionalFormatting>
  <conditionalFormatting sqref="W117:AL117 W122:AK126 AL118:AL129 W111:AL115 W129:AK129 W127:AH128 AK127:AK128 W119:AK119 W109:AB110 AD109:AD110 AF109:AL110 AI118:AK118">
    <cfRule type="expression" dxfId="222" priority="242">
      <formula>LEN(TRIM(W109))=0</formula>
    </cfRule>
  </conditionalFormatting>
  <conditionalFormatting sqref="W120:AK121">
    <cfRule type="expression" dxfId="221" priority="247">
      <formula>LEN(TRIM(W120))=0</formula>
    </cfRule>
  </conditionalFormatting>
  <conditionalFormatting sqref="W131:AL138">
    <cfRule type="expression" dxfId="220" priority="252">
      <formula>LEN(TRIM(W131))=0</formula>
    </cfRule>
  </conditionalFormatting>
  <conditionalFormatting sqref="AL139">
    <cfRule type="expression" dxfId="219" priority="224">
      <formula>LEN(TRIM(AL139))=0</formula>
    </cfRule>
  </conditionalFormatting>
  <conditionalFormatting sqref="AI127:AJ128">
    <cfRule type="cellIs" dxfId="218" priority="221" operator="equal">
      <formula>0</formula>
    </cfRule>
  </conditionalFormatting>
  <conditionalFormatting sqref="AI127:AJ128">
    <cfRule type="expression" dxfId="217" priority="222">
      <formula>LEN(TRIM(AI127))=0</formula>
    </cfRule>
  </conditionalFormatting>
  <conditionalFormatting sqref="X167:Z167 W168:Z169 AI171:AL171 W171:AB171 AA167:AB169 W163:AB166 AC163:AK167 AI153:AL155 X153:AB155 AC153:AH154 AJ150:AL152 Z150:Z152 W150:W155 W158:AL158 AJ157:AL157 W157:AH157 W170:AK170 AL159:AL170 W156:AL156 AC168:AH169 AK168:AK169 W160:AK160 AI159:AK159">
    <cfRule type="cellIs" dxfId="216" priority="190" operator="equal">
      <formula>0</formula>
    </cfRule>
  </conditionalFormatting>
  <conditionalFormatting sqref="AI150:AI155">
    <cfRule type="cellIs" dxfId="215" priority="191" operator="equal">
      <formula>0</formula>
    </cfRule>
  </conditionalFormatting>
  <conditionalFormatting sqref="W150:X155 AA150:AB155">
    <cfRule type="cellIs" dxfId="214" priority="192" operator="equal">
      <formula>0</formula>
    </cfRule>
  </conditionalFormatting>
  <conditionalFormatting sqref="Y150:Y155">
    <cfRule type="cellIs" dxfId="213" priority="193" operator="equal">
      <formula>0</formula>
    </cfRule>
  </conditionalFormatting>
  <conditionalFormatting sqref="W167">
    <cfRule type="cellIs" dxfId="212" priority="194" operator="equal">
      <formula>0</formula>
    </cfRule>
  </conditionalFormatting>
  <conditionalFormatting sqref="AC153:AC155 AC171">
    <cfRule type="cellIs" dxfId="211" priority="195" operator="equal">
      <formula>0</formula>
    </cfRule>
  </conditionalFormatting>
  <conditionalFormatting sqref="AC152:AC155 AD150 AF150:AH150">
    <cfRule type="cellIs" dxfId="210" priority="196" operator="equal">
      <formula>0</formula>
    </cfRule>
  </conditionalFormatting>
  <conditionalFormatting sqref="AD153:AD155 AD171">
    <cfRule type="cellIs" dxfId="209" priority="197" operator="equal">
      <formula>0</formula>
    </cfRule>
  </conditionalFormatting>
  <conditionalFormatting sqref="AD150:AD155">
    <cfRule type="cellIs" dxfId="208" priority="198" operator="equal">
      <formula>0</formula>
    </cfRule>
  </conditionalFormatting>
  <conditionalFormatting sqref="AE153:AE155 AE171">
    <cfRule type="cellIs" dxfId="207" priority="199" operator="equal">
      <formula>0</formula>
    </cfRule>
  </conditionalFormatting>
  <conditionalFormatting sqref="AE152:AE155">
    <cfRule type="cellIs" dxfId="206" priority="200" operator="equal">
      <formula>0</formula>
    </cfRule>
  </conditionalFormatting>
  <conditionalFormatting sqref="AF150:AF155">
    <cfRule type="cellIs" dxfId="205" priority="202" operator="equal">
      <formula>0</formula>
    </cfRule>
  </conditionalFormatting>
  <conditionalFormatting sqref="AG153:AG155 AG171">
    <cfRule type="cellIs" dxfId="204" priority="203" operator="equal">
      <formula>0</formula>
    </cfRule>
  </conditionalFormatting>
  <conditionalFormatting sqref="AG150:AG155">
    <cfRule type="cellIs" dxfId="203" priority="204" operator="equal">
      <formula>0</formula>
    </cfRule>
  </conditionalFormatting>
  <conditionalFormatting sqref="AH153:AH155 AH171">
    <cfRule type="cellIs" dxfId="202" priority="205" operator="equal">
      <formula>0</formula>
    </cfRule>
  </conditionalFormatting>
  <conditionalFormatting sqref="AE153:AE154">
    <cfRule type="cellIs" dxfId="201" priority="208" operator="equal">
      <formula>0</formula>
    </cfRule>
  </conditionalFormatting>
  <conditionalFormatting sqref="AF153:AF154">
    <cfRule type="cellIs" dxfId="200" priority="209" operator="equal">
      <formula>0</formula>
    </cfRule>
  </conditionalFormatting>
  <conditionalFormatting sqref="W161:AK162">
    <cfRule type="cellIs" dxfId="199" priority="210" operator="equal">
      <formula>0</formula>
    </cfRule>
  </conditionalFormatting>
  <conditionalFormatting sqref="AG153:AH153">
    <cfRule type="cellIs" dxfId="198" priority="213" operator="equal">
      <formula>0</formula>
    </cfRule>
  </conditionalFormatting>
  <conditionalFormatting sqref="AH150:AH155">
    <cfRule type="cellIs" dxfId="197" priority="206" operator="equal">
      <formula>0</formula>
    </cfRule>
  </conditionalFormatting>
  <conditionalFormatting sqref="AI161:AI162">
    <cfRule type="cellIs" dxfId="196" priority="211" operator="equal">
      <formula>0</formula>
    </cfRule>
  </conditionalFormatting>
  <conditionalFormatting sqref="AG154:AH154">
    <cfRule type="cellIs" dxfId="195" priority="214" operator="equal">
      <formula>0</formula>
    </cfRule>
  </conditionalFormatting>
  <conditionalFormatting sqref="AL172:AL179 W172:AK178">
    <cfRule type="cellIs" dxfId="194" priority="215" operator="equal">
      <formula>0</formula>
    </cfRule>
  </conditionalFormatting>
  <conditionalFormatting sqref="W179:AK179">
    <cfRule type="cellIs" dxfId="193" priority="216" operator="equal">
      <formula>0</formula>
    </cfRule>
  </conditionalFormatting>
  <conditionalFormatting sqref="W179:AK179">
    <cfRule type="cellIs" dxfId="192" priority="218" operator="equal">
      <formula>0</formula>
    </cfRule>
  </conditionalFormatting>
  <conditionalFormatting sqref="W180:AK180">
    <cfRule type="cellIs" dxfId="191" priority="219" operator="equal">
      <formula>0</formula>
    </cfRule>
  </conditionalFormatting>
  <conditionalFormatting sqref="AF153:AF155 AF171">
    <cfRule type="cellIs" dxfId="190" priority="201" operator="equal">
      <formula>0</formula>
    </cfRule>
  </conditionalFormatting>
  <conditionalFormatting sqref="W180:AK180">
    <cfRule type="expression" dxfId="189" priority="220">
      <formula>LEN(TRIM(W180))=0</formula>
    </cfRule>
  </conditionalFormatting>
  <conditionalFormatting sqref="AL180">
    <cfRule type="cellIs" dxfId="188" priority="188" operator="equal">
      <formula>0</formula>
    </cfRule>
  </conditionalFormatting>
  <conditionalFormatting sqref="W158:AL158 W163:AK167 AL159:AL170 W152:AL156 W170:AK170 W168:AH169 AK168:AK169 W160:AK160 W150:AB151 AD150:AD151 AF150:AL151 AI159:AK159">
    <cfRule type="expression" dxfId="187" priority="207">
      <formula>LEN(TRIM(W150))=0</formula>
    </cfRule>
  </conditionalFormatting>
  <conditionalFormatting sqref="W161:AK162">
    <cfRule type="expression" dxfId="186" priority="212">
      <formula>LEN(TRIM(W161))=0</formula>
    </cfRule>
  </conditionalFormatting>
  <conditionalFormatting sqref="W172:AL179">
    <cfRule type="expression" dxfId="185" priority="217">
      <formula>LEN(TRIM(W172))=0</formula>
    </cfRule>
  </conditionalFormatting>
  <conditionalFormatting sqref="AL180">
    <cfRule type="expression" dxfId="184" priority="189">
      <formula>LEN(TRIM(AL180))=0</formula>
    </cfRule>
  </conditionalFormatting>
  <conditionalFormatting sqref="AI168:AJ169">
    <cfRule type="cellIs" dxfId="183" priority="186" operator="equal">
      <formula>0</formula>
    </cfRule>
  </conditionalFormatting>
  <conditionalFormatting sqref="AI168:AJ169">
    <cfRule type="expression" dxfId="182" priority="187">
      <formula>LEN(TRIM(AI168))=0</formula>
    </cfRule>
  </conditionalFormatting>
  <conditionalFormatting sqref="X208:Z208 W209:Z210 AI212:AL212 W212:AB212 AA208:AB210 W204:AB207 AC204:AK208 AI194:AL196 X194:AB196 AC194:AH195 AJ191:AL193 Z191:Z193 W191:W196 W199:AL199 AJ198:AL198 W198:AH198 W211:AK211 AL200:AL211 W197:AL197 AC209:AH210 AK209:AK210 W201:AK201 AI200:AK200">
    <cfRule type="cellIs" dxfId="181" priority="155" operator="equal">
      <formula>0</formula>
    </cfRule>
  </conditionalFormatting>
  <conditionalFormatting sqref="AI191:AI196">
    <cfRule type="cellIs" dxfId="180" priority="156" operator="equal">
      <formula>0</formula>
    </cfRule>
  </conditionalFormatting>
  <conditionalFormatting sqref="W191:X196 AA191:AB196">
    <cfRule type="cellIs" dxfId="179" priority="157" operator="equal">
      <formula>0</formula>
    </cfRule>
  </conditionalFormatting>
  <conditionalFormatting sqref="Y191:Y196">
    <cfRule type="cellIs" dxfId="178" priority="158" operator="equal">
      <formula>0</formula>
    </cfRule>
  </conditionalFormatting>
  <conditionalFormatting sqref="W208">
    <cfRule type="cellIs" dxfId="177" priority="159" operator="equal">
      <formula>0</formula>
    </cfRule>
  </conditionalFormatting>
  <conditionalFormatting sqref="AC194:AC196 AC212">
    <cfRule type="cellIs" dxfId="176" priority="160" operator="equal">
      <formula>0</formula>
    </cfRule>
  </conditionalFormatting>
  <conditionalFormatting sqref="AC193:AC196 AD191 AF191:AH191">
    <cfRule type="cellIs" dxfId="175" priority="161" operator="equal">
      <formula>0</formula>
    </cfRule>
  </conditionalFormatting>
  <conditionalFormatting sqref="AD194:AD196 AD212">
    <cfRule type="cellIs" dxfId="174" priority="162" operator="equal">
      <formula>0</formula>
    </cfRule>
  </conditionalFormatting>
  <conditionalFormatting sqref="AD191:AD196">
    <cfRule type="cellIs" dxfId="173" priority="163" operator="equal">
      <formula>0</formula>
    </cfRule>
  </conditionalFormatting>
  <conditionalFormatting sqref="AE194:AE196 AE212">
    <cfRule type="cellIs" dxfId="172" priority="164" operator="equal">
      <formula>0</formula>
    </cfRule>
  </conditionalFormatting>
  <conditionalFormatting sqref="AE193:AE196">
    <cfRule type="cellIs" dxfId="171" priority="165" operator="equal">
      <formula>0</formula>
    </cfRule>
  </conditionalFormatting>
  <conditionalFormatting sqref="AF191:AF196">
    <cfRule type="cellIs" dxfId="170" priority="167" operator="equal">
      <formula>0</formula>
    </cfRule>
  </conditionalFormatting>
  <conditionalFormatting sqref="AG194:AG196 AG212">
    <cfRule type="cellIs" dxfId="169" priority="168" operator="equal">
      <formula>0</formula>
    </cfRule>
  </conditionalFormatting>
  <conditionalFormatting sqref="AG191:AG196">
    <cfRule type="cellIs" dxfId="168" priority="169" operator="equal">
      <formula>0</formula>
    </cfRule>
  </conditionalFormatting>
  <conditionalFormatting sqref="AH194:AH196 AH212">
    <cfRule type="cellIs" dxfId="167" priority="170" operator="equal">
      <formula>0</formula>
    </cfRule>
  </conditionalFormatting>
  <conditionalFormatting sqref="AE194:AE195">
    <cfRule type="cellIs" dxfId="166" priority="173" operator="equal">
      <formula>0</formula>
    </cfRule>
  </conditionalFormatting>
  <conditionalFormatting sqref="AF194:AF195">
    <cfRule type="cellIs" dxfId="165" priority="174" operator="equal">
      <formula>0</formula>
    </cfRule>
  </conditionalFormatting>
  <conditionalFormatting sqref="W202:AK203">
    <cfRule type="cellIs" dxfId="164" priority="175" operator="equal">
      <formula>0</formula>
    </cfRule>
  </conditionalFormatting>
  <conditionalFormatting sqref="AG194:AH194">
    <cfRule type="cellIs" dxfId="163" priority="178" operator="equal">
      <formula>0</formula>
    </cfRule>
  </conditionalFormatting>
  <conditionalFormatting sqref="AH191:AH196">
    <cfRule type="cellIs" dxfId="162" priority="171" operator="equal">
      <formula>0</formula>
    </cfRule>
  </conditionalFormatting>
  <conditionalFormatting sqref="AI202:AI203">
    <cfRule type="cellIs" dxfId="161" priority="176" operator="equal">
      <formula>0</formula>
    </cfRule>
  </conditionalFormatting>
  <conditionalFormatting sqref="AG195:AH195">
    <cfRule type="cellIs" dxfId="160" priority="179" operator="equal">
      <formula>0</formula>
    </cfRule>
  </conditionalFormatting>
  <conditionalFormatting sqref="AL213:AL220 W213:AK219">
    <cfRule type="cellIs" dxfId="159" priority="180" operator="equal">
      <formula>0</formula>
    </cfRule>
  </conditionalFormatting>
  <conditionalFormatting sqref="W220:AK220">
    <cfRule type="cellIs" dxfId="158" priority="181" operator="equal">
      <formula>0</formula>
    </cfRule>
  </conditionalFormatting>
  <conditionalFormatting sqref="W220:AK220">
    <cfRule type="cellIs" dxfId="157" priority="183" operator="equal">
      <formula>0</formula>
    </cfRule>
  </conditionalFormatting>
  <conditionalFormatting sqref="W221:AK221">
    <cfRule type="cellIs" dxfId="156" priority="184" operator="equal">
      <formula>0</formula>
    </cfRule>
  </conditionalFormatting>
  <conditionalFormatting sqref="AF194:AF196 AF212">
    <cfRule type="cellIs" dxfId="155" priority="166" operator="equal">
      <formula>0</formula>
    </cfRule>
  </conditionalFormatting>
  <conditionalFormatting sqref="W221:AK221">
    <cfRule type="expression" dxfId="154" priority="185">
      <formula>LEN(TRIM(W221))=0</formula>
    </cfRule>
  </conditionalFormatting>
  <conditionalFormatting sqref="AL221">
    <cfRule type="cellIs" dxfId="153" priority="153" operator="equal">
      <formula>0</formula>
    </cfRule>
  </conditionalFormatting>
  <conditionalFormatting sqref="W199:AL199 W204:AK208 AL200:AL211 W193:AL197 W211:AK211 W209:AH210 AK209:AK210 W201:AK201 W191:AB192 AD191:AD192 AF191:AL192 AI200:AK200">
    <cfRule type="expression" dxfId="152" priority="172">
      <formula>LEN(TRIM(W191))=0</formula>
    </cfRule>
  </conditionalFormatting>
  <conditionalFormatting sqref="W202:AK203">
    <cfRule type="expression" dxfId="151" priority="177">
      <formula>LEN(TRIM(W202))=0</formula>
    </cfRule>
  </conditionalFormatting>
  <conditionalFormatting sqref="W213:AL220">
    <cfRule type="expression" dxfId="150" priority="182">
      <formula>LEN(TRIM(W213))=0</formula>
    </cfRule>
  </conditionalFormatting>
  <conditionalFormatting sqref="AL221">
    <cfRule type="expression" dxfId="149" priority="154">
      <formula>LEN(TRIM(AL221))=0</formula>
    </cfRule>
  </conditionalFormatting>
  <conditionalFormatting sqref="AI209:AJ210">
    <cfRule type="cellIs" dxfId="148" priority="151" operator="equal">
      <formula>0</formula>
    </cfRule>
  </conditionalFormatting>
  <conditionalFormatting sqref="AI209:AJ210">
    <cfRule type="expression" dxfId="147" priority="152">
      <formula>LEN(TRIM(AI209))=0</formula>
    </cfRule>
  </conditionalFormatting>
  <conditionalFormatting sqref="X249:Z249 W250:Z251 AI253:AL253 W253:AB253 AA249:AB251 W245:AB248 AC245:AK249 AI235:AL237 X235:AB237 AC235:AH236 AJ232:AL234 Z232:Z234 W232:W237 W240:AL240 AJ239:AL239 W239:AH239 W252:AK252 AL241:AL252 W238:AL238 AC250:AH251 AK250:AK251 W242:AK242 AI241:AK241">
    <cfRule type="cellIs" dxfId="146" priority="120" operator="equal">
      <formula>0</formula>
    </cfRule>
  </conditionalFormatting>
  <conditionalFormatting sqref="AI232:AI237">
    <cfRule type="cellIs" dxfId="145" priority="121" operator="equal">
      <formula>0</formula>
    </cfRule>
  </conditionalFormatting>
  <conditionalFormatting sqref="W232:X237 AA232:AB237">
    <cfRule type="cellIs" dxfId="144" priority="122" operator="equal">
      <formula>0</formula>
    </cfRule>
  </conditionalFormatting>
  <conditionalFormatting sqref="Y232:Y237">
    <cfRule type="cellIs" dxfId="143" priority="123" operator="equal">
      <formula>0</formula>
    </cfRule>
  </conditionalFormatting>
  <conditionalFormatting sqref="W249">
    <cfRule type="cellIs" dxfId="142" priority="124" operator="equal">
      <formula>0</formula>
    </cfRule>
  </conditionalFormatting>
  <conditionalFormatting sqref="AC235:AC237 AC253">
    <cfRule type="cellIs" dxfId="141" priority="125" operator="equal">
      <formula>0</formula>
    </cfRule>
  </conditionalFormatting>
  <conditionalFormatting sqref="AC234:AC237 AD232 AF232:AH232">
    <cfRule type="cellIs" dxfId="140" priority="126" operator="equal">
      <formula>0</formula>
    </cfRule>
  </conditionalFormatting>
  <conditionalFormatting sqref="AD235:AD237 AD253">
    <cfRule type="cellIs" dxfId="139" priority="127" operator="equal">
      <formula>0</formula>
    </cfRule>
  </conditionalFormatting>
  <conditionalFormatting sqref="AD232:AD237">
    <cfRule type="cellIs" dxfId="138" priority="128" operator="equal">
      <formula>0</formula>
    </cfRule>
  </conditionalFormatting>
  <conditionalFormatting sqref="AE235:AE237 AE253">
    <cfRule type="cellIs" dxfId="137" priority="129" operator="equal">
      <formula>0</formula>
    </cfRule>
  </conditionalFormatting>
  <conditionalFormatting sqref="AE234:AE237">
    <cfRule type="cellIs" dxfId="136" priority="130" operator="equal">
      <formula>0</formula>
    </cfRule>
  </conditionalFormatting>
  <conditionalFormatting sqref="AF232:AF237">
    <cfRule type="cellIs" dxfId="135" priority="132" operator="equal">
      <formula>0</formula>
    </cfRule>
  </conditionalFormatting>
  <conditionalFormatting sqref="AG235:AG237 AG253">
    <cfRule type="cellIs" dxfId="134" priority="133" operator="equal">
      <formula>0</formula>
    </cfRule>
  </conditionalFormatting>
  <conditionalFormatting sqref="AG232:AG237">
    <cfRule type="cellIs" dxfId="133" priority="134" operator="equal">
      <formula>0</formula>
    </cfRule>
  </conditionalFormatting>
  <conditionalFormatting sqref="AH235:AH237 AH253">
    <cfRule type="cellIs" dxfId="132" priority="135" operator="equal">
      <formula>0</formula>
    </cfRule>
  </conditionalFormatting>
  <conditionalFormatting sqref="AE235:AE236">
    <cfRule type="cellIs" dxfId="131" priority="138" operator="equal">
      <formula>0</formula>
    </cfRule>
  </conditionalFormatting>
  <conditionalFormatting sqref="AF235:AF236">
    <cfRule type="cellIs" dxfId="130" priority="139" operator="equal">
      <formula>0</formula>
    </cfRule>
  </conditionalFormatting>
  <conditionalFormatting sqref="W243:AK244">
    <cfRule type="cellIs" dxfId="129" priority="140" operator="equal">
      <formula>0</formula>
    </cfRule>
  </conditionalFormatting>
  <conditionalFormatting sqref="AG235:AH235">
    <cfRule type="cellIs" dxfId="128" priority="143" operator="equal">
      <formula>0</formula>
    </cfRule>
  </conditionalFormatting>
  <conditionalFormatting sqref="AH232:AH237">
    <cfRule type="cellIs" dxfId="127" priority="136" operator="equal">
      <formula>0</formula>
    </cfRule>
  </conditionalFormatting>
  <conditionalFormatting sqref="AI243:AI244">
    <cfRule type="cellIs" dxfId="126" priority="141" operator="equal">
      <formula>0</formula>
    </cfRule>
  </conditionalFormatting>
  <conditionalFormatting sqref="AG236:AH236">
    <cfRule type="cellIs" dxfId="125" priority="144" operator="equal">
      <formula>0</formula>
    </cfRule>
  </conditionalFormatting>
  <conditionalFormatting sqref="AL254:AL261 W254:AK260">
    <cfRule type="cellIs" dxfId="124" priority="145" operator="equal">
      <formula>0</formula>
    </cfRule>
  </conditionalFormatting>
  <conditionalFormatting sqref="W261:AK261">
    <cfRule type="cellIs" dxfId="123" priority="146" operator="equal">
      <formula>0</formula>
    </cfRule>
  </conditionalFormatting>
  <conditionalFormatting sqref="W261:AK261">
    <cfRule type="cellIs" dxfId="122" priority="148" operator="equal">
      <formula>0</formula>
    </cfRule>
  </conditionalFormatting>
  <conditionalFormatting sqref="W262:AK262">
    <cfRule type="cellIs" dxfId="121" priority="149" operator="equal">
      <formula>0</formula>
    </cfRule>
  </conditionalFormatting>
  <conditionalFormatting sqref="AF235:AF237 AF253">
    <cfRule type="cellIs" dxfId="120" priority="131" operator="equal">
      <formula>0</formula>
    </cfRule>
  </conditionalFormatting>
  <conditionalFormatting sqref="W262:AK262">
    <cfRule type="expression" dxfId="119" priority="150">
      <formula>LEN(TRIM(W262))=0</formula>
    </cfRule>
  </conditionalFormatting>
  <conditionalFormatting sqref="AL262">
    <cfRule type="cellIs" dxfId="118" priority="118" operator="equal">
      <formula>0</formula>
    </cfRule>
  </conditionalFormatting>
  <conditionalFormatting sqref="W240:AL240 W245:AK249 AL241:AL252 W234:AL238 W252:AK252 W250:AH251 AK250:AK251 W242:AK242 W232:AB233 AD232:AD233 AF232:AL233 AI241:AK241">
    <cfRule type="expression" dxfId="117" priority="137">
      <formula>LEN(TRIM(W232))=0</formula>
    </cfRule>
  </conditionalFormatting>
  <conditionalFormatting sqref="W243:AK244">
    <cfRule type="expression" dxfId="116" priority="142">
      <formula>LEN(TRIM(W243))=0</formula>
    </cfRule>
  </conditionalFormatting>
  <conditionalFormatting sqref="W254:AL261">
    <cfRule type="expression" dxfId="115" priority="147">
      <formula>LEN(TRIM(W254))=0</formula>
    </cfRule>
  </conditionalFormatting>
  <conditionalFormatting sqref="AL262">
    <cfRule type="expression" dxfId="114" priority="119">
      <formula>LEN(TRIM(AL262))=0</formula>
    </cfRule>
  </conditionalFormatting>
  <conditionalFormatting sqref="AI250:AJ251">
    <cfRule type="cellIs" dxfId="113" priority="116" operator="equal">
      <formula>0</formula>
    </cfRule>
  </conditionalFormatting>
  <conditionalFormatting sqref="AI250:AJ251">
    <cfRule type="expression" dxfId="112" priority="117">
      <formula>LEN(TRIM(AI250))=0</formula>
    </cfRule>
  </conditionalFormatting>
  <conditionalFormatting sqref="X290:Z290 W291:Z292 AI294:AL294 W294:AB294 AA290:AB292 W286:AB289 AC286:AK290 AI276:AL278 X276:AB278 AC276:AH277 AJ273:AL275 Z273:Z275 W273:W278 W281:AL281 AJ280:AL280 W280:AH280 W293:AK293 AL282:AL293 W279:AL279 AC291:AH292 AK291:AK292 W283:AK283 AI282:AK282">
    <cfRule type="cellIs" dxfId="111" priority="85" operator="equal">
      <formula>0</formula>
    </cfRule>
  </conditionalFormatting>
  <conditionalFormatting sqref="AI273:AI278">
    <cfRule type="cellIs" dxfId="110" priority="86" operator="equal">
      <formula>0</formula>
    </cfRule>
  </conditionalFormatting>
  <conditionalFormatting sqref="W273:X278 AA273:AB278">
    <cfRule type="cellIs" dxfId="109" priority="87" operator="equal">
      <formula>0</formula>
    </cfRule>
  </conditionalFormatting>
  <conditionalFormatting sqref="Y273:Y278">
    <cfRule type="cellIs" dxfId="108" priority="88" operator="equal">
      <formula>0</formula>
    </cfRule>
  </conditionalFormatting>
  <conditionalFormatting sqref="W290">
    <cfRule type="cellIs" dxfId="107" priority="89" operator="equal">
      <formula>0</formula>
    </cfRule>
  </conditionalFormatting>
  <conditionalFormatting sqref="AC276:AC278 AC294">
    <cfRule type="cellIs" dxfId="106" priority="90" operator="equal">
      <formula>0</formula>
    </cfRule>
  </conditionalFormatting>
  <conditionalFormatting sqref="AC275:AC278 AD273 AF273:AH273">
    <cfRule type="cellIs" dxfId="105" priority="91" operator="equal">
      <formula>0</formula>
    </cfRule>
  </conditionalFormatting>
  <conditionalFormatting sqref="AD276:AD278 AD294">
    <cfRule type="cellIs" dxfId="104" priority="92" operator="equal">
      <formula>0</formula>
    </cfRule>
  </conditionalFormatting>
  <conditionalFormatting sqref="AD273:AD278">
    <cfRule type="cellIs" dxfId="103" priority="93" operator="equal">
      <formula>0</formula>
    </cfRule>
  </conditionalFormatting>
  <conditionalFormatting sqref="AE276:AE278 AE294">
    <cfRule type="cellIs" dxfId="102" priority="94" operator="equal">
      <formula>0</formula>
    </cfRule>
  </conditionalFormatting>
  <conditionalFormatting sqref="AE275:AE278">
    <cfRule type="cellIs" dxfId="101" priority="95" operator="equal">
      <formula>0</formula>
    </cfRule>
  </conditionalFormatting>
  <conditionalFormatting sqref="AF273:AF278">
    <cfRule type="cellIs" dxfId="100" priority="97" operator="equal">
      <formula>0</formula>
    </cfRule>
  </conditionalFormatting>
  <conditionalFormatting sqref="AG276:AG278 AG294">
    <cfRule type="cellIs" dxfId="99" priority="98" operator="equal">
      <formula>0</formula>
    </cfRule>
  </conditionalFormatting>
  <conditionalFormatting sqref="AG273:AG278">
    <cfRule type="cellIs" dxfId="98" priority="99" operator="equal">
      <formula>0</formula>
    </cfRule>
  </conditionalFormatting>
  <conditionalFormatting sqref="AH276:AH278 AH294">
    <cfRule type="cellIs" dxfId="97" priority="100" operator="equal">
      <formula>0</formula>
    </cfRule>
  </conditionalFormatting>
  <conditionalFormatting sqref="AE276:AE277">
    <cfRule type="cellIs" dxfId="96" priority="103" operator="equal">
      <formula>0</formula>
    </cfRule>
  </conditionalFormatting>
  <conditionalFormatting sqref="AF276:AF277">
    <cfRule type="cellIs" dxfId="95" priority="104" operator="equal">
      <formula>0</formula>
    </cfRule>
  </conditionalFormatting>
  <conditionalFormatting sqref="W284:AK285">
    <cfRule type="cellIs" dxfId="94" priority="105" operator="equal">
      <formula>0</formula>
    </cfRule>
  </conditionalFormatting>
  <conditionalFormatting sqref="AG276:AH276">
    <cfRule type="cellIs" dxfId="93" priority="108" operator="equal">
      <formula>0</formula>
    </cfRule>
  </conditionalFormatting>
  <conditionalFormatting sqref="AH273:AH278">
    <cfRule type="cellIs" dxfId="92" priority="101" operator="equal">
      <formula>0</formula>
    </cfRule>
  </conditionalFormatting>
  <conditionalFormatting sqref="AI284:AI285">
    <cfRule type="cellIs" dxfId="91" priority="106" operator="equal">
      <formula>0</formula>
    </cfRule>
  </conditionalFormatting>
  <conditionalFormatting sqref="AG277:AH277">
    <cfRule type="cellIs" dxfId="90" priority="109" operator="equal">
      <formula>0</formula>
    </cfRule>
  </conditionalFormatting>
  <conditionalFormatting sqref="AL295:AL302 W295:AK301">
    <cfRule type="cellIs" dxfId="89" priority="110" operator="equal">
      <formula>0</formula>
    </cfRule>
  </conditionalFormatting>
  <conditionalFormatting sqref="W302:AK302">
    <cfRule type="cellIs" dxfId="88" priority="111" operator="equal">
      <formula>0</formula>
    </cfRule>
  </conditionalFormatting>
  <conditionalFormatting sqref="W302:AK302">
    <cfRule type="cellIs" dxfId="87" priority="113" operator="equal">
      <formula>0</formula>
    </cfRule>
  </conditionalFormatting>
  <conditionalFormatting sqref="W303:AK303">
    <cfRule type="cellIs" dxfId="86" priority="114" operator="equal">
      <formula>0</formula>
    </cfRule>
  </conditionalFormatting>
  <conditionalFormatting sqref="AF276:AF278 AF294">
    <cfRule type="cellIs" dxfId="85" priority="96" operator="equal">
      <formula>0</formula>
    </cfRule>
  </conditionalFormatting>
  <conditionalFormatting sqref="W303:AK303">
    <cfRule type="expression" dxfId="84" priority="115">
      <formula>LEN(TRIM(W303))=0</formula>
    </cfRule>
  </conditionalFormatting>
  <conditionalFormatting sqref="AL303">
    <cfRule type="cellIs" dxfId="83" priority="83" operator="equal">
      <formula>0</formula>
    </cfRule>
  </conditionalFormatting>
  <conditionalFormatting sqref="W281:AL281 W286:AK290 AL282:AL293 W275:AL279 W293:AK293 W291:AH292 AK291:AK292 W283:AK283 W273:AB274 AD273:AD274 AF273:AL274 AI282:AK282">
    <cfRule type="expression" dxfId="82" priority="102">
      <formula>LEN(TRIM(W273))=0</formula>
    </cfRule>
  </conditionalFormatting>
  <conditionalFormatting sqref="W284:AK285">
    <cfRule type="expression" dxfId="81" priority="107">
      <formula>LEN(TRIM(W284))=0</formula>
    </cfRule>
  </conditionalFormatting>
  <conditionalFormatting sqref="W295:AL302">
    <cfRule type="expression" dxfId="80" priority="112">
      <formula>LEN(TRIM(W295))=0</formula>
    </cfRule>
  </conditionalFormatting>
  <conditionalFormatting sqref="AL303">
    <cfRule type="expression" dxfId="79" priority="84">
      <formula>LEN(TRIM(AL303))=0</formula>
    </cfRule>
  </conditionalFormatting>
  <conditionalFormatting sqref="AI291:AJ292">
    <cfRule type="cellIs" dxfId="78" priority="81" operator="equal">
      <formula>0</formula>
    </cfRule>
  </conditionalFormatting>
  <conditionalFormatting sqref="AI291:AJ292">
    <cfRule type="expression" dxfId="77" priority="82">
      <formula>LEN(TRIM(AI291))=0</formula>
    </cfRule>
  </conditionalFormatting>
  <conditionalFormatting sqref="I68:I69">
    <cfRule type="cellIs" dxfId="76" priority="79" operator="equal">
      <formula>0</formula>
    </cfRule>
  </conditionalFormatting>
  <conditionalFormatting sqref="I68:I69">
    <cfRule type="expression" dxfId="75" priority="80">
      <formula>LEN(TRIM(I68))=0</formula>
    </cfRule>
  </conditionalFormatting>
  <conditionalFormatting sqref="K109">
    <cfRule type="cellIs" dxfId="74" priority="76" operator="equal">
      <formula>0</formula>
    </cfRule>
  </conditionalFormatting>
  <conditionalFormatting sqref="K109:K110">
    <cfRule type="cellIs" dxfId="73" priority="77" operator="equal">
      <formula>0</formula>
    </cfRule>
  </conditionalFormatting>
  <conditionalFormatting sqref="K109:K110">
    <cfRule type="expression" dxfId="72" priority="78">
      <formula>LEN(TRIM(K109))=0</formula>
    </cfRule>
  </conditionalFormatting>
  <conditionalFormatting sqref="I109:I110">
    <cfRule type="cellIs" dxfId="71" priority="74" operator="equal">
      <formula>0</formula>
    </cfRule>
  </conditionalFormatting>
  <conditionalFormatting sqref="I109:I110">
    <cfRule type="expression" dxfId="70" priority="75">
      <formula>LEN(TRIM(I109))=0</formula>
    </cfRule>
  </conditionalFormatting>
  <conditionalFormatting sqref="I150:I151">
    <cfRule type="cellIs" dxfId="69" priority="69" operator="equal">
      <formula>0</formula>
    </cfRule>
  </conditionalFormatting>
  <conditionalFormatting sqref="I150:I151">
    <cfRule type="expression" dxfId="68" priority="70">
      <formula>LEN(TRIM(I150))=0</formula>
    </cfRule>
  </conditionalFormatting>
  <conditionalFormatting sqref="K150">
    <cfRule type="cellIs" dxfId="67" priority="66" operator="equal">
      <formula>0</formula>
    </cfRule>
  </conditionalFormatting>
  <conditionalFormatting sqref="K150:K151">
    <cfRule type="cellIs" dxfId="66" priority="67" operator="equal">
      <formula>0</formula>
    </cfRule>
  </conditionalFormatting>
  <conditionalFormatting sqref="K150:K151">
    <cfRule type="expression" dxfId="65" priority="68">
      <formula>LEN(TRIM(K150))=0</formula>
    </cfRule>
  </conditionalFormatting>
  <conditionalFormatting sqref="I191:I192">
    <cfRule type="cellIs" dxfId="64" priority="64" operator="equal">
      <formula>0</formula>
    </cfRule>
  </conditionalFormatting>
  <conditionalFormatting sqref="I191:I192">
    <cfRule type="expression" dxfId="63" priority="65">
      <formula>LEN(TRIM(I191))=0</formula>
    </cfRule>
  </conditionalFormatting>
  <conditionalFormatting sqref="K191">
    <cfRule type="cellIs" dxfId="62" priority="61" operator="equal">
      <formula>0</formula>
    </cfRule>
  </conditionalFormatting>
  <conditionalFormatting sqref="K191:K192">
    <cfRule type="cellIs" dxfId="61" priority="62" operator="equal">
      <formula>0</formula>
    </cfRule>
  </conditionalFormatting>
  <conditionalFormatting sqref="K191:K192">
    <cfRule type="expression" dxfId="60" priority="63">
      <formula>LEN(TRIM(K191))=0</formula>
    </cfRule>
  </conditionalFormatting>
  <conditionalFormatting sqref="I232:I233">
    <cfRule type="cellIs" dxfId="59" priority="59" operator="equal">
      <formula>0</formula>
    </cfRule>
  </conditionalFormatting>
  <conditionalFormatting sqref="I232:I233">
    <cfRule type="expression" dxfId="58" priority="60">
      <formula>LEN(TRIM(I232))=0</formula>
    </cfRule>
  </conditionalFormatting>
  <conditionalFormatting sqref="K232">
    <cfRule type="cellIs" dxfId="57" priority="56" operator="equal">
      <formula>0</formula>
    </cfRule>
  </conditionalFormatting>
  <conditionalFormatting sqref="K232:K233">
    <cfRule type="cellIs" dxfId="56" priority="57" operator="equal">
      <formula>0</formula>
    </cfRule>
  </conditionalFormatting>
  <conditionalFormatting sqref="K232:K233">
    <cfRule type="expression" dxfId="55" priority="58">
      <formula>LEN(TRIM(K232))=0</formula>
    </cfRule>
  </conditionalFormatting>
  <conditionalFormatting sqref="I273:I274">
    <cfRule type="cellIs" dxfId="54" priority="54" operator="equal">
      <formula>0</formula>
    </cfRule>
  </conditionalFormatting>
  <conditionalFormatting sqref="I273:I274">
    <cfRule type="expression" dxfId="53" priority="55">
      <formula>LEN(TRIM(I273))=0</formula>
    </cfRule>
  </conditionalFormatting>
  <conditionalFormatting sqref="K273">
    <cfRule type="cellIs" dxfId="52" priority="51" operator="equal">
      <formula>0</formula>
    </cfRule>
  </conditionalFormatting>
  <conditionalFormatting sqref="K273:K274">
    <cfRule type="cellIs" dxfId="51" priority="52" operator="equal">
      <formula>0</formula>
    </cfRule>
  </conditionalFormatting>
  <conditionalFormatting sqref="K273:K274">
    <cfRule type="expression" dxfId="50" priority="53">
      <formula>LEN(TRIM(K273))=0</formula>
    </cfRule>
  </conditionalFormatting>
  <conditionalFormatting sqref="AC68:AC69">
    <cfRule type="cellIs" dxfId="49" priority="49" operator="equal">
      <formula>0</formula>
    </cfRule>
  </conditionalFormatting>
  <conditionalFormatting sqref="AC68:AC69">
    <cfRule type="expression" dxfId="48" priority="50">
      <formula>LEN(TRIM(AC68))=0</formula>
    </cfRule>
  </conditionalFormatting>
  <conditionalFormatting sqref="AE68">
    <cfRule type="cellIs" dxfId="47" priority="46" operator="equal">
      <formula>0</formula>
    </cfRule>
  </conditionalFormatting>
  <conditionalFormatting sqref="AE68:AE69">
    <cfRule type="cellIs" dxfId="46" priority="47" operator="equal">
      <formula>0</formula>
    </cfRule>
  </conditionalFormatting>
  <conditionalFormatting sqref="AE68:AE69">
    <cfRule type="expression" dxfId="45" priority="48">
      <formula>LEN(TRIM(AE68))=0</formula>
    </cfRule>
  </conditionalFormatting>
  <conditionalFormatting sqref="AC109:AC110">
    <cfRule type="cellIs" dxfId="44" priority="44" operator="equal">
      <formula>0</formula>
    </cfRule>
  </conditionalFormatting>
  <conditionalFormatting sqref="AC109:AC110">
    <cfRule type="expression" dxfId="43" priority="45">
      <formula>LEN(TRIM(AC109))=0</formula>
    </cfRule>
  </conditionalFormatting>
  <conditionalFormatting sqref="AE109">
    <cfRule type="cellIs" dxfId="42" priority="41" operator="equal">
      <formula>0</formula>
    </cfRule>
  </conditionalFormatting>
  <conditionalFormatting sqref="AE109:AE110">
    <cfRule type="cellIs" dxfId="41" priority="42" operator="equal">
      <formula>0</formula>
    </cfRule>
  </conditionalFormatting>
  <conditionalFormatting sqref="AE109:AE110">
    <cfRule type="expression" dxfId="40" priority="43">
      <formula>LEN(TRIM(AE109))=0</formula>
    </cfRule>
  </conditionalFormatting>
  <conditionalFormatting sqref="AC150:AC151">
    <cfRule type="cellIs" dxfId="39" priority="39" operator="equal">
      <formula>0</formula>
    </cfRule>
  </conditionalFormatting>
  <conditionalFormatting sqref="AC150:AC151">
    <cfRule type="expression" dxfId="38" priority="40">
      <formula>LEN(TRIM(AC150))=0</formula>
    </cfRule>
  </conditionalFormatting>
  <conditionalFormatting sqref="AE150">
    <cfRule type="cellIs" dxfId="37" priority="36" operator="equal">
      <formula>0</formula>
    </cfRule>
  </conditionalFormatting>
  <conditionalFormatting sqref="AE150:AE151">
    <cfRule type="cellIs" dxfId="36" priority="37" operator="equal">
      <formula>0</formula>
    </cfRule>
  </conditionalFormatting>
  <conditionalFormatting sqref="AE150:AE151">
    <cfRule type="expression" dxfId="35" priority="38">
      <formula>LEN(TRIM(AE150))=0</formula>
    </cfRule>
  </conditionalFormatting>
  <conditionalFormatting sqref="AC191:AC192">
    <cfRule type="cellIs" dxfId="34" priority="34" operator="equal">
      <formula>0</formula>
    </cfRule>
  </conditionalFormatting>
  <conditionalFormatting sqref="AC191:AC192">
    <cfRule type="expression" dxfId="33" priority="35">
      <formula>LEN(TRIM(AC191))=0</formula>
    </cfRule>
  </conditionalFormatting>
  <conditionalFormatting sqref="AE191">
    <cfRule type="cellIs" dxfId="32" priority="31" operator="equal">
      <formula>0</formula>
    </cfRule>
  </conditionalFormatting>
  <conditionalFormatting sqref="AE191:AE192">
    <cfRule type="cellIs" dxfId="31" priority="32" operator="equal">
      <formula>0</formula>
    </cfRule>
  </conditionalFormatting>
  <conditionalFormatting sqref="AE191:AE192">
    <cfRule type="expression" dxfId="30" priority="33">
      <formula>LEN(TRIM(AE191))=0</formula>
    </cfRule>
  </conditionalFormatting>
  <conditionalFormatting sqref="AC232:AC233">
    <cfRule type="cellIs" dxfId="29" priority="29" operator="equal">
      <formula>0</formula>
    </cfRule>
  </conditionalFormatting>
  <conditionalFormatting sqref="AC232:AC233">
    <cfRule type="expression" dxfId="28" priority="30">
      <formula>LEN(TRIM(AC232))=0</formula>
    </cfRule>
  </conditionalFormatting>
  <conditionalFormatting sqref="AE232">
    <cfRule type="cellIs" dxfId="27" priority="26" operator="equal">
      <formula>0</formula>
    </cfRule>
  </conditionalFormatting>
  <conditionalFormatting sqref="AE232:AE233">
    <cfRule type="cellIs" dxfId="26" priority="27" operator="equal">
      <formula>0</formula>
    </cfRule>
  </conditionalFormatting>
  <conditionalFormatting sqref="AE232:AE233">
    <cfRule type="expression" dxfId="25" priority="28">
      <formula>LEN(TRIM(AE232))=0</formula>
    </cfRule>
  </conditionalFormatting>
  <conditionalFormatting sqref="AC273:AC274">
    <cfRule type="cellIs" dxfId="24" priority="24" operator="equal">
      <formula>0</formula>
    </cfRule>
  </conditionalFormatting>
  <conditionalFormatting sqref="AC273:AC274">
    <cfRule type="expression" dxfId="23" priority="25">
      <formula>LEN(TRIM(AC273))=0</formula>
    </cfRule>
  </conditionalFormatting>
  <conditionalFormatting sqref="AE273">
    <cfRule type="cellIs" dxfId="22" priority="21" operator="equal">
      <formula>0</formula>
    </cfRule>
  </conditionalFormatting>
  <conditionalFormatting sqref="AE273:AE274">
    <cfRule type="cellIs" dxfId="21" priority="22" operator="equal">
      <formula>0</formula>
    </cfRule>
  </conditionalFormatting>
  <conditionalFormatting sqref="AE273:AE274">
    <cfRule type="expression" dxfId="20" priority="23">
      <formula>LEN(TRIM(AE273))=0</formula>
    </cfRule>
  </conditionalFormatting>
  <conditionalFormatting sqref="C118:N118">
    <cfRule type="cellIs" dxfId="19" priority="19" operator="equal">
      <formula>0</formula>
    </cfRule>
  </conditionalFormatting>
  <conditionalFormatting sqref="C118:N118">
    <cfRule type="expression" dxfId="18" priority="20">
      <formula>LEN(TRIM(C118))=0</formula>
    </cfRule>
  </conditionalFormatting>
  <conditionalFormatting sqref="C159:N159">
    <cfRule type="cellIs" dxfId="17" priority="17" operator="equal">
      <formula>0</formula>
    </cfRule>
  </conditionalFormatting>
  <conditionalFormatting sqref="C159:N159">
    <cfRule type="expression" dxfId="16" priority="18">
      <formula>LEN(TRIM(C159))=0</formula>
    </cfRule>
  </conditionalFormatting>
  <conditionalFormatting sqref="C200:N200">
    <cfRule type="cellIs" dxfId="15" priority="15" operator="equal">
      <formula>0</formula>
    </cfRule>
  </conditionalFormatting>
  <conditionalFormatting sqref="C200:N200">
    <cfRule type="expression" dxfId="14" priority="16">
      <formula>LEN(TRIM(C200))=0</formula>
    </cfRule>
  </conditionalFormatting>
  <conditionalFormatting sqref="C241:N241">
    <cfRule type="cellIs" dxfId="13" priority="13" operator="equal">
      <formula>0</formula>
    </cfRule>
  </conditionalFormatting>
  <conditionalFormatting sqref="C241:N241">
    <cfRule type="expression" dxfId="12" priority="14">
      <formula>LEN(TRIM(C241))=0</formula>
    </cfRule>
  </conditionalFormatting>
  <conditionalFormatting sqref="C282:N282">
    <cfRule type="cellIs" dxfId="11" priority="11" operator="equal">
      <formula>0</formula>
    </cfRule>
  </conditionalFormatting>
  <conditionalFormatting sqref="C282:N282">
    <cfRule type="expression" dxfId="10" priority="12">
      <formula>LEN(TRIM(C282))=0</formula>
    </cfRule>
  </conditionalFormatting>
  <conditionalFormatting sqref="W118:AH118">
    <cfRule type="cellIs" dxfId="9" priority="9" operator="equal">
      <formula>0</formula>
    </cfRule>
  </conditionalFormatting>
  <conditionalFormatting sqref="W118:AH118">
    <cfRule type="expression" dxfId="8" priority="10">
      <formula>LEN(TRIM(W118))=0</formula>
    </cfRule>
  </conditionalFormatting>
  <conditionalFormatting sqref="W159:AH159">
    <cfRule type="cellIs" dxfId="7" priority="7" operator="equal">
      <formula>0</formula>
    </cfRule>
  </conditionalFormatting>
  <conditionalFormatting sqref="W159:AH159">
    <cfRule type="expression" dxfId="6" priority="8">
      <formula>LEN(TRIM(W159))=0</formula>
    </cfRule>
  </conditionalFormatting>
  <conditionalFormatting sqref="W200:AH200">
    <cfRule type="cellIs" dxfId="5" priority="5" operator="equal">
      <formula>0</formula>
    </cfRule>
  </conditionalFormatting>
  <conditionalFormatting sqref="W200:AH200">
    <cfRule type="expression" dxfId="4" priority="6">
      <formula>LEN(TRIM(W200))=0</formula>
    </cfRule>
  </conditionalFormatting>
  <conditionalFormatting sqref="W241:AH241">
    <cfRule type="cellIs" dxfId="3" priority="3" operator="equal">
      <formula>0</formula>
    </cfRule>
  </conditionalFormatting>
  <conditionalFormatting sqref="W241:AH241">
    <cfRule type="expression" dxfId="2" priority="4">
      <formula>LEN(TRIM(W241))=0</formula>
    </cfRule>
  </conditionalFormatting>
  <conditionalFormatting sqref="W282:AH282">
    <cfRule type="cellIs" dxfId="1" priority="1" operator="equal">
      <formula>0</formula>
    </cfRule>
  </conditionalFormatting>
  <conditionalFormatting sqref="W282:AH282">
    <cfRule type="expression" dxfId="0" priority="2">
      <formula>LEN(TRIM(W282))=0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A18" sqref="A18:H18"/>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47" t="s">
        <v>55</v>
      </c>
      <c r="B2" s="447"/>
      <c r="C2" s="447"/>
      <c r="D2" s="447"/>
      <c r="E2" s="447"/>
      <c r="F2" s="447"/>
      <c r="G2" s="447"/>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37" t="s">
        <v>390</v>
      </c>
      <c r="O4" t="s">
        <v>409</v>
      </c>
    </row>
    <row r="5" spans="1:19">
      <c r="A5" s="31" t="s">
        <v>57</v>
      </c>
      <c r="B5" s="32">
        <v>229040</v>
      </c>
      <c r="C5" s="32">
        <v>237549</v>
      </c>
      <c r="D5" s="32">
        <v>239648</v>
      </c>
      <c r="E5" s="32">
        <v>244118</v>
      </c>
      <c r="F5" s="32">
        <v>252338</v>
      </c>
      <c r="G5" s="32">
        <v>259865</v>
      </c>
      <c r="H5" s="32">
        <v>269352</v>
      </c>
      <c r="I5" s="32">
        <v>268700</v>
      </c>
      <c r="J5" s="32">
        <v>276128</v>
      </c>
      <c r="K5" s="32">
        <v>281678</v>
      </c>
      <c r="L5" s="32">
        <v>287000</v>
      </c>
      <c r="M5" s="313">
        <v>290528</v>
      </c>
      <c r="N5" s="314"/>
      <c r="O5" t="s">
        <v>409</v>
      </c>
    </row>
    <row r="6" spans="1:19">
      <c r="A6" s="30" t="s">
        <v>58</v>
      </c>
      <c r="B6" s="279">
        <v>3512</v>
      </c>
      <c r="C6" s="279">
        <v>3668</v>
      </c>
      <c r="D6" s="279">
        <v>3948</v>
      </c>
      <c r="E6" s="279">
        <v>3890</v>
      </c>
      <c r="F6" s="279">
        <v>4037</v>
      </c>
      <c r="G6" s="30">
        <v>3993</v>
      </c>
      <c r="H6" s="30">
        <v>4131</v>
      </c>
      <c r="I6" s="30">
        <v>3978</v>
      </c>
      <c r="J6" s="30">
        <v>4164</v>
      </c>
      <c r="K6" s="30">
        <v>4354</v>
      </c>
      <c r="L6" s="30"/>
      <c r="M6" s="30"/>
      <c r="N6" s="288" t="s">
        <v>59</v>
      </c>
      <c r="O6" t="s">
        <v>409</v>
      </c>
    </row>
    <row r="7" spans="1:19">
      <c r="A7" s="30" t="s">
        <v>60</v>
      </c>
      <c r="B7" s="279">
        <v>15053</v>
      </c>
      <c r="C7" s="279">
        <v>15375</v>
      </c>
      <c r="D7" s="279">
        <v>16290</v>
      </c>
      <c r="E7" s="279">
        <v>15704</v>
      </c>
      <c r="F7" s="279">
        <v>15765</v>
      </c>
      <c r="G7" s="30">
        <v>15091</v>
      </c>
      <c r="H7" s="30">
        <v>15356</v>
      </c>
      <c r="I7" s="30">
        <v>14604</v>
      </c>
      <c r="J7" s="30">
        <v>14879</v>
      </c>
      <c r="K7" s="33">
        <v>15270</v>
      </c>
      <c r="L7" s="30"/>
      <c r="M7" s="30"/>
      <c r="N7" s="288" t="s">
        <v>59</v>
      </c>
      <c r="O7" t="s">
        <v>409</v>
      </c>
    </row>
    <row r="8" spans="1:19">
      <c r="A8" s="448" t="s">
        <v>426</v>
      </c>
      <c r="B8" s="449"/>
      <c r="C8" s="449"/>
      <c r="D8" s="449"/>
      <c r="E8" s="449"/>
      <c r="F8" s="449"/>
      <c r="G8" s="449"/>
      <c r="H8" s="449"/>
      <c r="I8" s="449"/>
      <c r="J8" s="449"/>
      <c r="K8" s="449"/>
      <c r="L8" s="449"/>
      <c r="M8" s="449"/>
      <c r="N8" s="450"/>
    </row>
    <row r="9" spans="1:19">
      <c r="B9" s="34"/>
    </row>
    <row r="10" spans="1:19">
      <c r="B10" s="312"/>
    </row>
    <row r="11" spans="1:19">
      <c r="A11" s="447" t="s">
        <v>62</v>
      </c>
      <c r="B11" s="447"/>
      <c r="C11" s="447"/>
      <c r="D11" s="447"/>
      <c r="E11" s="447"/>
      <c r="F11" s="447"/>
      <c r="G11" s="447"/>
      <c r="H11" s="447"/>
      <c r="M11" s="447" t="s">
        <v>67</v>
      </c>
      <c r="N11" s="447"/>
      <c r="O11" s="447"/>
      <c r="P11" s="447"/>
      <c r="Q11" s="315"/>
      <c r="R11" s="315"/>
      <c r="S11" s="315"/>
    </row>
    <row r="13" spans="1:19">
      <c r="A13" s="35"/>
      <c r="B13" s="316">
        <v>2020</v>
      </c>
      <c r="C13" s="316">
        <v>2025</v>
      </c>
      <c r="D13" s="316">
        <v>2030</v>
      </c>
      <c r="E13" s="316">
        <v>2035</v>
      </c>
      <c r="F13" s="316">
        <v>2040</v>
      </c>
      <c r="G13" s="316">
        <v>2045</v>
      </c>
      <c r="H13" s="316">
        <v>2050</v>
      </c>
      <c r="M13" s="35"/>
      <c r="N13" s="445">
        <v>2015</v>
      </c>
      <c r="O13" s="445"/>
      <c r="P13" s="445"/>
    </row>
    <row r="14" spans="1:19">
      <c r="A14" s="36"/>
      <c r="B14" s="30" t="s">
        <v>435</v>
      </c>
      <c r="C14" s="30" t="s">
        <v>435</v>
      </c>
      <c r="D14" s="30" t="s">
        <v>435</v>
      </c>
      <c r="E14" s="30" t="s">
        <v>435</v>
      </c>
      <c r="F14" s="30" t="s">
        <v>435</v>
      </c>
      <c r="G14" s="30" t="s">
        <v>435</v>
      </c>
      <c r="H14" s="30" t="s">
        <v>435</v>
      </c>
      <c r="M14" s="30"/>
      <c r="N14" s="30" t="s">
        <v>439</v>
      </c>
      <c r="O14" s="30" t="s">
        <v>63</v>
      </c>
      <c r="P14" s="37" t="s">
        <v>68</v>
      </c>
    </row>
    <row r="15" spans="1:19">
      <c r="A15" s="36" t="s">
        <v>64</v>
      </c>
      <c r="B15" s="38">
        <f>K5/1000000</f>
        <v>0.28167799999999998</v>
      </c>
      <c r="C15" s="38">
        <v>0.312</v>
      </c>
      <c r="D15" s="38">
        <v>0.33600000000000002</v>
      </c>
      <c r="E15" s="38">
        <v>0.36</v>
      </c>
      <c r="F15" s="38">
        <v>0.38200000000000001</v>
      </c>
      <c r="G15" s="38">
        <v>0.40300000000000002</v>
      </c>
      <c r="H15" s="38">
        <v>0.42099999999999999</v>
      </c>
      <c r="M15" s="30" t="s">
        <v>69</v>
      </c>
      <c r="N15" s="275" t="s">
        <v>436</v>
      </c>
      <c r="O15" s="30" t="s">
        <v>70</v>
      </c>
      <c r="P15" s="37" t="s">
        <v>71</v>
      </c>
    </row>
    <row r="16" spans="1:19">
      <c r="A16" s="41" t="s">
        <v>65</v>
      </c>
      <c r="B16" s="215">
        <f>K6</f>
        <v>4354</v>
      </c>
      <c r="C16" s="42">
        <f t="shared" ref="C16:H16" si="0">$B$17*((1+0.7%)^(C13-$K4))*C15</f>
        <v>4967.872651151496</v>
      </c>
      <c r="D16" s="42">
        <f t="shared" si="0"/>
        <v>5539.9072088412331</v>
      </c>
      <c r="E16" s="42">
        <f t="shared" si="0"/>
        <v>6146.2902687475998</v>
      </c>
      <c r="F16" s="42">
        <f t="shared" si="0"/>
        <v>6753.3814656425666</v>
      </c>
      <c r="G16" s="42">
        <f t="shared" si="0"/>
        <v>7377.518676217881</v>
      </c>
      <c r="H16" s="42">
        <f t="shared" si="0"/>
        <v>7980.5848620515198</v>
      </c>
      <c r="M16" s="30" t="s">
        <v>72</v>
      </c>
      <c r="N16" s="275" t="s">
        <v>437</v>
      </c>
      <c r="O16" s="30" t="s">
        <v>73</v>
      </c>
      <c r="P16" s="37" t="s">
        <v>74</v>
      </c>
    </row>
    <row r="17" spans="1:22">
      <c r="A17" s="41" t="s">
        <v>66</v>
      </c>
      <c r="B17" s="216">
        <f>K7</f>
        <v>15270</v>
      </c>
      <c r="C17" s="317">
        <f>C16/C15</f>
        <v>15922.668753690692</v>
      </c>
      <c r="D17" s="317">
        <f t="shared" ref="D17:H17" si="1">D16/D15</f>
        <v>16487.819073932242</v>
      </c>
      <c r="E17" s="317">
        <f t="shared" si="1"/>
        <v>17073.02852429889</v>
      </c>
      <c r="F17" s="317">
        <f t="shared" si="1"/>
        <v>17679.00907236274</v>
      </c>
      <c r="G17" s="317">
        <f t="shared" si="1"/>
        <v>18306.497955875635</v>
      </c>
      <c r="H17" s="317">
        <f t="shared" si="1"/>
        <v>18956.258579694822</v>
      </c>
      <c r="M17" s="30" t="s">
        <v>75</v>
      </c>
      <c r="N17" s="275" t="s">
        <v>438</v>
      </c>
      <c r="O17" s="30" t="s">
        <v>76</v>
      </c>
      <c r="P17" s="37" t="s">
        <v>77</v>
      </c>
    </row>
    <row r="18" spans="1:22" ht="14.4" customHeight="1">
      <c r="A18" s="446" t="s">
        <v>497</v>
      </c>
      <c r="B18" s="446"/>
      <c r="C18" s="446"/>
      <c r="D18" s="446"/>
      <c r="E18" s="446"/>
      <c r="F18" s="446"/>
      <c r="G18" s="446"/>
      <c r="H18" s="446"/>
      <c r="I18" s="202"/>
      <c r="J18" s="202"/>
      <c r="K18" s="202"/>
      <c r="L18" s="202"/>
      <c r="M18" s="30" t="s">
        <v>78</v>
      </c>
      <c r="N18" s="340">
        <v>3.9899999999999998E-2</v>
      </c>
      <c r="O18" s="44">
        <v>1.6799999999999999E-2</v>
      </c>
      <c r="P18" s="45">
        <v>5.4999999999999997E-3</v>
      </c>
      <c r="T18" s="202"/>
      <c r="U18" s="202"/>
      <c r="V18" s="202"/>
    </row>
    <row r="19" spans="1:22">
      <c r="M19" s="30" t="s">
        <v>79</v>
      </c>
      <c r="N19" s="340">
        <v>2.6499999999999999E-2</v>
      </c>
      <c r="O19" s="44">
        <v>8.8999999999999999E-3</v>
      </c>
      <c r="P19" s="45">
        <v>5.8999999999999999E-3</v>
      </c>
    </row>
    <row r="20" spans="1:22">
      <c r="M20" s="30" t="s">
        <v>78</v>
      </c>
      <c r="N20" s="340">
        <v>3.4000000000000002E-2</v>
      </c>
      <c r="O20" s="44">
        <v>2.1100000000000001E-2</v>
      </c>
      <c r="P20" s="45">
        <v>8.8999999999999999E-3</v>
      </c>
    </row>
    <row r="21" spans="1:22">
      <c r="M21" s="30" t="s">
        <v>80</v>
      </c>
      <c r="N21" s="275">
        <v>13.8</v>
      </c>
      <c r="O21" s="30">
        <v>10.8</v>
      </c>
      <c r="P21" s="37">
        <v>6.7</v>
      </c>
    </row>
    <row r="22" spans="1:22">
      <c r="M22" s="30" t="s">
        <v>78</v>
      </c>
      <c r="N22" s="340">
        <v>7.3000000000000001E-3</v>
      </c>
      <c r="O22" s="30"/>
      <c r="P22" s="37"/>
    </row>
    <row r="25" spans="1:22">
      <c r="M25" s="447" t="s">
        <v>81</v>
      </c>
      <c r="N25" s="447"/>
      <c r="O25" s="447"/>
      <c r="P25" s="447"/>
      <c r="Q25" s="315"/>
      <c r="R25" s="315"/>
      <c r="S25" s="315"/>
    </row>
    <row r="27" spans="1:22">
      <c r="M27" s="35"/>
      <c r="N27" s="445">
        <v>2015</v>
      </c>
      <c r="O27" s="445"/>
      <c r="P27" s="445"/>
    </row>
    <row r="28" spans="1:22">
      <c r="M28" s="30"/>
      <c r="N28" s="30" t="s">
        <v>435</v>
      </c>
      <c r="O28" s="30" t="s">
        <v>63</v>
      </c>
      <c r="P28" s="37" t="s">
        <v>68</v>
      </c>
    </row>
    <row r="29" spans="1:22">
      <c r="M29" s="30" t="s">
        <v>69</v>
      </c>
      <c r="N29" s="275" t="s">
        <v>436</v>
      </c>
      <c r="O29" s="30" t="s">
        <v>70</v>
      </c>
      <c r="P29" s="37" t="s">
        <v>71</v>
      </c>
    </row>
    <row r="30" spans="1:22">
      <c r="M30" s="30" t="s">
        <v>72</v>
      </c>
      <c r="N30" s="275" t="s">
        <v>437</v>
      </c>
      <c r="O30" s="30" t="s">
        <v>73</v>
      </c>
      <c r="P30" s="37" t="s">
        <v>74</v>
      </c>
    </row>
    <row r="31" spans="1:22">
      <c r="M31" s="30" t="s">
        <v>75</v>
      </c>
      <c r="N31" s="275" t="s">
        <v>438</v>
      </c>
      <c r="O31" s="30" t="s">
        <v>76</v>
      </c>
      <c r="P31" s="37" t="s">
        <v>77</v>
      </c>
    </row>
    <row r="32" spans="1:22">
      <c r="M32" s="30" t="s">
        <v>78</v>
      </c>
      <c r="N32" s="340">
        <v>3.9899999999999998E-2</v>
      </c>
      <c r="O32" s="44">
        <v>1.6799999999999999E-2</v>
      </c>
      <c r="P32" s="45">
        <v>5.4999999999999997E-3</v>
      </c>
    </row>
    <row r="33" spans="13:16">
      <c r="M33" s="30" t="s">
        <v>79</v>
      </c>
      <c r="N33" s="340">
        <v>2.6499999999999999E-2</v>
      </c>
      <c r="O33" s="44">
        <v>8.8999999999999999E-3</v>
      </c>
      <c r="P33" s="45">
        <v>5.8999999999999999E-3</v>
      </c>
    </row>
    <row r="34" spans="13:16">
      <c r="M34" s="30" t="s">
        <v>78</v>
      </c>
      <c r="N34" s="340">
        <v>3.4000000000000002E-2</v>
      </c>
      <c r="O34" s="44">
        <v>2.1100000000000001E-2</v>
      </c>
      <c r="P34" s="45">
        <v>8.8999999999999999E-3</v>
      </c>
    </row>
    <row r="35" spans="13:16">
      <c r="M35" s="30" t="s">
        <v>80</v>
      </c>
      <c r="N35" s="275">
        <v>18</v>
      </c>
      <c r="O35" s="117">
        <v>10.8</v>
      </c>
      <c r="P35" s="217">
        <v>6.7</v>
      </c>
    </row>
    <row r="36" spans="13:16">
      <c r="M36" s="30" t="s">
        <v>78</v>
      </c>
      <c r="N36" s="340">
        <v>7.3000000000000001E-3</v>
      </c>
      <c r="O36" s="30"/>
      <c r="P36" s="37"/>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Y65"/>
  <sheetViews>
    <sheetView topLeftCell="A16" zoomScale="70" zoomScaleNormal="70" workbookViewId="0">
      <selection activeCell="E53" sqref="E53"/>
    </sheetView>
  </sheetViews>
  <sheetFormatPr baseColWidth="10" defaultColWidth="8.88671875" defaultRowHeight="14.4"/>
  <cols>
    <col min="1" max="1" width="22.5546875" customWidth="1"/>
    <col min="2" max="13" width="10.44140625" customWidth="1"/>
    <col min="14" max="14" width="10.44140625" style="329" customWidth="1"/>
    <col min="15" max="15" width="15.88671875" customWidth="1"/>
    <col min="16" max="1027" width="10.44140625" customWidth="1"/>
  </cols>
  <sheetData>
    <row r="2" spans="1:25" ht="25.8">
      <c r="A2" s="454" t="s">
        <v>433</v>
      </c>
      <c r="B2" s="454"/>
      <c r="C2" s="454"/>
      <c r="D2" s="454"/>
      <c r="E2" s="454"/>
      <c r="F2" s="454"/>
      <c r="G2" s="454"/>
      <c r="H2" s="454"/>
      <c r="I2" s="454"/>
      <c r="J2" s="454"/>
      <c r="P2" s="454" t="s">
        <v>434</v>
      </c>
      <c r="Q2" s="454"/>
      <c r="R2" s="454"/>
      <c r="S2" s="454"/>
      <c r="T2" s="454"/>
      <c r="U2" s="454"/>
      <c r="V2" s="454"/>
      <c r="W2" s="454"/>
      <c r="X2" s="454"/>
      <c r="Y2" s="454"/>
    </row>
    <row r="6" spans="1:25">
      <c r="A6" s="447" t="s">
        <v>55</v>
      </c>
      <c r="B6" s="447"/>
      <c r="C6" s="447"/>
      <c r="D6" s="447"/>
      <c r="E6" s="447"/>
      <c r="F6" s="447"/>
      <c r="G6" s="447"/>
      <c r="H6" s="447"/>
      <c r="I6" s="447"/>
    </row>
    <row r="7" spans="1:25">
      <c r="A7" s="452"/>
      <c r="B7" s="452"/>
      <c r="C7" s="452"/>
      <c r="D7" s="452"/>
      <c r="E7" s="452"/>
      <c r="F7" s="452"/>
      <c r="G7" s="452"/>
      <c r="H7" s="452"/>
      <c r="I7" s="452"/>
      <c r="J7" s="452"/>
      <c r="K7" s="452"/>
      <c r="L7" s="452"/>
      <c r="M7" s="263"/>
      <c r="N7" s="330"/>
    </row>
    <row r="8" spans="1:25">
      <c r="A8" s="35"/>
      <c r="B8" s="30">
        <v>2010</v>
      </c>
      <c r="C8" s="30">
        <v>2011</v>
      </c>
      <c r="D8" s="30">
        <v>2012</v>
      </c>
      <c r="E8" s="30">
        <v>2013</v>
      </c>
      <c r="F8" s="30">
        <v>2014</v>
      </c>
      <c r="G8" s="30">
        <v>2015</v>
      </c>
      <c r="H8" s="30">
        <v>2016</v>
      </c>
      <c r="I8" s="30">
        <v>2017</v>
      </c>
      <c r="J8" s="30">
        <v>2018</v>
      </c>
      <c r="K8" s="30">
        <v>2019</v>
      </c>
      <c r="L8" s="30">
        <v>2020</v>
      </c>
      <c r="M8" s="163"/>
      <c r="N8" s="331"/>
    </row>
    <row r="9" spans="1:25">
      <c r="A9" s="463" t="s">
        <v>142</v>
      </c>
      <c r="B9" s="463"/>
      <c r="C9" s="463"/>
      <c r="D9" s="463"/>
      <c r="E9" s="463"/>
      <c r="F9" s="463"/>
      <c r="G9" s="463"/>
      <c r="H9" s="463"/>
      <c r="I9" s="463"/>
      <c r="J9" s="463"/>
      <c r="K9" s="463"/>
      <c r="L9" s="463"/>
      <c r="M9" s="322"/>
      <c r="N9" s="332"/>
    </row>
    <row r="10" spans="1:25">
      <c r="A10" s="30" t="s">
        <v>143</v>
      </c>
      <c r="B10" s="30"/>
      <c r="C10" s="30"/>
      <c r="D10" s="30"/>
      <c r="E10" s="30"/>
      <c r="F10" s="30"/>
      <c r="G10" s="30"/>
      <c r="H10" s="30"/>
      <c r="I10" s="30"/>
      <c r="J10" s="30">
        <v>0</v>
      </c>
      <c r="K10" s="30">
        <v>0</v>
      </c>
      <c r="L10" s="30">
        <v>0</v>
      </c>
      <c r="M10" s="323"/>
      <c r="N10" s="331"/>
    </row>
    <row r="11" spans="1:25">
      <c r="A11" s="30" t="s">
        <v>14</v>
      </c>
      <c r="B11" s="80"/>
      <c r="C11" s="80"/>
      <c r="D11" s="80"/>
      <c r="E11" s="80"/>
      <c r="F11" s="80"/>
      <c r="G11" s="80"/>
      <c r="H11" s="80"/>
      <c r="I11" s="80"/>
      <c r="J11" s="80">
        <v>0</v>
      </c>
      <c r="K11" s="226">
        <v>0</v>
      </c>
      <c r="L11" s="226">
        <v>0</v>
      </c>
      <c r="M11" s="324"/>
      <c r="N11" s="333"/>
    </row>
    <row r="12" spans="1:25">
      <c r="A12" s="30" t="s">
        <v>16</v>
      </c>
      <c r="B12" s="80"/>
      <c r="C12" s="80"/>
      <c r="D12" s="80"/>
      <c r="E12" s="80"/>
      <c r="F12" s="80"/>
      <c r="G12" s="80"/>
      <c r="H12" s="80"/>
      <c r="I12" s="80"/>
      <c r="J12" s="80">
        <v>0.35</v>
      </c>
      <c r="K12" s="80">
        <v>0.48</v>
      </c>
      <c r="L12" s="226">
        <v>0.31</v>
      </c>
      <c r="M12" s="324"/>
      <c r="N12" s="333"/>
    </row>
    <row r="13" spans="1:25">
      <c r="A13" s="30" t="s">
        <v>27</v>
      </c>
      <c r="B13" s="80"/>
      <c r="C13" s="80"/>
      <c r="D13" s="80"/>
      <c r="E13" s="80"/>
      <c r="F13" s="80"/>
      <c r="G13" s="80"/>
      <c r="H13" s="80"/>
      <c r="I13" s="80"/>
      <c r="J13" s="80">
        <v>0.06</v>
      </c>
      <c r="K13" s="80">
        <v>5.5E-2</v>
      </c>
      <c r="L13" s="226">
        <v>0.06</v>
      </c>
      <c r="M13" s="324"/>
      <c r="N13" s="333"/>
    </row>
    <row r="14" spans="1:25">
      <c r="A14" s="30" t="s">
        <v>144</v>
      </c>
      <c r="B14" s="80"/>
      <c r="C14" s="80"/>
      <c r="D14" s="80"/>
      <c r="E14" s="80"/>
      <c r="F14" s="80"/>
      <c r="G14" s="80"/>
      <c r="H14" s="80"/>
      <c r="I14" s="80"/>
      <c r="J14" s="80">
        <v>0</v>
      </c>
      <c r="K14" s="80">
        <v>0</v>
      </c>
      <c r="L14" s="80">
        <v>0</v>
      </c>
      <c r="M14" s="325"/>
      <c r="N14" s="334"/>
    </row>
    <row r="15" spans="1:25">
      <c r="A15" s="30" t="s">
        <v>7</v>
      </c>
      <c r="B15" s="80"/>
      <c r="C15" s="80"/>
      <c r="D15" s="80"/>
      <c r="E15" s="80"/>
      <c r="F15" s="80"/>
      <c r="G15" s="80"/>
      <c r="H15" s="80"/>
      <c r="I15" s="80"/>
      <c r="J15" s="80">
        <v>0</v>
      </c>
      <c r="K15" s="80">
        <v>0</v>
      </c>
      <c r="L15" s="80">
        <v>0</v>
      </c>
      <c r="M15" s="325"/>
      <c r="N15" s="334"/>
    </row>
    <row r="16" spans="1:25">
      <c r="A16" s="30" t="s">
        <v>355</v>
      </c>
      <c r="B16" s="80"/>
      <c r="C16" s="80"/>
      <c r="D16" s="80"/>
      <c r="E16" s="80"/>
      <c r="F16" s="80"/>
      <c r="G16" s="80"/>
      <c r="H16" s="80"/>
      <c r="I16" s="80"/>
      <c r="J16" s="80">
        <v>0</v>
      </c>
      <c r="K16" s="80">
        <v>0</v>
      </c>
      <c r="L16" s="226">
        <v>0</v>
      </c>
      <c r="M16" s="324"/>
      <c r="N16" s="333"/>
    </row>
    <row r="17" spans="1:24">
      <c r="A17" s="30" t="s">
        <v>354</v>
      </c>
      <c r="B17" s="80"/>
      <c r="C17" s="80"/>
      <c r="D17" s="80"/>
      <c r="E17" s="80"/>
      <c r="F17" s="80"/>
      <c r="G17" s="80"/>
      <c r="H17" s="80"/>
      <c r="I17" s="80"/>
      <c r="J17" s="80">
        <v>0.01</v>
      </c>
      <c r="K17" s="226">
        <v>0.01</v>
      </c>
      <c r="L17" s="80">
        <v>3.5000000000000003E-2</v>
      </c>
      <c r="M17" s="325"/>
      <c r="N17" s="334"/>
    </row>
    <row r="18" spans="1:24">
      <c r="A18" s="30" t="s">
        <v>26</v>
      </c>
      <c r="B18" s="80"/>
      <c r="C18" s="80"/>
      <c r="D18" s="80"/>
      <c r="E18" s="80"/>
      <c r="F18" s="80"/>
      <c r="G18" s="80"/>
      <c r="H18" s="80"/>
      <c r="I18" s="80"/>
      <c r="J18" s="80">
        <v>0</v>
      </c>
      <c r="K18" s="226">
        <v>0</v>
      </c>
      <c r="L18" s="226">
        <v>0</v>
      </c>
      <c r="M18" s="324"/>
      <c r="N18" s="333"/>
    </row>
    <row r="19" spans="1:24">
      <c r="A19" s="30" t="s">
        <v>25</v>
      </c>
      <c r="B19" s="80"/>
      <c r="C19" s="80"/>
      <c r="D19" s="80"/>
      <c r="E19" s="80"/>
      <c r="F19" s="80"/>
      <c r="G19" s="80"/>
      <c r="H19" s="80"/>
      <c r="I19" s="80"/>
      <c r="J19" s="80">
        <v>0.57999999999999996</v>
      </c>
      <c r="K19" s="226">
        <v>0.45500000000000002</v>
      </c>
      <c r="L19" s="226">
        <v>0.59499999999999997</v>
      </c>
      <c r="M19" s="324"/>
      <c r="N19" s="333"/>
    </row>
    <row r="20" spans="1:24">
      <c r="A20" s="30" t="s">
        <v>381</v>
      </c>
      <c r="B20" s="80"/>
      <c r="C20" s="80"/>
      <c r="D20" s="80"/>
      <c r="E20" s="80"/>
      <c r="F20" s="80"/>
      <c r="G20" s="80"/>
      <c r="H20" s="80"/>
      <c r="I20" s="80"/>
      <c r="J20" s="80">
        <v>0</v>
      </c>
      <c r="K20" s="226">
        <v>0</v>
      </c>
      <c r="L20" s="80">
        <v>0</v>
      </c>
      <c r="M20" s="325"/>
      <c r="N20" s="334"/>
    </row>
    <row r="21" spans="1:24">
      <c r="A21" s="74" t="s">
        <v>23</v>
      </c>
      <c r="B21" s="227">
        <f>SUM(B10:B20)</f>
        <v>0</v>
      </c>
      <c r="C21" s="227">
        <f t="shared" ref="C21:K21" si="0">SUM(C10:C20)</f>
        <v>0</v>
      </c>
      <c r="D21" s="227">
        <f t="shared" si="0"/>
        <v>0</v>
      </c>
      <c r="E21" s="227">
        <f t="shared" si="0"/>
        <v>0</v>
      </c>
      <c r="F21" s="227">
        <f t="shared" si="0"/>
        <v>0</v>
      </c>
      <c r="G21" s="227">
        <f t="shared" si="0"/>
        <v>0</v>
      </c>
      <c r="H21" s="227">
        <f t="shared" si="0"/>
        <v>0</v>
      </c>
      <c r="I21" s="227">
        <f t="shared" si="0"/>
        <v>0</v>
      </c>
      <c r="J21" s="227">
        <f t="shared" si="0"/>
        <v>1</v>
      </c>
      <c r="K21" s="227">
        <f t="shared" si="0"/>
        <v>1</v>
      </c>
      <c r="L21" s="261">
        <f>SUM(L11:L20)</f>
        <v>1</v>
      </c>
      <c r="M21" s="324"/>
      <c r="N21" s="333"/>
    </row>
    <row r="22" spans="1:24">
      <c r="A22" s="30" t="s">
        <v>146</v>
      </c>
      <c r="B22" s="226">
        <f t="shared" ref="B22" si="1">B14+B17+B18+B19+B20</f>
        <v>0</v>
      </c>
      <c r="C22" s="226">
        <f t="shared" ref="C22:D22" si="2">C14+C17+C18+C19+C20</f>
        <v>0</v>
      </c>
      <c r="D22" s="226">
        <f t="shared" si="2"/>
        <v>0</v>
      </c>
      <c r="E22" s="226">
        <f t="shared" ref="E22:H22" si="3">E14+E17+E18+E19+E20</f>
        <v>0</v>
      </c>
      <c r="F22" s="226">
        <f t="shared" si="3"/>
        <v>0</v>
      </c>
      <c r="G22" s="226">
        <f t="shared" si="3"/>
        <v>0</v>
      </c>
      <c r="H22" s="226">
        <f t="shared" si="3"/>
        <v>0</v>
      </c>
      <c r="I22" s="226">
        <f t="shared" ref="I22" si="4">I14+I17+I18+I19+I20</f>
        <v>0</v>
      </c>
      <c r="J22" s="226">
        <f>SUM(J13:J20)</f>
        <v>0.64999999999999991</v>
      </c>
      <c r="K22" s="226">
        <f t="shared" ref="K22:L22" si="5">SUM(K13:K20)</f>
        <v>0.52</v>
      </c>
      <c r="L22" s="226">
        <f t="shared" si="5"/>
        <v>0.69</v>
      </c>
      <c r="M22" s="324"/>
      <c r="N22" s="333"/>
    </row>
    <row r="23" spans="1:24">
      <c r="A23" s="453"/>
      <c r="B23" s="453"/>
      <c r="C23" s="453"/>
      <c r="D23" s="453"/>
      <c r="E23" s="453"/>
      <c r="F23" s="453"/>
      <c r="G23" s="453"/>
      <c r="H23" s="453"/>
      <c r="I23" s="453"/>
      <c r="J23" s="453"/>
      <c r="K23" s="453"/>
      <c r="L23" s="453"/>
      <c r="M23" s="326"/>
      <c r="N23" s="335"/>
    </row>
    <row r="25" spans="1:24">
      <c r="A25" s="447" t="s">
        <v>429</v>
      </c>
      <c r="B25" s="447"/>
      <c r="C25" s="447"/>
      <c r="D25" s="447"/>
      <c r="E25" s="447"/>
      <c r="F25" s="447"/>
      <c r="G25" s="447"/>
      <c r="H25" s="447"/>
      <c r="I25" s="447"/>
      <c r="P25" s="447" t="s">
        <v>431</v>
      </c>
      <c r="Q25" s="447"/>
      <c r="R25" s="447"/>
      <c r="S25" s="447"/>
      <c r="T25" s="447"/>
      <c r="U25" s="447"/>
      <c r="V25" s="447"/>
      <c r="W25" s="447"/>
      <c r="X25" s="447"/>
    </row>
    <row r="27" spans="1:24">
      <c r="A27" s="228"/>
      <c r="B27" s="228">
        <v>2015</v>
      </c>
      <c r="C27" s="228">
        <v>2020</v>
      </c>
      <c r="D27" s="228">
        <v>2025</v>
      </c>
      <c r="E27" s="228">
        <v>2030</v>
      </c>
      <c r="F27" s="228">
        <v>2035</v>
      </c>
      <c r="G27" s="228">
        <v>2040</v>
      </c>
      <c r="H27" s="228">
        <v>2045</v>
      </c>
      <c r="I27" s="228">
        <v>2050</v>
      </c>
      <c r="P27" s="228"/>
      <c r="Q27" s="228">
        <v>2015</v>
      </c>
      <c r="R27" s="228">
        <v>2020</v>
      </c>
      <c r="S27" s="228">
        <v>2025</v>
      </c>
      <c r="T27" s="228">
        <v>2030</v>
      </c>
      <c r="U27" s="228">
        <v>2035</v>
      </c>
      <c r="V27" s="228">
        <v>2040</v>
      </c>
      <c r="W27" s="228">
        <v>2045</v>
      </c>
      <c r="X27" s="228">
        <v>2050</v>
      </c>
    </row>
    <row r="28" spans="1:24" s="415" customFormat="1">
      <c r="A28" s="451" t="s">
        <v>492</v>
      </c>
      <c r="B28" s="451"/>
      <c r="C28" s="451"/>
      <c r="D28" s="451"/>
      <c r="E28" s="451"/>
      <c r="F28" s="451"/>
      <c r="G28" s="451"/>
      <c r="H28" s="451"/>
      <c r="I28" s="451"/>
      <c r="N28" s="329"/>
      <c r="P28" s="417"/>
      <c r="Q28" s="418"/>
      <c r="R28" s="418"/>
      <c r="S28" s="418"/>
      <c r="T28" s="418"/>
      <c r="U28" s="418"/>
      <c r="V28" s="418"/>
      <c r="W28" s="418"/>
      <c r="X28" s="419"/>
    </row>
    <row r="29" spans="1:24" s="415" customFormat="1">
      <c r="A29" s="228"/>
      <c r="B29" s="228"/>
      <c r="C29" s="228"/>
      <c r="D29" s="228">
        <f>-'Bilan d''énergie'!O77</f>
        <v>938.57193920840155</v>
      </c>
      <c r="E29" s="237">
        <f>-'Bilan d''énergie'!O118</f>
        <v>990.4970648313614</v>
      </c>
      <c r="F29" s="237">
        <f>-'Bilan d''énergie'!O159</f>
        <v>1118.241997967888</v>
      </c>
      <c r="G29" s="237">
        <f>-'Bilan d''énergie'!O200</f>
        <v>1254.9601598932991</v>
      </c>
      <c r="H29" s="237">
        <f>-'Bilan d''énergie'!O241</f>
        <v>1385.3513431047097</v>
      </c>
      <c r="I29" s="237">
        <f>-'Bilan d''énergie'!O282</f>
        <v>1502.3608393492809</v>
      </c>
      <c r="N29" s="329"/>
      <c r="P29" s="417"/>
      <c r="Q29" s="418"/>
      <c r="R29" s="418"/>
      <c r="S29" s="418"/>
      <c r="T29" s="418"/>
      <c r="U29" s="418"/>
      <c r="V29" s="418"/>
      <c r="W29" s="418"/>
      <c r="X29" s="419"/>
    </row>
    <row r="30" spans="1:24">
      <c r="A30" s="451" t="s">
        <v>149</v>
      </c>
      <c r="B30" s="451"/>
      <c r="C30" s="451"/>
      <c r="D30" s="451"/>
      <c r="E30" s="451"/>
      <c r="F30" s="451"/>
      <c r="G30" s="451"/>
      <c r="H30" s="451"/>
      <c r="I30" s="451"/>
      <c r="J30" s="76"/>
      <c r="K30" s="76"/>
      <c r="L30" s="76"/>
      <c r="M30" s="188"/>
      <c r="N30" s="336"/>
      <c r="P30" s="457" t="s">
        <v>149</v>
      </c>
      <c r="Q30" s="458"/>
      <c r="R30" s="458"/>
      <c r="S30" s="458"/>
      <c r="T30" s="458"/>
      <c r="U30" s="458"/>
      <c r="V30" s="458"/>
      <c r="W30" s="458"/>
      <c r="X30" s="459"/>
    </row>
    <row r="31" spans="1:24">
      <c r="A31" s="30" t="s">
        <v>143</v>
      </c>
      <c r="B31" s="228"/>
      <c r="C31" s="345">
        <f t="shared" ref="C31:C41" si="6">L10</f>
        <v>0</v>
      </c>
      <c r="D31" s="341">
        <v>0</v>
      </c>
      <c r="E31" s="341">
        <v>0</v>
      </c>
      <c r="F31" s="341">
        <v>0</v>
      </c>
      <c r="G31" s="341">
        <v>0</v>
      </c>
      <c r="H31" s="341">
        <v>0</v>
      </c>
      <c r="I31" s="341">
        <v>0</v>
      </c>
      <c r="J31" s="35"/>
      <c r="K31" s="35"/>
      <c r="L31" s="323"/>
      <c r="M31" s="323"/>
      <c r="N31" s="331"/>
      <c r="P31" s="30" t="s">
        <v>143</v>
      </c>
      <c r="Q31" s="228"/>
      <c r="R31" s="228"/>
      <c r="S31" s="228"/>
      <c r="T31" s="228"/>
      <c r="U31" s="228"/>
      <c r="V31" s="228"/>
      <c r="W31" s="228"/>
      <c r="X31" s="228"/>
    </row>
    <row r="32" spans="1:24">
      <c r="A32" s="30" t="s">
        <v>14</v>
      </c>
      <c r="B32" s="228"/>
      <c r="C32" s="345">
        <f t="shared" si="6"/>
        <v>0</v>
      </c>
      <c r="D32" s="341">
        <v>0</v>
      </c>
      <c r="E32" s="341">
        <v>0</v>
      </c>
      <c r="F32" s="341">
        <v>0</v>
      </c>
      <c r="G32" s="341">
        <v>0</v>
      </c>
      <c r="H32" s="341">
        <v>0</v>
      </c>
      <c r="I32" s="341">
        <v>0</v>
      </c>
      <c r="J32" s="35"/>
      <c r="K32" s="35"/>
      <c r="L32" s="323"/>
      <c r="M32" s="323"/>
      <c r="N32" s="331"/>
      <c r="P32" s="30" t="s">
        <v>14</v>
      </c>
      <c r="Q32" s="228"/>
      <c r="R32" s="228"/>
      <c r="S32" s="228"/>
      <c r="T32" s="228"/>
      <c r="U32" s="228"/>
      <c r="V32" s="228"/>
      <c r="W32" s="228"/>
      <c r="X32" s="228"/>
    </row>
    <row r="33" spans="1:24">
      <c r="A33" s="30" t="s">
        <v>16</v>
      </c>
      <c r="B33" s="228"/>
      <c r="C33" s="345">
        <f t="shared" si="6"/>
        <v>0.31</v>
      </c>
      <c r="D33" s="342">
        <v>0.02</v>
      </c>
      <c r="E33" s="342">
        <f t="shared" ref="E33:I34" si="7">D33</f>
        <v>0.02</v>
      </c>
      <c r="F33" s="342">
        <f t="shared" si="7"/>
        <v>0.02</v>
      </c>
      <c r="G33" s="342">
        <f t="shared" si="7"/>
        <v>0.02</v>
      </c>
      <c r="H33" s="342">
        <f t="shared" si="7"/>
        <v>0.02</v>
      </c>
      <c r="I33" s="342">
        <f t="shared" si="7"/>
        <v>0.02</v>
      </c>
      <c r="J33" s="35"/>
      <c r="K33" s="35"/>
      <c r="L33" s="323"/>
      <c r="M33" s="323"/>
      <c r="N33" s="331"/>
      <c r="P33" s="30" t="s">
        <v>16</v>
      </c>
      <c r="Q33" s="228"/>
      <c r="R33" s="228"/>
      <c r="S33" s="342">
        <v>0</v>
      </c>
      <c r="T33" s="342">
        <f t="shared" ref="T33:X34" si="8">S33</f>
        <v>0</v>
      </c>
      <c r="U33" s="342">
        <f t="shared" si="8"/>
        <v>0</v>
      </c>
      <c r="V33" s="342">
        <f t="shared" si="8"/>
        <v>0</v>
      </c>
      <c r="W33" s="342">
        <f t="shared" si="8"/>
        <v>0</v>
      </c>
      <c r="X33" s="342">
        <f t="shared" si="8"/>
        <v>0</v>
      </c>
    </row>
    <row r="34" spans="1:24">
      <c r="A34" s="30" t="s">
        <v>27</v>
      </c>
      <c r="B34" s="228"/>
      <c r="C34" s="345">
        <f t="shared" si="6"/>
        <v>0.06</v>
      </c>
      <c r="D34" s="342">
        <v>0.12</v>
      </c>
      <c r="E34" s="342">
        <f t="shared" si="7"/>
        <v>0.12</v>
      </c>
      <c r="F34" s="342">
        <f t="shared" si="7"/>
        <v>0.12</v>
      </c>
      <c r="G34" s="342">
        <f t="shared" si="7"/>
        <v>0.12</v>
      </c>
      <c r="H34" s="342">
        <f t="shared" si="7"/>
        <v>0.12</v>
      </c>
      <c r="I34" s="342">
        <f t="shared" si="7"/>
        <v>0.12</v>
      </c>
      <c r="J34" s="35"/>
      <c r="K34" s="35"/>
      <c r="L34" s="35"/>
      <c r="M34" s="163"/>
      <c r="N34" s="331"/>
      <c r="P34" s="30" t="s">
        <v>27</v>
      </c>
      <c r="Q34" s="228"/>
      <c r="R34" s="228"/>
      <c r="S34" s="342">
        <v>0.08</v>
      </c>
      <c r="T34" s="342">
        <f t="shared" si="8"/>
        <v>0.08</v>
      </c>
      <c r="U34" s="342">
        <f t="shared" si="8"/>
        <v>0.08</v>
      </c>
      <c r="V34" s="342">
        <f t="shared" si="8"/>
        <v>0.08</v>
      </c>
      <c r="W34" s="342">
        <f t="shared" si="8"/>
        <v>0.08</v>
      </c>
      <c r="X34" s="342">
        <f t="shared" si="8"/>
        <v>0.08</v>
      </c>
    </row>
    <row r="35" spans="1:24">
      <c r="A35" s="30" t="s">
        <v>144</v>
      </c>
      <c r="B35" s="228"/>
      <c r="C35" s="345">
        <f t="shared" si="6"/>
        <v>0</v>
      </c>
      <c r="D35" s="341">
        <v>0</v>
      </c>
      <c r="E35" s="341">
        <v>0</v>
      </c>
      <c r="F35" s="341">
        <v>0</v>
      </c>
      <c r="G35" s="341">
        <v>0</v>
      </c>
      <c r="H35" s="341">
        <v>0</v>
      </c>
      <c r="I35" s="341">
        <v>0</v>
      </c>
      <c r="J35" s="79"/>
      <c r="K35" s="35"/>
      <c r="L35" s="35"/>
      <c r="M35" s="163"/>
      <c r="N35" s="331"/>
      <c r="P35" s="30" t="s">
        <v>144</v>
      </c>
      <c r="Q35" s="228"/>
      <c r="R35" s="228"/>
      <c r="S35" s="228"/>
      <c r="T35" s="342"/>
      <c r="U35" s="342"/>
      <c r="V35" s="342"/>
      <c r="W35" s="342"/>
      <c r="X35" s="342"/>
    </row>
    <row r="36" spans="1:24">
      <c r="A36" s="30" t="s">
        <v>7</v>
      </c>
      <c r="B36" s="228"/>
      <c r="C36" s="345">
        <f t="shared" si="6"/>
        <v>0</v>
      </c>
      <c r="D36" s="341">
        <v>0</v>
      </c>
      <c r="E36" s="341">
        <v>0</v>
      </c>
      <c r="F36" s="341">
        <v>0</v>
      </c>
      <c r="G36" s="341">
        <v>0</v>
      </c>
      <c r="H36" s="341">
        <v>0</v>
      </c>
      <c r="I36" s="341">
        <v>0</v>
      </c>
      <c r="J36" s="151"/>
      <c r="K36" s="163"/>
      <c r="L36" s="163"/>
      <c r="M36" s="163"/>
      <c r="N36" s="331"/>
      <c r="P36" s="30" t="s">
        <v>7</v>
      </c>
      <c r="Q36" s="228"/>
      <c r="R36" s="228"/>
      <c r="S36" s="228"/>
      <c r="T36" s="342"/>
      <c r="U36" s="342"/>
      <c r="V36" s="342"/>
      <c r="W36" s="342"/>
      <c r="X36" s="342"/>
    </row>
    <row r="37" spans="1:24">
      <c r="A37" s="30" t="s">
        <v>355</v>
      </c>
      <c r="B37" s="228"/>
      <c r="C37" s="345">
        <f t="shared" si="6"/>
        <v>0</v>
      </c>
      <c r="D37" s="343">
        <f>31%*(1-32*0.873/111/0.9)</f>
        <v>0.22331171171171171</v>
      </c>
      <c r="E37" s="341">
        <f>(1-(SUM(E31:E36)+E39+E40+E41))*$D$37/($D$37+$D$38)</f>
        <v>0.24408172905298911</v>
      </c>
      <c r="F37" s="341">
        <f t="shared" ref="F37:I37" si="9">(1-(SUM(F31:F36)+F39+F40+F41))*$D$37/($D$37+$D$38)</f>
        <v>0.27256241905254769</v>
      </c>
      <c r="G37" s="341">
        <f t="shared" si="9"/>
        <v>0.30957487671867573</v>
      </c>
      <c r="H37" s="341">
        <f t="shared" si="9"/>
        <v>0.33806837729936517</v>
      </c>
      <c r="I37" s="341">
        <f t="shared" si="9"/>
        <v>0.35942705564334759</v>
      </c>
      <c r="J37" s="151"/>
      <c r="K37" s="163"/>
      <c r="L37" s="163"/>
      <c r="M37" s="163"/>
      <c r="N37" s="331"/>
      <c r="P37" s="30" t="s">
        <v>355</v>
      </c>
      <c r="Q37" s="228"/>
      <c r="R37" s="228"/>
      <c r="S37" s="228"/>
      <c r="T37" s="342"/>
      <c r="U37" s="342"/>
      <c r="V37" s="342"/>
      <c r="W37" s="342"/>
      <c r="X37" s="342"/>
    </row>
    <row r="38" spans="1:24">
      <c r="A38" s="30" t="s">
        <v>354</v>
      </c>
      <c r="B38" s="228"/>
      <c r="C38" s="345">
        <f t="shared" si="6"/>
        <v>3.5000000000000003E-2</v>
      </c>
      <c r="D38" s="342">
        <f>31%*32*0.873/111/0.9</f>
        <v>8.6688288288288284E-2</v>
      </c>
      <c r="E38" s="342">
        <f>(1-(SUM(E31:E36)+E39+E40+E41))*$D$38/($D$37+$D$38)</f>
        <v>9.4751086415767655E-2</v>
      </c>
      <c r="F38" s="342">
        <f t="shared" ref="F38:I38" si="10">(1-(SUM(F31:F36)+F39+F40+F41))*$D$38/($D$37+$D$38)</f>
        <v>0.10580712215346524</v>
      </c>
      <c r="G38" s="342">
        <f t="shared" si="10"/>
        <v>0.12017513973671452</v>
      </c>
      <c r="H38" s="342">
        <f t="shared" si="10"/>
        <v>0.1312361484663869</v>
      </c>
      <c r="I38" s="342">
        <f t="shared" si="10"/>
        <v>0.13952746132027899</v>
      </c>
      <c r="J38" s="35"/>
      <c r="K38" s="35"/>
      <c r="L38" s="35"/>
      <c r="M38" s="163"/>
      <c r="N38" s="331"/>
      <c r="P38" s="30" t="s">
        <v>354</v>
      </c>
      <c r="Q38" s="228"/>
      <c r="R38" s="228"/>
      <c r="S38" s="342">
        <v>0.37</v>
      </c>
      <c r="T38" s="342">
        <f>S38</f>
        <v>0.37</v>
      </c>
      <c r="U38" s="342">
        <f>T38</f>
        <v>0.37</v>
      </c>
      <c r="V38" s="342">
        <f>U38</f>
        <v>0.37</v>
      </c>
      <c r="W38" s="342">
        <f>V38</f>
        <v>0.37</v>
      </c>
      <c r="X38" s="342">
        <f>W38</f>
        <v>0.37</v>
      </c>
    </row>
    <row r="39" spans="1:24">
      <c r="A39" s="30" t="s">
        <v>26</v>
      </c>
      <c r="B39" s="228"/>
      <c r="C39" s="345">
        <f t="shared" si="6"/>
        <v>0</v>
      </c>
      <c r="D39" s="341">
        <v>0</v>
      </c>
      <c r="E39" s="341">
        <v>0</v>
      </c>
      <c r="F39" s="342">
        <v>0.01</v>
      </c>
      <c r="G39" s="342">
        <f>F39</f>
        <v>0.01</v>
      </c>
      <c r="H39" s="342">
        <f t="shared" ref="H39:I39" si="11">G39</f>
        <v>0.01</v>
      </c>
      <c r="I39" s="342">
        <f t="shared" si="11"/>
        <v>0.01</v>
      </c>
      <c r="J39" s="79"/>
      <c r="K39" s="35"/>
      <c r="L39" s="35"/>
      <c r="M39" s="163"/>
      <c r="N39" s="331"/>
      <c r="P39" s="30" t="s">
        <v>26</v>
      </c>
      <c r="Q39" s="228"/>
      <c r="R39" s="228"/>
      <c r="S39" s="228"/>
      <c r="T39" s="342"/>
      <c r="U39" s="342"/>
      <c r="V39" s="342"/>
      <c r="W39" s="342"/>
      <c r="X39" s="342"/>
    </row>
    <row r="40" spans="1:24">
      <c r="A40" s="30" t="s">
        <v>25</v>
      </c>
      <c r="B40" s="228"/>
      <c r="C40" s="345">
        <f t="shared" si="6"/>
        <v>0.59499999999999997</v>
      </c>
      <c r="D40" s="342">
        <v>0.55000000000000004</v>
      </c>
      <c r="E40" s="342">
        <f>$D$40*$D$29/E29</f>
        <v>0.52116718453124322</v>
      </c>
      <c r="F40" s="342">
        <f t="shared" ref="F40:I40" si="12">$D$40*$D$29/F29</f>
        <v>0.46163045879398706</v>
      </c>
      <c r="G40" s="342">
        <f t="shared" si="12"/>
        <v>0.4113394058728615</v>
      </c>
      <c r="H40" s="342">
        <f t="shared" si="12"/>
        <v>0.3726235724489449</v>
      </c>
      <c r="I40" s="342">
        <f t="shared" si="12"/>
        <v>0.34360225123293908</v>
      </c>
      <c r="J40" s="35"/>
      <c r="K40" s="35"/>
      <c r="L40" s="35"/>
      <c r="M40" s="163"/>
      <c r="N40" s="331"/>
      <c r="P40" s="30" t="s">
        <v>25</v>
      </c>
      <c r="Q40" s="228"/>
      <c r="R40" s="228"/>
      <c r="S40" s="342">
        <v>0.55000000000000004</v>
      </c>
      <c r="T40" s="342">
        <f>S40</f>
        <v>0.55000000000000004</v>
      </c>
      <c r="U40" s="342">
        <f>T40</f>
        <v>0.55000000000000004</v>
      </c>
      <c r="V40" s="342">
        <f>U40</f>
        <v>0.55000000000000004</v>
      </c>
      <c r="W40" s="342">
        <f>V40</f>
        <v>0.55000000000000004</v>
      </c>
      <c r="X40" s="342">
        <f>W40</f>
        <v>0.55000000000000004</v>
      </c>
    </row>
    <row r="41" spans="1:24">
      <c r="A41" s="30" t="s">
        <v>381</v>
      </c>
      <c r="B41" s="228"/>
      <c r="C41" s="345">
        <f t="shared" si="6"/>
        <v>0</v>
      </c>
      <c r="D41" s="344">
        <v>0</v>
      </c>
      <c r="E41" s="344">
        <v>0</v>
      </c>
      <c r="F41" s="344">
        <v>0.01</v>
      </c>
      <c r="G41" s="344">
        <f>$F$41*$F$29/G29</f>
        <v>8.9105776717482779E-3</v>
      </c>
      <c r="H41" s="344">
        <f t="shared" ref="H41:I41" si="13">$F$41*$F$29/H29</f>
        <v>8.0719017853030459E-3</v>
      </c>
      <c r="I41" s="344">
        <f t="shared" si="13"/>
        <v>7.4432318034343414E-3</v>
      </c>
      <c r="J41" s="79"/>
      <c r="K41" s="35"/>
      <c r="L41" s="35"/>
      <c r="M41" s="163"/>
      <c r="N41" s="331"/>
      <c r="P41" s="30" t="s">
        <v>381</v>
      </c>
      <c r="Q41" s="228"/>
      <c r="R41" s="228"/>
      <c r="S41" s="351"/>
      <c r="T41" s="351"/>
      <c r="U41" s="351"/>
      <c r="V41" s="351"/>
      <c r="W41" s="351"/>
      <c r="X41" s="351"/>
    </row>
    <row r="42" spans="1:24">
      <c r="A42" s="74" t="s">
        <v>23</v>
      </c>
      <c r="B42" s="74"/>
      <c r="C42" s="350">
        <f>SUM(C31:C41)</f>
        <v>1</v>
      </c>
      <c r="D42" s="84">
        <f>SUM(D32:D41)</f>
        <v>1</v>
      </c>
      <c r="E42" s="84">
        <f>SUM(E32:E41)</f>
        <v>1</v>
      </c>
      <c r="F42" s="227">
        <f>SUM(F31:F41)</f>
        <v>1</v>
      </c>
      <c r="G42" s="227">
        <f t="shared" ref="G42:I42" si="14">SUM(G31:G41)</f>
        <v>1</v>
      </c>
      <c r="H42" s="227">
        <f t="shared" si="14"/>
        <v>1</v>
      </c>
      <c r="I42" s="227">
        <f t="shared" si="14"/>
        <v>1</v>
      </c>
      <c r="J42" s="35"/>
      <c r="K42" s="35"/>
      <c r="L42" s="35"/>
      <c r="M42" s="163"/>
      <c r="N42" s="331"/>
      <c r="P42" s="352" t="s">
        <v>23</v>
      </c>
      <c r="Q42" s="352"/>
      <c r="R42" s="352"/>
      <c r="S42" s="353">
        <f>SUM(S31:S41)</f>
        <v>1</v>
      </c>
      <c r="T42" s="353">
        <f t="shared" ref="T42:X42" si="15">SUM(T31:T41)</f>
        <v>1</v>
      </c>
      <c r="U42" s="353">
        <f t="shared" si="15"/>
        <v>1</v>
      </c>
      <c r="V42" s="353">
        <f t="shared" si="15"/>
        <v>1</v>
      </c>
      <c r="W42" s="353">
        <f t="shared" si="15"/>
        <v>1</v>
      </c>
      <c r="X42" s="353">
        <f t="shared" si="15"/>
        <v>1</v>
      </c>
    </row>
    <row r="43" spans="1:24">
      <c r="A43" s="30" t="s">
        <v>146</v>
      </c>
      <c r="B43" s="30"/>
      <c r="C43" s="349">
        <f>SUM(C34:C41)</f>
        <v>0.69</v>
      </c>
      <c r="D43" s="78">
        <f>1-(D32+D33)/SUM(D34:D41)</f>
        <v>0.97959183673469385</v>
      </c>
      <c r="E43" s="140">
        <f t="shared" ref="E43:I43" si="16">1-(E32+E33)/SUM(E34:E41)</f>
        <v>0.97959183673469385</v>
      </c>
      <c r="F43" s="140">
        <f t="shared" si="16"/>
        <v>0.97959183673469385</v>
      </c>
      <c r="G43" s="140">
        <f t="shared" si="16"/>
        <v>0.97959183673469385</v>
      </c>
      <c r="H43" s="140">
        <f t="shared" si="16"/>
        <v>0.97959183673469385</v>
      </c>
      <c r="I43" s="140">
        <f t="shared" si="16"/>
        <v>0.97959183673469385</v>
      </c>
      <c r="J43" s="35"/>
      <c r="K43" s="35"/>
      <c r="L43" s="35"/>
      <c r="M43" s="163"/>
      <c r="N43" s="331"/>
      <c r="P43" s="228" t="s">
        <v>146</v>
      </c>
      <c r="Q43" s="228"/>
      <c r="R43" s="228"/>
      <c r="S43" s="228"/>
      <c r="T43" s="228"/>
      <c r="U43" s="228"/>
      <c r="V43" s="228"/>
      <c r="W43" s="228"/>
      <c r="X43" s="228"/>
    </row>
    <row r="44" spans="1:24" s="327" customFormat="1" ht="31.2" customHeight="1">
      <c r="A44" s="462" t="s">
        <v>493</v>
      </c>
      <c r="B44" s="462"/>
      <c r="C44" s="462"/>
      <c r="D44" s="462"/>
      <c r="E44" s="462"/>
      <c r="F44" s="462"/>
      <c r="G44" s="462"/>
      <c r="H44" s="462"/>
      <c r="I44" s="462"/>
      <c r="N44" s="329"/>
    </row>
    <row r="46" spans="1:24">
      <c r="A46" s="447" t="s">
        <v>430</v>
      </c>
      <c r="B46" s="447"/>
      <c r="C46" s="447"/>
      <c r="D46" s="447"/>
      <c r="E46" s="447"/>
      <c r="F46" s="447"/>
      <c r="G46" s="447"/>
      <c r="H46" s="447"/>
      <c r="I46" s="447"/>
      <c r="P46" s="461" t="s">
        <v>432</v>
      </c>
      <c r="Q46" s="461"/>
      <c r="R46" s="461"/>
      <c r="S46" s="461"/>
      <c r="T46" s="461"/>
      <c r="U46" s="461"/>
      <c r="V46" s="461"/>
      <c r="W46" s="461"/>
      <c r="X46" s="461"/>
    </row>
    <row r="47" spans="1:24">
      <c r="P47" s="354"/>
      <c r="Q47" s="354"/>
      <c r="R47" s="354"/>
      <c r="S47" s="354"/>
      <c r="T47" s="354"/>
      <c r="U47" s="354"/>
      <c r="V47" s="354"/>
      <c r="W47" s="354"/>
      <c r="X47" s="354"/>
    </row>
    <row r="48" spans="1:24">
      <c r="A48" s="228"/>
      <c r="B48" s="228">
        <v>2015</v>
      </c>
      <c r="C48" s="228">
        <v>2020</v>
      </c>
      <c r="D48" s="228">
        <v>2025</v>
      </c>
      <c r="E48" s="228">
        <v>2030</v>
      </c>
      <c r="F48" s="228">
        <v>2035</v>
      </c>
      <c r="G48" s="228">
        <v>2040</v>
      </c>
      <c r="H48" s="228">
        <v>2045</v>
      </c>
      <c r="I48" s="228">
        <v>2050</v>
      </c>
      <c r="L48" s="327"/>
      <c r="M48" s="327"/>
      <c r="P48" s="228"/>
      <c r="Q48" s="228">
        <v>2015</v>
      </c>
      <c r="R48" s="228">
        <v>2020</v>
      </c>
      <c r="S48" s="228">
        <v>2025</v>
      </c>
      <c r="T48" s="228">
        <v>2030</v>
      </c>
      <c r="U48" s="228">
        <v>2035</v>
      </c>
      <c r="V48" s="228">
        <v>2040</v>
      </c>
      <c r="W48" s="228">
        <v>2045</v>
      </c>
      <c r="X48" s="228">
        <v>2050</v>
      </c>
    </row>
    <row r="49" spans="1:24" s="415" customFormat="1">
      <c r="A49" s="451" t="s">
        <v>492</v>
      </c>
      <c r="B49" s="451"/>
      <c r="C49" s="451"/>
      <c r="D49" s="451"/>
      <c r="E49" s="451"/>
      <c r="F49" s="451"/>
      <c r="G49" s="451"/>
      <c r="H49" s="451"/>
      <c r="I49" s="451"/>
      <c r="L49" s="327"/>
      <c r="M49" s="327"/>
      <c r="N49" s="329"/>
      <c r="P49" s="228"/>
      <c r="Q49" s="228"/>
      <c r="R49" s="228"/>
      <c r="S49" s="228"/>
      <c r="T49" s="228"/>
      <c r="U49" s="228"/>
      <c r="V49" s="228"/>
      <c r="W49" s="228"/>
      <c r="X49" s="228"/>
    </row>
    <row r="50" spans="1:24" s="415" customFormat="1">
      <c r="A50" s="228"/>
      <c r="B50" s="228"/>
      <c r="C50" s="228"/>
      <c r="D50" s="228">
        <f>-'Bilan d''énergie'!AI77</f>
        <v>867.46273066114213</v>
      </c>
      <c r="E50" s="228">
        <f>-'Bilan d''énergie'!AI118</f>
        <v>877.47005876057665</v>
      </c>
      <c r="F50" s="228">
        <f>-'Bilan d''énergie'!AI159</f>
        <v>983.72243529936509</v>
      </c>
      <c r="G50" s="228">
        <f>-'Bilan d''énergie'!AI200</f>
        <v>1109.2996985837269</v>
      </c>
      <c r="H50" s="228">
        <f>-'Bilan d''énergie'!AI241</f>
        <v>1242.8295132622607</v>
      </c>
      <c r="I50" s="228">
        <f>-'Bilan d''énergie'!AI282</f>
        <v>1337.9083650286086</v>
      </c>
      <c r="L50" s="327"/>
      <c r="M50" s="327"/>
      <c r="N50" s="329"/>
      <c r="P50" s="228"/>
      <c r="Q50" s="228"/>
      <c r="R50" s="228"/>
      <c r="S50" s="228"/>
      <c r="T50" s="228"/>
      <c r="U50" s="228"/>
      <c r="V50" s="228"/>
      <c r="W50" s="228"/>
      <c r="X50" s="228"/>
    </row>
    <row r="51" spans="1:24">
      <c r="A51" s="451" t="s">
        <v>149</v>
      </c>
      <c r="B51" s="451"/>
      <c r="C51" s="451"/>
      <c r="D51" s="451"/>
      <c r="E51" s="451"/>
      <c r="F51" s="451"/>
      <c r="G51" s="451"/>
      <c r="H51" s="451"/>
      <c r="I51" s="451"/>
      <c r="L51" s="328"/>
      <c r="M51" s="328"/>
      <c r="N51" s="337"/>
      <c r="P51" s="460" t="s">
        <v>149</v>
      </c>
      <c r="Q51" s="460"/>
      <c r="R51" s="460"/>
      <c r="S51" s="460"/>
      <c r="T51" s="460"/>
      <c r="U51" s="460"/>
      <c r="V51" s="460"/>
      <c r="W51" s="460"/>
      <c r="X51" s="460"/>
    </row>
    <row r="52" spans="1:24">
      <c r="A52" s="30" t="s">
        <v>143</v>
      </c>
      <c r="B52" s="228"/>
      <c r="C52" s="228"/>
      <c r="D52" s="228"/>
      <c r="E52" s="228"/>
      <c r="F52" s="228"/>
      <c r="G52" s="228"/>
      <c r="H52" s="228"/>
      <c r="I52" s="228"/>
      <c r="L52" s="327"/>
      <c r="M52" s="327"/>
      <c r="P52" s="30" t="s">
        <v>143</v>
      </c>
      <c r="Q52" s="228"/>
      <c r="R52" s="228"/>
      <c r="S52" s="228"/>
      <c r="T52" s="228"/>
      <c r="U52" s="228"/>
      <c r="V52" s="228"/>
      <c r="W52" s="228"/>
      <c r="X52" s="228"/>
    </row>
    <row r="53" spans="1:24">
      <c r="A53" s="30" t="s">
        <v>14</v>
      </c>
      <c r="B53" s="228"/>
      <c r="C53" s="228"/>
      <c r="D53" s="228"/>
      <c r="E53" s="228"/>
      <c r="F53" s="228"/>
      <c r="G53" s="228"/>
      <c r="H53" s="228"/>
      <c r="I53" s="228"/>
      <c r="P53" s="30" t="s">
        <v>14</v>
      </c>
      <c r="Q53" s="228"/>
      <c r="R53" s="228"/>
      <c r="S53" s="228"/>
      <c r="T53" s="228"/>
      <c r="U53" s="228"/>
      <c r="V53" s="228"/>
      <c r="W53" s="228"/>
      <c r="X53" s="228"/>
    </row>
    <row r="54" spans="1:24">
      <c r="A54" s="30" t="s">
        <v>16</v>
      </c>
      <c r="B54" s="228"/>
      <c r="C54" s="228"/>
      <c r="D54" s="342">
        <v>0.02</v>
      </c>
      <c r="E54" s="342">
        <v>0.01</v>
      </c>
      <c r="F54" s="342">
        <v>0</v>
      </c>
      <c r="G54" s="342">
        <f t="shared" ref="G54:I54" si="17">F54</f>
        <v>0</v>
      </c>
      <c r="H54" s="342">
        <f t="shared" si="17"/>
        <v>0</v>
      </c>
      <c r="I54" s="342">
        <f t="shared" si="17"/>
        <v>0</v>
      </c>
      <c r="P54" s="30" t="s">
        <v>16</v>
      </c>
      <c r="Q54" s="228"/>
      <c r="R54" s="228"/>
      <c r="S54" s="342">
        <v>0</v>
      </c>
      <c r="T54" s="342">
        <v>0</v>
      </c>
      <c r="U54" s="346">
        <v>0</v>
      </c>
      <c r="V54" s="346">
        <v>0</v>
      </c>
      <c r="W54" s="346">
        <v>0</v>
      </c>
      <c r="X54" s="342">
        <v>0</v>
      </c>
    </row>
    <row r="55" spans="1:24">
      <c r="A55" s="30" t="s">
        <v>27</v>
      </c>
      <c r="B55" s="228"/>
      <c r="C55" s="228"/>
      <c r="D55" s="342">
        <v>0.12</v>
      </c>
      <c r="E55" s="342">
        <f t="shared" ref="E55:I62" si="18">D55</f>
        <v>0.12</v>
      </c>
      <c r="F55" s="342">
        <f t="shared" si="18"/>
        <v>0.12</v>
      </c>
      <c r="G55" s="342">
        <v>0.14000000000000001</v>
      </c>
      <c r="H55" s="342">
        <v>0.16</v>
      </c>
      <c r="I55" s="342">
        <v>0.18</v>
      </c>
      <c r="P55" s="30" t="s">
        <v>27</v>
      </c>
      <c r="Q55" s="228"/>
      <c r="R55" s="228"/>
      <c r="S55" s="342">
        <v>0.08</v>
      </c>
      <c r="T55" s="342">
        <v>0.1</v>
      </c>
      <c r="U55" s="346">
        <v>0.12</v>
      </c>
      <c r="V55" s="346">
        <v>0.14000000000000001</v>
      </c>
      <c r="W55" s="346">
        <v>0.16</v>
      </c>
      <c r="X55" s="342">
        <v>0.18</v>
      </c>
    </row>
    <row r="56" spans="1:24">
      <c r="A56" s="30" t="s">
        <v>144</v>
      </c>
      <c r="B56" s="228"/>
      <c r="C56" s="228"/>
      <c r="D56" s="346">
        <v>0</v>
      </c>
      <c r="E56" s="342">
        <f t="shared" si="18"/>
        <v>0</v>
      </c>
      <c r="F56" s="342">
        <f t="shared" si="18"/>
        <v>0</v>
      </c>
      <c r="G56" s="342">
        <f t="shared" si="18"/>
        <v>0</v>
      </c>
      <c r="H56" s="342">
        <f t="shared" si="18"/>
        <v>0</v>
      </c>
      <c r="I56" s="342">
        <f t="shared" si="18"/>
        <v>0</v>
      </c>
      <c r="P56" s="30" t="s">
        <v>144</v>
      </c>
      <c r="Q56" s="228"/>
      <c r="R56" s="228"/>
      <c r="S56" s="346">
        <v>0</v>
      </c>
      <c r="T56" s="346">
        <v>0</v>
      </c>
      <c r="U56" s="346">
        <v>0</v>
      </c>
      <c r="V56" s="346">
        <v>0</v>
      </c>
      <c r="W56" s="346">
        <v>0</v>
      </c>
      <c r="X56" s="346">
        <v>0</v>
      </c>
    </row>
    <row r="57" spans="1:24">
      <c r="A57" s="30" t="s">
        <v>7</v>
      </c>
      <c r="B57" s="228"/>
      <c r="C57" s="228"/>
      <c r="D57" s="341">
        <v>0</v>
      </c>
      <c r="E57" s="342">
        <f t="shared" si="18"/>
        <v>0</v>
      </c>
      <c r="F57" s="342">
        <f t="shared" si="18"/>
        <v>0</v>
      </c>
      <c r="G57" s="342">
        <f t="shared" si="18"/>
        <v>0</v>
      </c>
      <c r="H57" s="342">
        <f t="shared" si="18"/>
        <v>0</v>
      </c>
      <c r="I57" s="342">
        <f t="shared" si="18"/>
        <v>0</v>
      </c>
      <c r="P57" s="30" t="s">
        <v>7</v>
      </c>
      <c r="Q57" s="228"/>
      <c r="R57" s="228"/>
      <c r="S57" s="341">
        <v>0</v>
      </c>
      <c r="T57" s="341">
        <v>0</v>
      </c>
      <c r="U57" s="341">
        <v>0</v>
      </c>
      <c r="V57" s="341">
        <v>0</v>
      </c>
      <c r="W57" s="341">
        <v>0</v>
      </c>
      <c r="X57" s="341">
        <v>0</v>
      </c>
    </row>
    <row r="58" spans="1:24">
      <c r="A58" s="30" t="s">
        <v>355</v>
      </c>
      <c r="B58" s="228"/>
      <c r="C58" s="228"/>
      <c r="D58" s="341">
        <f>31%*(1-32*0.873/111/0.9)</f>
        <v>0.22331171171171171</v>
      </c>
      <c r="E58" s="342">
        <f>32%*(1-32*0.873/111/0.9)</f>
        <v>0.2305153153153153</v>
      </c>
      <c r="F58" s="342">
        <f>(1-SUM(F54:F57)-F60-F61-F62)*(1-52*0.873/111/0.9)</f>
        <v>0.20459508224201428</v>
      </c>
      <c r="G58" s="342">
        <f>(1-SUM(G54:G57)-G60-G61-G62)*(1-52*0.873/111/0.9)</f>
        <v>0.22425576268443473</v>
      </c>
      <c r="H58" s="342">
        <f>(1-SUM(H54:H57)-H60-H61-H62)*(1-52*0.873/111/0.9)</f>
        <v>0.23907511065649004</v>
      </c>
      <c r="I58" s="342">
        <f>(1-SUM(I54:I57)-I60-I61-I62)*(1-52*0.873/111/0.9)</f>
        <v>0.24335438202616796</v>
      </c>
      <c r="P58" s="30" t="s">
        <v>355</v>
      </c>
      <c r="Q58" s="228"/>
      <c r="R58" s="228"/>
      <c r="S58" s="341">
        <v>0</v>
      </c>
      <c r="T58" s="341">
        <v>0</v>
      </c>
      <c r="U58" s="341">
        <v>0</v>
      </c>
      <c r="V58" s="341">
        <v>0</v>
      </c>
      <c r="W58" s="341">
        <v>0</v>
      </c>
      <c r="X58" s="341">
        <v>0</v>
      </c>
    </row>
    <row r="59" spans="1:24">
      <c r="A59" s="30" t="s">
        <v>354</v>
      </c>
      <c r="B59" s="228"/>
      <c r="C59" s="228"/>
      <c r="D59" s="342">
        <f>31%*32*0.873/111/0.9</f>
        <v>8.6688288288288284E-2</v>
      </c>
      <c r="E59" s="342">
        <f>32%*32*0.873/111/0.9</f>
        <v>8.9484684684684693E-2</v>
      </c>
      <c r="F59" s="342">
        <f>(1-SUM(F54:F57)-F60-F61-F62)*52*0.873/111/0.9</f>
        <v>0.1704058115635271</v>
      </c>
      <c r="G59" s="342">
        <f>(1-SUM(G54:G57)-G60-G61-G62)*52*0.873/111/0.9</f>
        <v>0.18678105465328415</v>
      </c>
      <c r="H59" s="342">
        <f>(1-SUM(H54:H57)-H60-H61-H62)*52*0.873/111/0.9</f>
        <v>0.19912398582419677</v>
      </c>
      <c r="I59" s="342">
        <f>(1-SUM(I54:I57)-I60-I61-I62)*52*0.873/111/0.9</f>
        <v>0.20268816098744902</v>
      </c>
      <c r="P59" s="30" t="s">
        <v>354</v>
      </c>
      <c r="Q59" s="228"/>
      <c r="R59" s="228"/>
      <c r="S59" s="342">
        <v>0.37</v>
      </c>
      <c r="T59" s="342">
        <v>0.37</v>
      </c>
      <c r="U59" s="346">
        <v>0.35749999999999998</v>
      </c>
      <c r="V59" s="346">
        <v>0.34499999999999997</v>
      </c>
      <c r="W59" s="346">
        <v>0.33250000000000002</v>
      </c>
      <c r="X59" s="342">
        <v>0.32</v>
      </c>
    </row>
    <row r="60" spans="1:24">
      <c r="A60" s="30" t="s">
        <v>26</v>
      </c>
      <c r="B60" s="228"/>
      <c r="C60" s="228"/>
      <c r="D60" s="341">
        <v>0</v>
      </c>
      <c r="E60" s="342">
        <f t="shared" si="18"/>
        <v>0</v>
      </c>
      <c r="F60" s="342">
        <v>0.01</v>
      </c>
      <c r="G60" s="342">
        <f t="shared" si="18"/>
        <v>0.01</v>
      </c>
      <c r="H60" s="342">
        <f t="shared" si="18"/>
        <v>0.01</v>
      </c>
      <c r="I60" s="342">
        <f t="shared" si="18"/>
        <v>0.01</v>
      </c>
      <c r="L60" s="83"/>
      <c r="M60" s="83"/>
      <c r="N60" s="338"/>
      <c r="P60" s="30" t="s">
        <v>26</v>
      </c>
      <c r="Q60" s="228"/>
      <c r="R60" s="228"/>
      <c r="S60" s="341">
        <v>0</v>
      </c>
      <c r="T60" s="228"/>
      <c r="U60" s="346">
        <v>0</v>
      </c>
      <c r="V60" s="346">
        <v>0</v>
      </c>
      <c r="W60" s="346">
        <v>0</v>
      </c>
      <c r="X60" s="228"/>
    </row>
    <row r="61" spans="1:24">
      <c r="A61" s="30" t="s">
        <v>25</v>
      </c>
      <c r="B61" s="228"/>
      <c r="C61" s="228"/>
      <c r="D61" s="342">
        <v>0.55000000000000004</v>
      </c>
      <c r="E61" s="342">
        <f>$D$61*$D$50/E50</f>
        <v>0.54372738659315245</v>
      </c>
      <c r="F61" s="342">
        <f t="shared" ref="F61:I61" si="19">$D$61*$D$50/F50</f>
        <v>0.48499910619445863</v>
      </c>
      <c r="G61" s="342">
        <f t="shared" si="19"/>
        <v>0.43009522356560675</v>
      </c>
      <c r="H61" s="342">
        <f t="shared" si="19"/>
        <v>0.38388571945905353</v>
      </c>
      <c r="I61" s="342">
        <f t="shared" si="19"/>
        <v>0.35660476781115441</v>
      </c>
      <c r="P61" s="30" t="s">
        <v>25</v>
      </c>
      <c r="Q61" s="228"/>
      <c r="R61" s="228"/>
      <c r="S61" s="342">
        <v>0.55000000000000004</v>
      </c>
      <c r="T61" s="342">
        <v>0.53</v>
      </c>
      <c r="U61" s="346">
        <v>0.52249999999999996</v>
      </c>
      <c r="V61" s="346">
        <v>0.51500000000000001</v>
      </c>
      <c r="W61" s="346">
        <v>0.50749999999999995</v>
      </c>
      <c r="X61" s="342">
        <v>0.5</v>
      </c>
    </row>
    <row r="62" spans="1:24">
      <c r="A62" s="30" t="s">
        <v>381</v>
      </c>
      <c r="B62" s="228"/>
      <c r="C62" s="228"/>
      <c r="D62" s="228"/>
      <c r="E62" s="342">
        <f t="shared" si="18"/>
        <v>0</v>
      </c>
      <c r="F62" s="342">
        <v>0.01</v>
      </c>
      <c r="G62" s="342">
        <f>$F$62*$F$50/G50</f>
        <v>8.8679590966743282E-3</v>
      </c>
      <c r="H62" s="342">
        <f t="shared" ref="H62:I62" si="20">$F$62*$F$50/H50</f>
        <v>7.9151840602596068E-3</v>
      </c>
      <c r="I62" s="342">
        <f t="shared" si="20"/>
        <v>7.352689175228605E-3</v>
      </c>
      <c r="P62" s="30" t="s">
        <v>381</v>
      </c>
      <c r="Q62" s="228"/>
      <c r="R62" s="228"/>
      <c r="S62" s="228"/>
      <c r="T62" s="228"/>
      <c r="U62" s="228"/>
      <c r="V62" s="228"/>
      <c r="W62" s="228"/>
      <c r="X62" s="228"/>
    </row>
    <row r="63" spans="1:24">
      <c r="A63" s="74" t="s">
        <v>23</v>
      </c>
      <c r="B63" s="347">
        <f>SUM(B52:B62)</f>
        <v>0</v>
      </c>
      <c r="C63" s="347">
        <f>SUM(C52:C62)</f>
        <v>0</v>
      </c>
      <c r="D63" s="84">
        <f t="shared" ref="D63:I63" si="21">SUM(D53:D62)</f>
        <v>1</v>
      </c>
      <c r="E63" s="84">
        <f t="shared" si="21"/>
        <v>0.99372738659315241</v>
      </c>
      <c r="F63" s="84">
        <f t="shared" si="21"/>
        <v>1</v>
      </c>
      <c r="G63" s="84">
        <f t="shared" si="21"/>
        <v>1</v>
      </c>
      <c r="H63" s="84">
        <f t="shared" si="21"/>
        <v>1</v>
      </c>
      <c r="I63" s="81">
        <f t="shared" si="21"/>
        <v>0.99999999999999989</v>
      </c>
      <c r="P63" s="352" t="s">
        <v>23</v>
      </c>
      <c r="Q63" s="352"/>
      <c r="R63" s="352"/>
      <c r="S63" s="355">
        <f t="shared" ref="S63:W63" si="22">SUM(S52:S62)</f>
        <v>1</v>
      </c>
      <c r="T63" s="355">
        <f t="shared" si="22"/>
        <v>1</v>
      </c>
      <c r="U63" s="355">
        <f t="shared" si="22"/>
        <v>1</v>
      </c>
      <c r="V63" s="355">
        <f t="shared" si="22"/>
        <v>1</v>
      </c>
      <c r="W63" s="355">
        <f t="shared" si="22"/>
        <v>1</v>
      </c>
      <c r="X63" s="355">
        <f>SUM(X52:X62)</f>
        <v>1</v>
      </c>
    </row>
    <row r="64" spans="1:24">
      <c r="A64" s="30" t="s">
        <v>146</v>
      </c>
      <c r="B64" s="348">
        <f>SUM(B55:B62)</f>
        <v>0</v>
      </c>
      <c r="C64" s="348">
        <f>SUM(C55:C62)</f>
        <v>0</v>
      </c>
      <c r="D64" s="78">
        <f>SUM(D55:D62)</f>
        <v>0.98</v>
      </c>
      <c r="E64" s="140">
        <f t="shared" ref="E64:I64" si="23">SUM(E55:E62)</f>
        <v>0.9837273865931524</v>
      </c>
      <c r="F64" s="140">
        <f t="shared" si="23"/>
        <v>1</v>
      </c>
      <c r="G64" s="140">
        <f t="shared" si="23"/>
        <v>1</v>
      </c>
      <c r="H64" s="140">
        <f t="shared" si="23"/>
        <v>1</v>
      </c>
      <c r="I64" s="140">
        <f t="shared" si="23"/>
        <v>0.99999999999999989</v>
      </c>
      <c r="P64" s="228" t="s">
        <v>146</v>
      </c>
      <c r="Q64" s="228"/>
      <c r="R64" s="228"/>
      <c r="S64" s="228"/>
      <c r="T64" s="228"/>
      <c r="U64" s="228"/>
      <c r="V64" s="228"/>
      <c r="W64" s="228"/>
      <c r="X64" s="228"/>
    </row>
    <row r="65" spans="1:24" ht="27.6" customHeight="1">
      <c r="A65" s="456" t="s">
        <v>440</v>
      </c>
      <c r="B65" s="456"/>
      <c r="C65" s="456"/>
      <c r="D65" s="456"/>
      <c r="E65" s="456"/>
      <c r="F65" s="456"/>
      <c r="G65" s="456"/>
      <c r="H65" s="456"/>
      <c r="I65" s="456"/>
      <c r="P65" s="455"/>
      <c r="Q65" s="455"/>
      <c r="R65" s="455"/>
      <c r="S65" s="455"/>
      <c r="T65" s="455"/>
      <c r="U65" s="455"/>
      <c r="V65" s="455"/>
      <c r="W65" s="455"/>
      <c r="X65" s="455"/>
    </row>
  </sheetData>
  <mergeCells count="19">
    <mergeCell ref="A25:I25"/>
    <mergeCell ref="A46:I46"/>
    <mergeCell ref="A28:I28"/>
    <mergeCell ref="A49:I49"/>
    <mergeCell ref="A7:L7"/>
    <mergeCell ref="A23:L23"/>
    <mergeCell ref="P2:Y2"/>
    <mergeCell ref="P65:X65"/>
    <mergeCell ref="A65:I65"/>
    <mergeCell ref="P30:X30"/>
    <mergeCell ref="P25:X25"/>
    <mergeCell ref="P51:X51"/>
    <mergeCell ref="P46:X46"/>
    <mergeCell ref="A51:I51"/>
    <mergeCell ref="A30:I30"/>
    <mergeCell ref="A44:I44"/>
    <mergeCell ref="A2:J2"/>
    <mergeCell ref="A6:I6"/>
    <mergeCell ref="A9:L9"/>
  </mergeCells>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zoomScaleNormal="100" workbookViewId="0">
      <selection activeCell="H35" sqref="H35"/>
    </sheetView>
  </sheetViews>
  <sheetFormatPr baseColWidth="10" defaultColWidth="8.88671875" defaultRowHeight="14.4"/>
  <cols>
    <col min="1" max="1" width="44.109375" customWidth="1"/>
    <col min="2" max="1025" width="10.44140625" customWidth="1"/>
  </cols>
  <sheetData>
    <row r="1" spans="1:13" ht="12.75" customHeight="1">
      <c r="A1" s="86"/>
      <c r="B1" s="86"/>
      <c r="C1" s="86"/>
      <c r="D1" s="86"/>
      <c r="E1" s="86"/>
      <c r="F1" s="86"/>
      <c r="G1" s="86"/>
      <c r="H1" s="86"/>
      <c r="I1" s="86"/>
      <c r="J1" s="86"/>
      <c r="K1" s="86"/>
      <c r="L1" s="86"/>
      <c r="M1" s="86"/>
    </row>
    <row r="2" spans="1:13" ht="12.75" customHeight="1">
      <c r="A2" s="465" t="s">
        <v>388</v>
      </c>
      <c r="B2" s="465"/>
      <c r="C2" s="465"/>
      <c r="D2" s="465"/>
      <c r="E2" s="465"/>
      <c r="F2" s="465"/>
      <c r="G2" s="465"/>
      <c r="H2" s="465"/>
      <c r="I2" s="465"/>
      <c r="J2" s="465"/>
      <c r="K2" s="465"/>
      <c r="L2" s="86"/>
      <c r="M2" s="86"/>
    </row>
    <row r="3" spans="1:13" ht="12.75" customHeight="1">
      <c r="A3" s="86"/>
      <c r="B3" s="86"/>
      <c r="C3" s="86"/>
      <c r="D3" s="86"/>
      <c r="E3" s="86"/>
      <c r="F3" s="86"/>
      <c r="G3" s="86"/>
      <c r="H3" s="86"/>
      <c r="I3" s="86"/>
      <c r="J3" s="86"/>
      <c r="K3" s="86"/>
      <c r="L3" s="86"/>
      <c r="M3" s="86"/>
    </row>
    <row r="4" spans="1:13" ht="12.75" customHeight="1">
      <c r="A4" s="88" t="s">
        <v>152</v>
      </c>
      <c r="B4" s="89" t="s">
        <v>153</v>
      </c>
      <c r="C4" s="89" t="s">
        <v>154</v>
      </c>
      <c r="D4" s="89" t="s">
        <v>155</v>
      </c>
      <c r="E4" s="89" t="s">
        <v>156</v>
      </c>
      <c r="F4" s="89" t="s">
        <v>157</v>
      </c>
      <c r="G4" s="90">
        <v>2018</v>
      </c>
      <c r="H4" s="91"/>
      <c r="I4" s="86"/>
      <c r="J4" s="86"/>
      <c r="K4" s="86"/>
      <c r="L4" s="86"/>
      <c r="M4" s="86"/>
    </row>
    <row r="5" spans="1:13" ht="12.75" customHeight="1">
      <c r="A5" s="92" t="s">
        <v>158</v>
      </c>
      <c r="B5" s="93">
        <v>55743</v>
      </c>
      <c r="C5" s="93">
        <v>67598</v>
      </c>
      <c r="D5" s="93">
        <v>67324</v>
      </c>
      <c r="E5" s="93">
        <v>67793</v>
      </c>
      <c r="F5" s="93">
        <v>68542</v>
      </c>
      <c r="G5" s="93">
        <v>69161</v>
      </c>
      <c r="H5" s="91"/>
      <c r="I5" s="86"/>
      <c r="J5" s="86"/>
      <c r="K5" s="86"/>
      <c r="L5" s="86"/>
      <c r="M5" s="86"/>
    </row>
    <row r="6" spans="1:13" ht="12.75" customHeight="1">
      <c r="A6" s="92" t="s">
        <v>159</v>
      </c>
      <c r="B6" s="94">
        <v>35101</v>
      </c>
      <c r="C6" s="93">
        <v>31375.2185869727</v>
      </c>
      <c r="D6" s="93">
        <v>31461.3311223729</v>
      </c>
      <c r="E6" s="93">
        <v>31313.934118348501</v>
      </c>
      <c r="F6" s="93">
        <v>31078.5389029662</v>
      </c>
      <c r="G6" s="93">
        <v>30884</v>
      </c>
      <c r="H6" s="95"/>
      <c r="I6" s="86"/>
      <c r="J6" s="86"/>
      <c r="K6" s="86"/>
      <c r="L6" s="86"/>
      <c r="M6" s="86"/>
    </row>
    <row r="7" spans="1:13" ht="12.75" customHeight="1">
      <c r="A7" s="92" t="s">
        <v>160</v>
      </c>
      <c r="B7" s="94">
        <v>20252</v>
      </c>
      <c r="C7" s="93">
        <v>35888.442837978801</v>
      </c>
      <c r="D7" s="93">
        <v>35527.043821731997</v>
      </c>
      <c r="E7" s="93">
        <v>36145.642867789502</v>
      </c>
      <c r="F7" s="93">
        <v>37133.554777165002</v>
      </c>
      <c r="G7" s="93">
        <v>37950</v>
      </c>
      <c r="H7" s="95"/>
      <c r="I7" s="86"/>
      <c r="J7" s="86"/>
      <c r="K7" s="86"/>
      <c r="L7" s="86"/>
      <c r="M7" s="86"/>
    </row>
    <row r="8" spans="1:13" ht="12.75" customHeight="1">
      <c r="A8" s="92" t="s">
        <v>161</v>
      </c>
      <c r="B8" s="93">
        <v>357</v>
      </c>
      <c r="C8" s="93">
        <v>475</v>
      </c>
      <c r="D8" s="93">
        <v>517</v>
      </c>
      <c r="E8" s="93">
        <v>514</v>
      </c>
      <c r="F8" s="93">
        <v>538</v>
      </c>
      <c r="G8" s="93">
        <v>535</v>
      </c>
      <c r="H8" s="91"/>
      <c r="I8" s="86"/>
      <c r="J8" s="86"/>
      <c r="K8" s="86"/>
      <c r="L8" s="86"/>
      <c r="M8" s="86"/>
    </row>
    <row r="9" spans="1:13" ht="12.75" customHeight="1">
      <c r="A9" s="92" t="s">
        <v>162</v>
      </c>
      <c r="B9" s="93">
        <v>16080</v>
      </c>
      <c r="C9" s="93">
        <v>24216</v>
      </c>
      <c r="D9" s="93">
        <v>24760</v>
      </c>
      <c r="E9" s="93">
        <v>25115</v>
      </c>
      <c r="F9" s="93">
        <v>25520</v>
      </c>
      <c r="G9" s="93">
        <v>25359</v>
      </c>
      <c r="H9" s="91"/>
      <c r="I9" s="86"/>
      <c r="J9" s="86"/>
      <c r="K9" s="86"/>
      <c r="L9" s="86"/>
      <c r="M9" s="86"/>
    </row>
    <row r="10" spans="1:13" ht="12.75" customHeight="1">
      <c r="A10" s="92" t="s">
        <v>163</v>
      </c>
      <c r="B10" s="93">
        <v>153</v>
      </c>
      <c r="C10" s="93">
        <v>181</v>
      </c>
      <c r="D10" s="93">
        <v>181</v>
      </c>
      <c r="E10" s="93">
        <v>162</v>
      </c>
      <c r="F10" s="93">
        <v>161</v>
      </c>
      <c r="G10" s="96"/>
      <c r="H10" s="91"/>
      <c r="I10" s="86"/>
      <c r="J10" s="86"/>
      <c r="K10" s="86"/>
      <c r="L10" s="86"/>
      <c r="M10" s="86"/>
    </row>
    <row r="11" spans="1:13" ht="12.75" customHeight="1">
      <c r="A11" s="86"/>
      <c r="B11" s="86"/>
      <c r="C11" s="86"/>
      <c r="D11" s="86"/>
      <c r="E11" s="86"/>
      <c r="F11" s="86"/>
      <c r="G11" s="86"/>
      <c r="H11" s="86"/>
      <c r="I11" s="86"/>
      <c r="J11" s="86"/>
      <c r="K11" s="86"/>
      <c r="L11" s="86"/>
      <c r="M11" s="86"/>
    </row>
    <row r="12" spans="1:13" ht="12.75" customHeight="1">
      <c r="A12" s="88" t="s">
        <v>164</v>
      </c>
      <c r="B12" s="97" t="s">
        <v>153</v>
      </c>
      <c r="C12" s="97" t="s">
        <v>154</v>
      </c>
      <c r="D12" s="97" t="s">
        <v>155</v>
      </c>
      <c r="E12" s="97" t="s">
        <v>156</v>
      </c>
      <c r="F12" s="97" t="s">
        <v>157</v>
      </c>
      <c r="G12" s="97">
        <v>2018</v>
      </c>
      <c r="H12" s="97">
        <v>2019</v>
      </c>
      <c r="I12" s="97">
        <v>2020</v>
      </c>
      <c r="J12" s="86"/>
      <c r="K12" s="86"/>
      <c r="L12" s="86"/>
      <c r="M12" s="86"/>
    </row>
    <row r="13" spans="1:13" ht="12.75" customHeight="1">
      <c r="A13" s="98" t="s">
        <v>12</v>
      </c>
      <c r="B13" s="97"/>
      <c r="C13" s="271">
        <v>1113</v>
      </c>
      <c r="D13" s="271">
        <v>1086</v>
      </c>
      <c r="E13" s="272">
        <v>1209</v>
      </c>
      <c r="F13" s="272">
        <v>1048</v>
      </c>
      <c r="G13" s="271">
        <v>1211</v>
      </c>
      <c r="H13" s="271">
        <v>1266</v>
      </c>
      <c r="I13" s="271">
        <v>1100</v>
      </c>
      <c r="J13" s="86"/>
      <c r="K13" s="86"/>
      <c r="L13" s="86"/>
      <c r="M13" s="86"/>
    </row>
    <row r="14" spans="1:13" ht="12.75" customHeight="1">
      <c r="A14" s="86"/>
      <c r="B14" s="86"/>
      <c r="C14" s="86"/>
      <c r="D14" s="86"/>
      <c r="E14" s="86"/>
      <c r="F14" s="86"/>
      <c r="G14" s="86"/>
      <c r="H14" s="86"/>
      <c r="I14" s="86"/>
      <c r="J14" s="86"/>
      <c r="K14" s="86"/>
      <c r="L14" s="86"/>
      <c r="M14" s="86"/>
    </row>
    <row r="15" spans="1:13" ht="12.75" customHeight="1">
      <c r="A15" s="99" t="s">
        <v>165</v>
      </c>
      <c r="B15" s="100">
        <v>2007</v>
      </c>
      <c r="C15" s="100">
        <v>2014</v>
      </c>
      <c r="D15" s="101"/>
      <c r="E15" s="86"/>
      <c r="F15" s="102" t="s">
        <v>166</v>
      </c>
      <c r="G15" s="98">
        <v>2014</v>
      </c>
      <c r="H15" s="98" t="s">
        <v>167</v>
      </c>
      <c r="I15" s="98" t="s">
        <v>168</v>
      </c>
      <c r="J15" s="86" t="s">
        <v>409</v>
      </c>
      <c r="K15" s="86"/>
      <c r="L15" s="86"/>
      <c r="M15" s="86"/>
    </row>
    <row r="16" spans="1:13" ht="12.75" customHeight="1">
      <c r="A16" s="103" t="s">
        <v>169</v>
      </c>
      <c r="B16" s="104">
        <v>34912</v>
      </c>
      <c r="C16" s="105">
        <v>32145</v>
      </c>
      <c r="D16" s="101"/>
      <c r="E16" s="86"/>
      <c r="F16" s="98" t="s">
        <v>170</v>
      </c>
      <c r="G16" s="268">
        <f>(0.77*C18*C6+0.84*C19*C7)/C5*11630</f>
        <v>9145.7455956437716</v>
      </c>
      <c r="H16" s="268">
        <f>(0.77*C18*C6+0.84*C19*C7)/C5*11630</f>
        <v>9145.7455956437716</v>
      </c>
      <c r="I16" s="98"/>
      <c r="J16" s="86"/>
      <c r="K16" s="86"/>
      <c r="L16" s="86"/>
      <c r="M16" s="86"/>
    </row>
    <row r="17" spans="1:13" ht="12.75" customHeight="1">
      <c r="A17" s="103" t="s">
        <v>171</v>
      </c>
      <c r="B17" s="104">
        <v>70070</v>
      </c>
      <c r="C17" s="105">
        <v>81981</v>
      </c>
      <c r="D17" s="101"/>
      <c r="E17" s="86"/>
      <c r="F17" s="98" t="s">
        <v>172</v>
      </c>
      <c r="G17" s="268">
        <f>0.84*C20*11630</f>
        <v>19429.97868870465</v>
      </c>
      <c r="H17" s="268">
        <f>H19/C9*10^6</f>
        <v>20431.363116355813</v>
      </c>
      <c r="I17" s="98"/>
      <c r="J17" s="86"/>
      <c r="K17" s="86"/>
      <c r="L17" s="86"/>
      <c r="M17" s="86"/>
    </row>
    <row r="18" spans="1:13" ht="12.75" customHeight="1">
      <c r="A18" s="103" t="s">
        <v>173</v>
      </c>
      <c r="B18" s="106">
        <v>0.99461553801885982</v>
      </c>
      <c r="C18" s="107">
        <v>1.0245346948227128</v>
      </c>
      <c r="D18" s="101"/>
      <c r="E18" s="86"/>
      <c r="F18" s="98" t="s">
        <v>174</v>
      </c>
      <c r="G18" s="268">
        <f>G16*C5/10^6</f>
        <v>618.23411077432763</v>
      </c>
      <c r="H18" s="268">
        <f>H16*C5/10^6</f>
        <v>618.23411077432763</v>
      </c>
      <c r="I18" s="269">
        <f>H18/H20</f>
        <v>0.55546640680532577</v>
      </c>
      <c r="J18" s="86"/>
      <c r="K18" s="86"/>
      <c r="L18" s="86"/>
      <c r="M18" s="86"/>
    </row>
    <row r="19" spans="1:13" ht="12.75" customHeight="1">
      <c r="A19" s="103" t="s">
        <v>175</v>
      </c>
      <c r="B19" s="106">
        <v>1.2930001994245177</v>
      </c>
      <c r="C19" s="107">
        <v>0.94230212458845408</v>
      </c>
      <c r="D19" s="101"/>
      <c r="E19" s="86"/>
      <c r="F19" s="98" t="s">
        <v>176</v>
      </c>
      <c r="G19" s="268">
        <f>G17*C9/10^6</f>
        <v>470.51636392567184</v>
      </c>
      <c r="H19" s="268">
        <f>H20-H18</f>
        <v>494.76588922567237</v>
      </c>
      <c r="I19" s="269">
        <f>H19/H20</f>
        <v>0.44453359319467417</v>
      </c>
      <c r="J19" s="86"/>
      <c r="K19" s="86"/>
      <c r="L19" s="86"/>
      <c r="M19" s="86"/>
    </row>
    <row r="20" spans="1:13" ht="12.75" customHeight="1">
      <c r="A20" s="103" t="s">
        <v>177</v>
      </c>
      <c r="B20" s="106">
        <v>2.729114425451161</v>
      </c>
      <c r="C20" s="109">
        <v>1.9889017205814856</v>
      </c>
      <c r="D20" s="101"/>
      <c r="E20" s="86"/>
      <c r="F20" s="98" t="s">
        <v>178</v>
      </c>
      <c r="G20" s="270">
        <f>G18+G19</f>
        <v>1088.7504746999994</v>
      </c>
      <c r="H20" s="270">
        <f>C13</f>
        <v>1113</v>
      </c>
      <c r="I20" s="269">
        <f>H20/H20</f>
        <v>1</v>
      </c>
      <c r="J20" s="86"/>
      <c r="K20" s="86"/>
      <c r="L20" s="86"/>
      <c r="M20" s="86"/>
    </row>
    <row r="21" spans="1:13" ht="12.75" customHeight="1">
      <c r="A21" s="103" t="s">
        <v>179</v>
      </c>
      <c r="B21" s="110">
        <v>1</v>
      </c>
      <c r="C21" s="109">
        <v>0.728771832369283</v>
      </c>
      <c r="D21" s="101"/>
      <c r="E21" s="86"/>
      <c r="F21" s="466" t="s">
        <v>389</v>
      </c>
      <c r="G21" s="466"/>
      <c r="H21" s="466"/>
      <c r="I21" s="466"/>
      <c r="J21" s="86"/>
      <c r="K21" s="86"/>
      <c r="L21" s="86"/>
      <c r="M21" s="86"/>
    </row>
    <row r="22" spans="1:13" ht="12.75" customHeight="1">
      <c r="A22" s="86"/>
      <c r="B22" s="86"/>
      <c r="C22" s="86"/>
      <c r="D22" s="87"/>
      <c r="E22" s="86"/>
      <c r="F22" s="86"/>
      <c r="G22" s="86"/>
      <c r="H22" s="86"/>
      <c r="I22" s="86"/>
      <c r="J22" s="86"/>
      <c r="K22" s="86"/>
      <c r="L22" s="86"/>
      <c r="M22" s="86"/>
    </row>
    <row r="23" spans="1:13" ht="12.75" customHeight="1">
      <c r="A23" s="465" t="s">
        <v>147</v>
      </c>
      <c r="B23" s="465"/>
      <c r="C23" s="465"/>
      <c r="D23" s="465"/>
      <c r="E23" s="465"/>
      <c r="F23" s="465"/>
      <c r="G23" s="465"/>
      <c r="H23" s="465"/>
      <c r="I23" s="465"/>
      <c r="J23" s="465"/>
      <c r="K23" s="465"/>
      <c r="L23" s="86"/>
      <c r="M23" s="86"/>
    </row>
    <row r="24" spans="1:13" ht="12.75" customHeight="1">
      <c r="A24" s="111"/>
      <c r="B24" s="111"/>
      <c r="C24" s="111"/>
      <c r="D24" s="111"/>
      <c r="E24" s="111"/>
      <c r="F24" s="111"/>
      <c r="G24" s="111"/>
      <c r="H24" s="111"/>
      <c r="I24" s="111"/>
      <c r="J24" s="111"/>
      <c r="K24" s="86"/>
      <c r="L24" s="86"/>
      <c r="M24" s="86"/>
    </row>
    <row r="25" spans="1:13" ht="12.75" customHeight="1">
      <c r="A25" s="112" t="s">
        <v>180</v>
      </c>
      <c r="B25" s="1">
        <v>2015</v>
      </c>
      <c r="C25" s="1">
        <v>2018</v>
      </c>
      <c r="D25" s="1">
        <v>2019</v>
      </c>
      <c r="E25" s="1">
        <v>2020</v>
      </c>
      <c r="F25" s="1">
        <v>2025</v>
      </c>
      <c r="G25" s="1">
        <v>2030</v>
      </c>
      <c r="H25" s="1">
        <v>2035</v>
      </c>
      <c r="I25" s="1">
        <v>2040</v>
      </c>
      <c r="J25" s="1">
        <v>2045</v>
      </c>
      <c r="K25" s="1">
        <v>2050</v>
      </c>
      <c r="L25" s="86"/>
      <c r="M25" s="86"/>
    </row>
    <row r="26" spans="1:13" ht="12.75" customHeight="1">
      <c r="A26" s="113" t="s">
        <v>181</v>
      </c>
      <c r="B26" s="114">
        <f>'Cadrage macroéconomique '!$G$5</f>
        <v>259865</v>
      </c>
      <c r="C26" s="114">
        <f>'Cadrage macroéconomique '!$J$5</f>
        <v>276128</v>
      </c>
      <c r="D26" s="114">
        <f>'Cadrage macroéconomique '!$K$5</f>
        <v>281678</v>
      </c>
      <c r="E26" s="114">
        <f>'Cadrage macroéconomique '!$L$5</f>
        <v>287000</v>
      </c>
      <c r="F26" s="114">
        <f>'Cadrage macroéconomique '!$C$15*1000*1000</f>
        <v>312000</v>
      </c>
      <c r="G26" s="114">
        <f>'Cadrage macroéconomique '!$D$15*1000000</f>
        <v>336000</v>
      </c>
      <c r="H26" s="114">
        <f>'Cadrage macroéconomique '!$E$15*1000000</f>
        <v>360000</v>
      </c>
      <c r="I26" s="114">
        <f>'Cadrage macroéconomique '!$F$15*1000000</f>
        <v>382000</v>
      </c>
      <c r="J26" s="114">
        <f>'Cadrage macroéconomique '!$G$15*1000000</f>
        <v>403000</v>
      </c>
      <c r="K26" s="114">
        <f>'Cadrage macroéconomique '!$H$15*1000000</f>
        <v>421000</v>
      </c>
      <c r="L26" s="108"/>
      <c r="M26" s="86"/>
    </row>
    <row r="27" spans="1:13" ht="12.75" customHeight="1">
      <c r="A27" s="115" t="s">
        <v>182</v>
      </c>
      <c r="B27" s="116"/>
      <c r="C27" s="140">
        <f>G5/C26</f>
        <v>0.25046717464364354</v>
      </c>
      <c r="D27" s="116">
        <f t="shared" ref="D27:K27" si="0">C27</f>
        <v>0.25046717464364354</v>
      </c>
      <c r="E27" s="116">
        <f t="shared" si="0"/>
        <v>0.25046717464364354</v>
      </c>
      <c r="F27" s="116">
        <f t="shared" si="0"/>
        <v>0.25046717464364354</v>
      </c>
      <c r="G27" s="116">
        <f t="shared" si="0"/>
        <v>0.25046717464364354</v>
      </c>
      <c r="H27" s="116">
        <f t="shared" si="0"/>
        <v>0.25046717464364354</v>
      </c>
      <c r="I27" s="116">
        <f t="shared" si="0"/>
        <v>0.25046717464364354</v>
      </c>
      <c r="J27" s="116">
        <f t="shared" si="0"/>
        <v>0.25046717464364354</v>
      </c>
      <c r="K27" s="116">
        <f t="shared" si="0"/>
        <v>0.25046717464364354</v>
      </c>
      <c r="L27" s="86"/>
      <c r="M27" s="86"/>
    </row>
    <row r="28" spans="1:13" ht="12.75" customHeight="1">
      <c r="A28" s="115" t="s">
        <v>183</v>
      </c>
      <c r="B28" s="117"/>
      <c r="C28" s="118">
        <f t="shared" ref="C28:K28" si="1">C26*C27</f>
        <v>69161</v>
      </c>
      <c r="D28" s="118">
        <f t="shared" si="1"/>
        <v>70551.09281927222</v>
      </c>
      <c r="E28" s="118">
        <f t="shared" si="1"/>
        <v>71884.0791227257</v>
      </c>
      <c r="F28" s="118">
        <f t="shared" si="1"/>
        <v>78145.758488816791</v>
      </c>
      <c r="G28" s="118">
        <f t="shared" si="1"/>
        <v>84156.970680264232</v>
      </c>
      <c r="H28" s="118">
        <f t="shared" si="1"/>
        <v>90168.182871711673</v>
      </c>
      <c r="I28" s="118">
        <f t="shared" si="1"/>
        <v>95678.460713871827</v>
      </c>
      <c r="J28" s="118">
        <f t="shared" si="1"/>
        <v>100938.27138138835</v>
      </c>
      <c r="K28" s="118">
        <f t="shared" si="1"/>
        <v>105446.68052497393</v>
      </c>
      <c r="L28" s="86"/>
      <c r="M28" s="86"/>
    </row>
    <row r="29" spans="1:13" ht="12.75" customHeight="1">
      <c r="A29" s="115" t="s">
        <v>184</v>
      </c>
      <c r="B29" s="1"/>
      <c r="C29" s="119">
        <f>G9</f>
        <v>25359</v>
      </c>
      <c r="D29" s="114">
        <f t="shared" ref="D29:K29" si="2">$C29*D26/$C26</f>
        <v>25868.700030420674</v>
      </c>
      <c r="E29" s="114">
        <f t="shared" si="2"/>
        <v>26357.461032564606</v>
      </c>
      <c r="F29" s="114">
        <f t="shared" si="2"/>
        <v>28653.40711554062</v>
      </c>
      <c r="G29" s="114">
        <f t="shared" si="2"/>
        <v>30857.515355197589</v>
      </c>
      <c r="H29" s="114">
        <f t="shared" si="2"/>
        <v>33061.623594854558</v>
      </c>
      <c r="I29" s="114">
        <f t="shared" si="2"/>
        <v>35082.056147873453</v>
      </c>
      <c r="J29" s="114">
        <f t="shared" si="2"/>
        <v>37010.650857573302</v>
      </c>
      <c r="K29" s="114">
        <f t="shared" si="2"/>
        <v>38663.732037316026</v>
      </c>
      <c r="L29" s="86"/>
      <c r="M29" s="86"/>
    </row>
    <row r="30" spans="1:13" ht="12.75" customHeight="1">
      <c r="A30" s="464" t="s">
        <v>385</v>
      </c>
      <c r="B30" s="464"/>
      <c r="C30" s="464"/>
      <c r="D30" s="464"/>
      <c r="E30" s="464"/>
      <c r="F30" s="464"/>
      <c r="G30" s="464"/>
      <c r="H30" s="464"/>
      <c r="I30" s="464"/>
      <c r="J30" s="464"/>
      <c r="K30" s="464"/>
      <c r="L30" s="86"/>
      <c r="M30" s="86"/>
    </row>
    <row r="31" spans="1:13" ht="12.75" customHeight="1">
      <c r="A31" s="112" t="s">
        <v>185</v>
      </c>
      <c r="B31" s="1">
        <v>2015</v>
      </c>
      <c r="C31" s="1">
        <v>2018</v>
      </c>
      <c r="D31" s="1">
        <v>2019</v>
      </c>
      <c r="E31" s="1">
        <v>2020</v>
      </c>
      <c r="F31" s="1">
        <v>2025</v>
      </c>
      <c r="G31" s="1">
        <v>2030</v>
      </c>
      <c r="H31" s="1">
        <v>2035</v>
      </c>
      <c r="I31" s="1">
        <v>2040</v>
      </c>
      <c r="J31" s="1">
        <v>2045</v>
      </c>
      <c r="K31" s="1">
        <v>2050</v>
      </c>
      <c r="L31" s="86"/>
      <c r="M31" s="86"/>
    </row>
    <row r="32" spans="1:13" ht="12.75" customHeight="1">
      <c r="A32" s="113" t="s">
        <v>186</v>
      </c>
      <c r="B32" s="120">
        <f>1</f>
        <v>1</v>
      </c>
      <c r="C32" s="120">
        <f>1</f>
        <v>1</v>
      </c>
      <c r="D32" s="120">
        <f>1</f>
        <v>1</v>
      </c>
      <c r="E32" s="120">
        <f>1</f>
        <v>1</v>
      </c>
      <c r="F32" s="120">
        <f>0.5*D32+0.5*G32</f>
        <v>1.0150000000000001</v>
      </c>
      <c r="G32" s="120">
        <v>1.03</v>
      </c>
      <c r="H32" s="120">
        <f>0.75*G32+0.25*K32</f>
        <v>1.0474999999999999</v>
      </c>
      <c r="I32" s="120">
        <f>0.5*G32+0.5*K32</f>
        <v>1.0649999999999999</v>
      </c>
      <c r="J32" s="120">
        <f>0.25*G32+0.75*K32</f>
        <v>1.0825</v>
      </c>
      <c r="K32" s="120">
        <v>1.1000000000000001</v>
      </c>
      <c r="L32" s="86"/>
      <c r="M32" s="86"/>
    </row>
    <row r="33" spans="1:13" ht="12.75" customHeight="1">
      <c r="A33" s="113" t="s">
        <v>187</v>
      </c>
      <c r="B33" s="121">
        <f>0%</f>
        <v>0</v>
      </c>
      <c r="C33" s="121">
        <f>0%</f>
        <v>0</v>
      </c>
      <c r="D33" s="121">
        <f>0%</f>
        <v>0</v>
      </c>
      <c r="E33" s="121">
        <f>0%</f>
        <v>0</v>
      </c>
      <c r="F33" s="121">
        <v>4.6713653383253402E-2</v>
      </c>
      <c r="G33" s="121">
        <v>0.12051352422207701</v>
      </c>
      <c r="H33" s="121">
        <v>0.224424455029753</v>
      </c>
      <c r="I33" s="121">
        <v>0.33129999999999998</v>
      </c>
      <c r="J33" s="121">
        <v>0.41649999999999998</v>
      </c>
      <c r="K33" s="121">
        <v>0.47499999999999998</v>
      </c>
      <c r="L33" s="86"/>
      <c r="M33" s="86"/>
    </row>
    <row r="34" spans="1:13" ht="12.75" customHeight="1">
      <c r="A34" s="113" t="s">
        <v>188</v>
      </c>
      <c r="B34" s="121"/>
      <c r="C34" s="121"/>
      <c r="D34" s="121"/>
      <c r="E34" s="121">
        <v>0.99272954898911403</v>
      </c>
      <c r="F34" s="121">
        <v>0.90069945087288505</v>
      </c>
      <c r="G34" s="121">
        <v>0.84416717546272102</v>
      </c>
      <c r="H34" s="121">
        <v>0.80593952326986795</v>
      </c>
      <c r="I34" s="121">
        <v>0.77853415799552395</v>
      </c>
      <c r="J34" s="121">
        <v>0.76285818755827595</v>
      </c>
      <c r="K34" s="121">
        <v>0.76205287713841396</v>
      </c>
      <c r="L34" s="86"/>
      <c r="M34" s="86"/>
    </row>
    <row r="35" spans="1:13" ht="12.75" customHeight="1">
      <c r="A35" s="113" t="s">
        <v>189</v>
      </c>
      <c r="B35" s="122"/>
      <c r="C35" s="122"/>
      <c r="D35" s="122"/>
      <c r="E35" s="123">
        <v>0.3</v>
      </c>
      <c r="F35" s="123">
        <v>0.3</v>
      </c>
      <c r="G35" s="123">
        <v>0.3</v>
      </c>
      <c r="H35" s="123">
        <v>0.3</v>
      </c>
      <c r="I35" s="123">
        <v>0.3</v>
      </c>
      <c r="J35" s="123">
        <v>0.3</v>
      </c>
      <c r="K35" s="123">
        <v>0.3</v>
      </c>
      <c r="L35" s="86"/>
      <c r="M35" s="86"/>
    </row>
    <row r="36" spans="1:13" ht="12.75" customHeight="1">
      <c r="A36" s="124" t="s">
        <v>190</v>
      </c>
      <c r="B36" s="310">
        <f>B46*I18</f>
        <v>603.23651779058378</v>
      </c>
      <c r="C36" s="310">
        <f>C46*I18</f>
        <v>672.66981864124955</v>
      </c>
      <c r="D36" s="310">
        <f>D46*I18</f>
        <v>703.22047101554244</v>
      </c>
      <c r="E36" s="310">
        <f>E46*I18</f>
        <v>611.01304748585835</v>
      </c>
      <c r="F36" s="125">
        <f t="shared" ref="F36:K36" si="3">$D36*(F26/$D26)*(F27/$D27)*F32*(1-F33)*F34</f>
        <v>678.83227626564644</v>
      </c>
      <c r="G36" s="125">
        <f t="shared" si="3"/>
        <v>641.46461574397813</v>
      </c>
      <c r="H36" s="125">
        <f t="shared" si="3"/>
        <v>588.46639828111245</v>
      </c>
      <c r="I36" s="125">
        <f t="shared" si="3"/>
        <v>528.76237189228186</v>
      </c>
      <c r="J36" s="125">
        <f t="shared" si="3"/>
        <v>484.79284286031049</v>
      </c>
      <c r="K36" s="125">
        <f t="shared" si="3"/>
        <v>462.54902279717993</v>
      </c>
      <c r="L36" s="126"/>
      <c r="M36" s="126"/>
    </row>
    <row r="37" spans="1:13" ht="12.75" customHeight="1">
      <c r="A37" s="124" t="s">
        <v>191</v>
      </c>
      <c r="B37" s="125">
        <f>0</f>
        <v>0</v>
      </c>
      <c r="C37" s="125">
        <f>0</f>
        <v>0</v>
      </c>
      <c r="D37" s="125">
        <f>0</f>
        <v>0</v>
      </c>
      <c r="E37" s="125">
        <f>0</f>
        <v>0</v>
      </c>
      <c r="F37" s="125">
        <f t="shared" ref="F37:K37" si="4">$D36*(F26/$D26)*(F27/$D27)*F32*F33*F35</f>
        <v>11.079605602201887</v>
      </c>
      <c r="G37" s="125">
        <f t="shared" si="4"/>
        <v>31.237201564158148</v>
      </c>
      <c r="H37" s="125">
        <f t="shared" si="4"/>
        <v>63.385007005247324</v>
      </c>
      <c r="I37" s="125">
        <f t="shared" si="4"/>
        <v>100.94719076374132</v>
      </c>
      <c r="J37" s="125">
        <f t="shared" si="4"/>
        <v>136.0842261200649</v>
      </c>
      <c r="K37" s="125">
        <f t="shared" si="4"/>
        <v>164.75106156015002</v>
      </c>
      <c r="L37" s="126"/>
      <c r="M37" s="126"/>
    </row>
    <row r="38" spans="1:13" ht="12.75" customHeight="1">
      <c r="A38" s="113" t="s">
        <v>192</v>
      </c>
      <c r="B38" s="120">
        <f>1</f>
        <v>1</v>
      </c>
      <c r="C38" s="120">
        <f>1</f>
        <v>1</v>
      </c>
      <c r="D38" s="120">
        <f>1</f>
        <v>1</v>
      </c>
      <c r="E38" s="120">
        <f>1</f>
        <v>1</v>
      </c>
      <c r="F38" s="120">
        <f>1</f>
        <v>1</v>
      </c>
      <c r="G38" s="120">
        <f>1</f>
        <v>1</v>
      </c>
      <c r="H38" s="120">
        <f>1</f>
        <v>1</v>
      </c>
      <c r="I38" s="120">
        <f>1</f>
        <v>1</v>
      </c>
      <c r="J38" s="120">
        <f>1</f>
        <v>1</v>
      </c>
      <c r="K38" s="120">
        <f>1</f>
        <v>1</v>
      </c>
      <c r="L38" s="86"/>
      <c r="M38" s="86"/>
    </row>
    <row r="39" spans="1:13" ht="12.75" customHeight="1">
      <c r="A39" s="113" t="s">
        <v>193</v>
      </c>
      <c r="B39" s="121">
        <f>0%</f>
        <v>0</v>
      </c>
      <c r="C39" s="121">
        <f>0%</f>
        <v>0</v>
      </c>
      <c r="D39" s="121">
        <f>0%</f>
        <v>0</v>
      </c>
      <c r="E39" s="121">
        <f>0%</f>
        <v>0</v>
      </c>
      <c r="F39" s="127">
        <v>5.7459674346041004E-3</v>
      </c>
      <c r="G39" s="127">
        <v>2.74023721123305E-2</v>
      </c>
      <c r="H39" s="127">
        <v>6.1820690272617398E-2</v>
      </c>
      <c r="I39" s="127">
        <v>9.3100000000000002E-2</v>
      </c>
      <c r="J39" s="127">
        <v>0.10829999999999999</v>
      </c>
      <c r="K39" s="127">
        <v>0.11</v>
      </c>
      <c r="L39" s="86"/>
      <c r="M39" s="86"/>
    </row>
    <row r="40" spans="1:13" ht="12.75" customHeight="1">
      <c r="A40" s="113" t="s">
        <v>194</v>
      </c>
      <c r="B40" s="122"/>
      <c r="C40" s="122"/>
      <c r="D40" s="122"/>
      <c r="E40" s="121">
        <v>0.99</v>
      </c>
      <c r="F40" s="121">
        <v>0.95146261136309096</v>
      </c>
      <c r="G40" s="121">
        <v>0.82840277834767595</v>
      </c>
      <c r="H40" s="121">
        <v>0.75636775414352997</v>
      </c>
      <c r="I40" s="121">
        <v>0.69934002664858097</v>
      </c>
      <c r="J40" s="121">
        <v>0.67232689257202705</v>
      </c>
      <c r="K40" s="121">
        <v>0.66332251454650903</v>
      </c>
      <c r="L40" s="86"/>
      <c r="M40" s="86"/>
    </row>
    <row r="41" spans="1:13" ht="12.75" customHeight="1">
      <c r="A41" s="113" t="s">
        <v>195</v>
      </c>
      <c r="B41" s="122"/>
      <c r="C41" s="122"/>
      <c r="D41" s="122"/>
      <c r="E41" s="123">
        <v>0.4</v>
      </c>
      <c r="F41" s="123">
        <f t="shared" ref="F41:K41" si="5">E41</f>
        <v>0.4</v>
      </c>
      <c r="G41" s="123">
        <f t="shared" si="5"/>
        <v>0.4</v>
      </c>
      <c r="H41" s="123">
        <f t="shared" si="5"/>
        <v>0.4</v>
      </c>
      <c r="I41" s="123">
        <f t="shared" si="5"/>
        <v>0.4</v>
      </c>
      <c r="J41" s="123">
        <f t="shared" si="5"/>
        <v>0.4</v>
      </c>
      <c r="K41" s="123">
        <f t="shared" si="5"/>
        <v>0.4</v>
      </c>
      <c r="L41" s="86"/>
      <c r="M41" s="86"/>
    </row>
    <row r="42" spans="1:13" ht="12.75" customHeight="1">
      <c r="A42" s="124" t="s">
        <v>196</v>
      </c>
      <c r="B42" s="310">
        <f>B46*I19</f>
        <v>482.76348220941617</v>
      </c>
      <c r="C42" s="310">
        <f>C46*I19</f>
        <v>538.33018135875045</v>
      </c>
      <c r="D42" s="310">
        <f>D46*I19</f>
        <v>562.77952898445756</v>
      </c>
      <c r="E42" s="310">
        <f>E46*I19</f>
        <v>488.98695251414159</v>
      </c>
      <c r="F42" s="125">
        <f t="shared" ref="F42:K42" si="6">$D42*(F29/$D29)*F38*(1-F39)*F40</f>
        <v>589.69717230596871</v>
      </c>
      <c r="G42" s="125">
        <f t="shared" si="6"/>
        <v>540.87809509284921</v>
      </c>
      <c r="H42" s="125">
        <f t="shared" si="6"/>
        <v>510.39536335674404</v>
      </c>
      <c r="I42" s="125">
        <f t="shared" si="6"/>
        <v>484.0570098990749</v>
      </c>
      <c r="J42" s="125">
        <f t="shared" si="6"/>
        <v>482.71373806824244</v>
      </c>
      <c r="K42" s="125">
        <f t="shared" si="6"/>
        <v>496.571973210414</v>
      </c>
      <c r="L42" s="126"/>
      <c r="M42" s="126"/>
    </row>
    <row r="43" spans="1:13" ht="12.75" customHeight="1">
      <c r="A43" s="124" t="s">
        <v>197</v>
      </c>
      <c r="B43" s="125">
        <f>0</f>
        <v>0</v>
      </c>
      <c r="C43" s="125">
        <f>0</f>
        <v>0</v>
      </c>
      <c r="D43" s="125">
        <f>0</f>
        <v>0</v>
      </c>
      <c r="E43" s="125">
        <f>0</f>
        <v>0</v>
      </c>
      <c r="F43" s="125">
        <f t="shared" ref="F43:K43" si="7">$D42*(F29/$D29)*F38*F39*F41</f>
        <v>1.4327258899578055</v>
      </c>
      <c r="G43" s="125">
        <f t="shared" si="7"/>
        <v>7.3582203901843801</v>
      </c>
      <c r="H43" s="125">
        <f t="shared" si="7"/>
        <v>17.786139951465653</v>
      </c>
      <c r="I43" s="125">
        <f t="shared" si="7"/>
        <v>28.422246287901856</v>
      </c>
      <c r="J43" s="125">
        <f t="shared" si="7"/>
        <v>34.880191231936827</v>
      </c>
      <c r="K43" s="125">
        <f t="shared" si="7"/>
        <v>37.010089516781903</v>
      </c>
      <c r="L43" s="126"/>
      <c r="M43" s="126"/>
    </row>
    <row r="44" spans="1:13" ht="12.75" customHeight="1">
      <c r="A44" s="128" t="s">
        <v>198</v>
      </c>
      <c r="B44" s="122">
        <f t="shared" ref="B44:K44" si="8">B36+B42</f>
        <v>1086</v>
      </c>
      <c r="C44" s="122">
        <f t="shared" si="8"/>
        <v>1211</v>
      </c>
      <c r="D44" s="122">
        <f t="shared" si="8"/>
        <v>1266</v>
      </c>
      <c r="E44" s="122">
        <f t="shared" si="8"/>
        <v>1100</v>
      </c>
      <c r="F44" s="129">
        <f t="shared" si="8"/>
        <v>1268.5294485716151</v>
      </c>
      <c r="G44" s="129">
        <f t="shared" si="8"/>
        <v>1182.3427108368273</v>
      </c>
      <c r="H44" s="129">
        <f t="shared" si="8"/>
        <v>1098.8617616378565</v>
      </c>
      <c r="I44" s="129">
        <f t="shared" si="8"/>
        <v>1012.8193817913568</v>
      </c>
      <c r="J44" s="129">
        <f t="shared" si="8"/>
        <v>967.50658092855292</v>
      </c>
      <c r="K44" s="129">
        <f t="shared" si="8"/>
        <v>959.12099600759393</v>
      </c>
      <c r="L44" s="86"/>
      <c r="M44" s="86"/>
    </row>
    <row r="45" spans="1:13" ht="12.75" customHeight="1">
      <c r="A45" s="128" t="s">
        <v>199</v>
      </c>
      <c r="B45" s="122">
        <f t="shared" ref="B45:K45" si="9">B37+B43</f>
        <v>0</v>
      </c>
      <c r="C45" s="122">
        <f t="shared" si="9"/>
        <v>0</v>
      </c>
      <c r="D45" s="122">
        <f t="shared" si="9"/>
        <v>0</v>
      </c>
      <c r="E45" s="122">
        <f t="shared" si="9"/>
        <v>0</v>
      </c>
      <c r="F45" s="129">
        <f t="shared" si="9"/>
        <v>12.512331492159692</v>
      </c>
      <c r="G45" s="129">
        <f t="shared" si="9"/>
        <v>38.595421954342527</v>
      </c>
      <c r="H45" s="129">
        <f t="shared" si="9"/>
        <v>81.171146956712974</v>
      </c>
      <c r="I45" s="129">
        <f t="shared" si="9"/>
        <v>129.36943705164316</v>
      </c>
      <c r="J45" s="129">
        <f t="shared" si="9"/>
        <v>170.96441735200173</v>
      </c>
      <c r="K45" s="129">
        <f t="shared" si="9"/>
        <v>201.76115107693192</v>
      </c>
      <c r="L45" s="86"/>
      <c r="M45" s="86"/>
    </row>
    <row r="46" spans="1:13" ht="12.75" customHeight="1">
      <c r="A46" s="128" t="s">
        <v>200</v>
      </c>
      <c r="B46" s="311">
        <f>D13</f>
        <v>1086</v>
      </c>
      <c r="C46" s="311">
        <f>G13</f>
        <v>1211</v>
      </c>
      <c r="D46" s="311">
        <f>H13</f>
        <v>1266</v>
      </c>
      <c r="E46" s="311">
        <f>I13</f>
        <v>1100</v>
      </c>
      <c r="F46" s="129">
        <f t="shared" ref="F46:K46" si="10">F44+F45</f>
        <v>1281.0417800637749</v>
      </c>
      <c r="G46" s="129">
        <f t="shared" si="10"/>
        <v>1220.9381327911699</v>
      </c>
      <c r="H46" s="129">
        <f t="shared" si="10"/>
        <v>1180.0329085945696</v>
      </c>
      <c r="I46" s="129">
        <f t="shared" si="10"/>
        <v>1142.188818843</v>
      </c>
      <c r="J46" s="129">
        <f t="shared" si="10"/>
        <v>1138.4709982805546</v>
      </c>
      <c r="K46" s="129">
        <f t="shared" si="10"/>
        <v>1160.882147084526</v>
      </c>
      <c r="L46" s="86"/>
      <c r="M46" s="86"/>
    </row>
    <row r="47" spans="1:13" ht="12.75" customHeight="1">
      <c r="A47" s="113" t="s">
        <v>201</v>
      </c>
      <c r="B47" s="130"/>
      <c r="C47" s="130"/>
      <c r="D47" s="130"/>
      <c r="E47" s="130"/>
      <c r="F47" s="131">
        <f t="shared" ref="F47:K47" si="11">F46/$D46-1</f>
        <v>1.1881342862381405E-2</v>
      </c>
      <c r="G47" s="131">
        <f t="shared" si="11"/>
        <v>-3.5593891950102763E-2</v>
      </c>
      <c r="H47" s="131">
        <f t="shared" si="11"/>
        <v>-6.7904495580908719E-2</v>
      </c>
      <c r="I47" s="131">
        <f t="shared" si="11"/>
        <v>-9.7797141514218033E-2</v>
      </c>
      <c r="J47" s="131">
        <f t="shared" si="11"/>
        <v>-0.10073380862515435</v>
      </c>
      <c r="K47" s="131">
        <f t="shared" si="11"/>
        <v>-8.3031479396108998E-2</v>
      </c>
      <c r="L47" s="86"/>
      <c r="M47" s="86"/>
    </row>
    <row r="48" spans="1:13" ht="12.75" customHeight="1">
      <c r="A48" s="464" t="s">
        <v>386</v>
      </c>
      <c r="B48" s="464"/>
      <c r="C48" s="464"/>
      <c r="D48" s="464"/>
      <c r="E48" s="464"/>
      <c r="F48" s="464"/>
      <c r="G48" s="464"/>
      <c r="H48" s="464"/>
      <c r="I48" s="464"/>
      <c r="J48" s="464"/>
      <c r="K48" s="464"/>
      <c r="L48" s="86"/>
      <c r="M48" s="86"/>
    </row>
    <row r="49" spans="1:13" ht="12.75" customHeight="1">
      <c r="A49" s="267"/>
      <c r="B49" s="267"/>
      <c r="C49" s="267"/>
      <c r="D49" s="267"/>
      <c r="E49" s="267"/>
      <c r="F49" s="267"/>
      <c r="G49" s="267"/>
      <c r="H49" s="267"/>
      <c r="I49" s="267"/>
      <c r="J49" s="267"/>
      <c r="K49" s="267"/>
      <c r="L49" s="86"/>
      <c r="M49" s="86"/>
    </row>
    <row r="50" spans="1:13" ht="12.75" customHeight="1">
      <c r="A50" s="467" t="s">
        <v>150</v>
      </c>
      <c r="B50" s="467"/>
      <c r="C50" s="467"/>
      <c r="D50" s="467"/>
      <c r="E50" s="467"/>
      <c r="F50" s="467"/>
      <c r="G50" s="467"/>
      <c r="H50" s="467"/>
      <c r="I50" s="467"/>
      <c r="J50" s="467"/>
      <c r="K50" s="467"/>
      <c r="L50" s="86"/>
      <c r="M50" s="86"/>
    </row>
    <row r="51" spans="1:13" ht="12.75" customHeight="1">
      <c r="A51" s="267"/>
      <c r="B51" s="267"/>
      <c r="C51" s="267"/>
      <c r="D51" s="267"/>
      <c r="E51" s="267"/>
      <c r="F51" s="267"/>
      <c r="G51" s="267"/>
      <c r="H51" s="267"/>
      <c r="I51" s="267"/>
      <c r="J51" s="267"/>
      <c r="K51" s="267"/>
      <c r="L51" s="86"/>
      <c r="M51" s="86"/>
    </row>
    <row r="52" spans="1:13" ht="12.75" customHeight="1">
      <c r="A52" s="112" t="s">
        <v>202</v>
      </c>
      <c r="B52" s="1">
        <v>2015</v>
      </c>
      <c r="C52" s="1">
        <v>2018</v>
      </c>
      <c r="D52" s="1">
        <v>2019</v>
      </c>
      <c r="E52" s="1">
        <v>2020</v>
      </c>
      <c r="F52" s="1">
        <v>2025</v>
      </c>
      <c r="G52" s="1">
        <v>2030</v>
      </c>
      <c r="H52" s="1">
        <v>2035</v>
      </c>
      <c r="I52" s="1">
        <v>2040</v>
      </c>
      <c r="J52" s="1">
        <v>2045</v>
      </c>
      <c r="K52" s="1">
        <v>2050</v>
      </c>
      <c r="L52" s="86"/>
      <c r="M52" s="86"/>
    </row>
    <row r="53" spans="1:13" ht="12.75" customHeight="1">
      <c r="A53" s="113" t="s">
        <v>181</v>
      </c>
      <c r="B53" s="114">
        <f t="shared" ref="B53:K53" si="12">B26</f>
        <v>259865</v>
      </c>
      <c r="C53" s="114">
        <f t="shared" si="12"/>
        <v>276128</v>
      </c>
      <c r="D53" s="114">
        <f t="shared" si="12"/>
        <v>281678</v>
      </c>
      <c r="E53" s="114">
        <f t="shared" si="12"/>
        <v>287000</v>
      </c>
      <c r="F53" s="114">
        <f t="shared" si="12"/>
        <v>312000</v>
      </c>
      <c r="G53" s="114">
        <f t="shared" si="12"/>
        <v>336000</v>
      </c>
      <c r="H53" s="114">
        <f t="shared" si="12"/>
        <v>360000</v>
      </c>
      <c r="I53" s="114">
        <f t="shared" si="12"/>
        <v>382000</v>
      </c>
      <c r="J53" s="114">
        <f t="shared" si="12"/>
        <v>403000</v>
      </c>
      <c r="K53" s="114">
        <f t="shared" si="12"/>
        <v>421000</v>
      </c>
      <c r="L53" s="86"/>
      <c r="M53" s="86"/>
    </row>
    <row r="54" spans="1:13" ht="12.75" customHeight="1">
      <c r="A54" s="115" t="s">
        <v>182</v>
      </c>
      <c r="B54" s="116"/>
      <c r="C54" s="132">
        <f t="shared" ref="C54:K54" si="13">C27</f>
        <v>0.25046717464364354</v>
      </c>
      <c r="D54" s="132">
        <f t="shared" si="13"/>
        <v>0.25046717464364354</v>
      </c>
      <c r="E54" s="132">
        <f t="shared" si="13"/>
        <v>0.25046717464364354</v>
      </c>
      <c r="F54" s="132">
        <f t="shared" si="13"/>
        <v>0.25046717464364354</v>
      </c>
      <c r="G54" s="132">
        <f t="shared" si="13"/>
        <v>0.25046717464364354</v>
      </c>
      <c r="H54" s="132">
        <f t="shared" si="13"/>
        <v>0.25046717464364354</v>
      </c>
      <c r="I54" s="132">
        <f t="shared" si="13"/>
        <v>0.25046717464364354</v>
      </c>
      <c r="J54" s="132">
        <f t="shared" si="13"/>
        <v>0.25046717464364354</v>
      </c>
      <c r="K54" s="132">
        <f t="shared" si="13"/>
        <v>0.25046717464364354</v>
      </c>
      <c r="L54" s="86"/>
      <c r="M54" s="86"/>
    </row>
    <row r="55" spans="1:13" ht="12.75" customHeight="1">
      <c r="A55" s="115" t="s">
        <v>183</v>
      </c>
      <c r="B55" s="117"/>
      <c r="C55" s="114">
        <f t="shared" ref="C55:K55" si="14">C28</f>
        <v>69161</v>
      </c>
      <c r="D55" s="114">
        <f t="shared" si="14"/>
        <v>70551.09281927222</v>
      </c>
      <c r="E55" s="114">
        <f t="shared" si="14"/>
        <v>71884.0791227257</v>
      </c>
      <c r="F55" s="114">
        <f t="shared" si="14"/>
        <v>78145.758488816791</v>
      </c>
      <c r="G55" s="114">
        <f t="shared" si="14"/>
        <v>84156.970680264232</v>
      </c>
      <c r="H55" s="114">
        <f t="shared" si="14"/>
        <v>90168.182871711673</v>
      </c>
      <c r="I55" s="114">
        <f t="shared" si="14"/>
        <v>95678.460713871827</v>
      </c>
      <c r="J55" s="114">
        <f t="shared" si="14"/>
        <v>100938.27138138835</v>
      </c>
      <c r="K55" s="114">
        <f t="shared" si="14"/>
        <v>105446.68052497393</v>
      </c>
      <c r="L55" s="86"/>
      <c r="M55" s="86"/>
    </row>
    <row r="56" spans="1:13" ht="12.75" customHeight="1">
      <c r="A56" s="115" t="s">
        <v>184</v>
      </c>
      <c r="B56" s="1"/>
      <c r="C56" s="114">
        <f t="shared" ref="C56:K56" si="15">C29</f>
        <v>25359</v>
      </c>
      <c r="D56" s="114">
        <f t="shared" si="15"/>
        <v>25868.700030420674</v>
      </c>
      <c r="E56" s="114">
        <f t="shared" si="15"/>
        <v>26357.461032564606</v>
      </c>
      <c r="F56" s="114">
        <f t="shared" si="15"/>
        <v>28653.40711554062</v>
      </c>
      <c r="G56" s="114">
        <f t="shared" si="15"/>
        <v>30857.515355197589</v>
      </c>
      <c r="H56" s="114">
        <f t="shared" si="15"/>
        <v>33061.623594854558</v>
      </c>
      <c r="I56" s="114">
        <f t="shared" si="15"/>
        <v>35082.056147873453</v>
      </c>
      <c r="J56" s="114">
        <f t="shared" si="15"/>
        <v>37010.650857573302</v>
      </c>
      <c r="K56" s="114">
        <f t="shared" si="15"/>
        <v>38663.732037316026</v>
      </c>
      <c r="L56" s="86"/>
      <c r="M56" s="86"/>
    </row>
    <row r="57" spans="1:13" ht="12.75" customHeight="1">
      <c r="A57" s="86"/>
      <c r="B57" s="86"/>
      <c r="C57" s="86"/>
      <c r="D57" s="87"/>
      <c r="E57" s="86"/>
      <c r="F57" s="86"/>
      <c r="G57" s="86"/>
      <c r="H57" s="86"/>
      <c r="I57" s="86"/>
      <c r="J57" s="86"/>
      <c r="K57" s="86"/>
      <c r="L57" s="86"/>
      <c r="M57" s="86"/>
    </row>
    <row r="58" spans="1:13" ht="12.75" customHeight="1">
      <c r="A58" s="112" t="s">
        <v>203</v>
      </c>
      <c r="B58" s="1">
        <v>2015</v>
      </c>
      <c r="C58" s="1">
        <v>2018</v>
      </c>
      <c r="D58" s="1">
        <v>2019</v>
      </c>
      <c r="E58" s="1">
        <v>2020</v>
      </c>
      <c r="F58" s="1">
        <v>2025</v>
      </c>
      <c r="G58" s="1">
        <v>2030</v>
      </c>
      <c r="H58" s="1">
        <v>2035</v>
      </c>
      <c r="I58" s="1">
        <v>2040</v>
      </c>
      <c r="J58" s="1">
        <v>2045</v>
      </c>
      <c r="K58" s="1">
        <v>2050</v>
      </c>
      <c r="L58" s="86"/>
      <c r="M58" s="86"/>
    </row>
    <row r="59" spans="1:13" ht="12.75" customHeight="1">
      <c r="A59" s="113" t="s">
        <v>186</v>
      </c>
      <c r="B59" s="133">
        <f>1</f>
        <v>1</v>
      </c>
      <c r="C59" s="133">
        <f>1</f>
        <v>1</v>
      </c>
      <c r="D59" s="133">
        <f>1</f>
        <v>1</v>
      </c>
      <c r="E59" s="133">
        <f>1</f>
        <v>1</v>
      </c>
      <c r="F59" s="133">
        <f>1</f>
        <v>1</v>
      </c>
      <c r="G59" s="133">
        <f>1</f>
        <v>1</v>
      </c>
      <c r="H59" s="133">
        <f>1</f>
        <v>1</v>
      </c>
      <c r="I59" s="133">
        <f>1</f>
        <v>1</v>
      </c>
      <c r="J59" s="133">
        <f>1</f>
        <v>1</v>
      </c>
      <c r="K59" s="133">
        <f>1</f>
        <v>1</v>
      </c>
      <c r="L59" s="86"/>
      <c r="M59" s="86"/>
    </row>
    <row r="60" spans="1:13" ht="12.75" customHeight="1">
      <c r="A60" s="113" t="s">
        <v>187</v>
      </c>
      <c r="B60" s="121">
        <f>0%</f>
        <v>0</v>
      </c>
      <c r="C60" s="121">
        <f>0%</f>
        <v>0</v>
      </c>
      <c r="D60" s="121">
        <f>0%</f>
        <v>0</v>
      </c>
      <c r="E60" s="121">
        <f>0%</f>
        <v>0</v>
      </c>
      <c r="F60" s="134">
        <v>5.7142857142857099E-2</v>
      </c>
      <c r="G60" s="134">
        <v>0.204030226700252</v>
      </c>
      <c r="H60" s="134">
        <v>0.468982630272953</v>
      </c>
      <c r="I60" s="123">
        <v>0.70493643043896304</v>
      </c>
      <c r="J60" s="123">
        <v>0.89672253891250497</v>
      </c>
      <c r="K60" s="123">
        <v>1</v>
      </c>
      <c r="L60" s="86"/>
      <c r="M60" s="86"/>
    </row>
    <row r="61" spans="1:13" ht="12.75" customHeight="1">
      <c r="A61" s="113" t="s">
        <v>188</v>
      </c>
      <c r="B61" s="122"/>
      <c r="C61" s="122"/>
      <c r="D61" s="122"/>
      <c r="E61" s="121">
        <v>0.99272954898911403</v>
      </c>
      <c r="F61" s="121">
        <v>0.90069945087288505</v>
      </c>
      <c r="G61" s="121">
        <v>0.84416717546272102</v>
      </c>
      <c r="H61" s="121">
        <v>0.80593952326986795</v>
      </c>
      <c r="I61" s="121">
        <v>0.77853415799552395</v>
      </c>
      <c r="J61" s="121">
        <v>0.76285818755827595</v>
      </c>
      <c r="K61" s="121">
        <v>0.76205287713841396</v>
      </c>
      <c r="L61" s="86"/>
      <c r="M61" s="86"/>
    </row>
    <row r="62" spans="1:13" ht="12.75" customHeight="1">
      <c r="A62" s="113" t="s">
        <v>189</v>
      </c>
      <c r="B62" s="122"/>
      <c r="C62" s="122"/>
      <c r="D62" s="122"/>
      <c r="E62" s="121">
        <f>30%</f>
        <v>0.3</v>
      </c>
      <c r="F62" s="121">
        <f>30%</f>
        <v>0.3</v>
      </c>
      <c r="G62" s="121">
        <f>30%</f>
        <v>0.3</v>
      </c>
      <c r="H62" s="121">
        <f>30%</f>
        <v>0.3</v>
      </c>
      <c r="I62" s="121">
        <f>30%</f>
        <v>0.3</v>
      </c>
      <c r="J62" s="121">
        <f>30%</f>
        <v>0.3</v>
      </c>
      <c r="K62" s="121">
        <f>30%</f>
        <v>0.3</v>
      </c>
      <c r="L62" s="86"/>
      <c r="M62" s="86"/>
    </row>
    <row r="63" spans="1:13" ht="12.75" customHeight="1">
      <c r="A63" s="124" t="s">
        <v>190</v>
      </c>
      <c r="B63" s="310">
        <f>B73*I18</f>
        <v>603.23651779058378</v>
      </c>
      <c r="C63" s="310">
        <f>C73*I18</f>
        <v>672.66981864124955</v>
      </c>
      <c r="D63" s="310">
        <f>D73*I18</f>
        <v>703.22047101554244</v>
      </c>
      <c r="E63" s="310">
        <f>E73*I18</f>
        <v>611.01304748585835</v>
      </c>
      <c r="F63" s="125">
        <f t="shared" ref="F63:K63" si="16">$D63*(F53/$D53)*(F54/$D54)*F59*(1-F60)*F61</f>
        <v>661.48342102078493</v>
      </c>
      <c r="G63" s="125">
        <f t="shared" si="16"/>
        <v>563.64140731931252</v>
      </c>
      <c r="H63" s="125">
        <f t="shared" si="16"/>
        <v>384.63806248598041</v>
      </c>
      <c r="I63" s="125">
        <f t="shared" si="16"/>
        <v>219.07620195038541</v>
      </c>
      <c r="J63" s="125">
        <f t="shared" si="16"/>
        <v>79.267103172504548</v>
      </c>
      <c r="K63" s="125">
        <f t="shared" si="16"/>
        <v>0</v>
      </c>
      <c r="L63" s="86"/>
      <c r="M63" s="86"/>
    </row>
    <row r="64" spans="1:13" ht="12.75" customHeight="1">
      <c r="A64" s="124" t="s">
        <v>191</v>
      </c>
      <c r="B64" s="125">
        <f>0</f>
        <v>0</v>
      </c>
      <c r="C64" s="125">
        <f>0</f>
        <v>0</v>
      </c>
      <c r="D64" s="125">
        <f>0</f>
        <v>0</v>
      </c>
      <c r="E64" s="125">
        <f>0</f>
        <v>0</v>
      </c>
      <c r="F64" s="125">
        <f t="shared" ref="F64:K64" si="17">$D63*(F53/$D53)*(F54/$D54)*F59*F60*F62</f>
        <v>13.352923974397253</v>
      </c>
      <c r="G64" s="125">
        <f t="shared" si="17"/>
        <v>51.344463528756798</v>
      </c>
      <c r="H64" s="125">
        <f t="shared" si="17"/>
        <v>126.45007457144196</v>
      </c>
      <c r="I64" s="125">
        <f t="shared" si="17"/>
        <v>201.68479080087937</v>
      </c>
      <c r="J64" s="125">
        <f t="shared" si="17"/>
        <v>270.65930539013499</v>
      </c>
      <c r="K64" s="125">
        <f t="shared" si="17"/>
        <v>315.31303647875592</v>
      </c>
      <c r="L64" s="86"/>
      <c r="M64" s="86"/>
    </row>
    <row r="65" spans="1:13" ht="12.75" customHeight="1">
      <c r="A65" s="113" t="s">
        <v>192</v>
      </c>
      <c r="B65" s="120">
        <f>1</f>
        <v>1</v>
      </c>
      <c r="C65" s="120">
        <f>1</f>
        <v>1</v>
      </c>
      <c r="D65" s="120">
        <f>1</f>
        <v>1</v>
      </c>
      <c r="E65" s="120">
        <f>1</f>
        <v>1</v>
      </c>
      <c r="F65" s="120">
        <f>1</f>
        <v>1</v>
      </c>
      <c r="G65" s="120">
        <f>1</f>
        <v>1</v>
      </c>
      <c r="H65" s="120">
        <f>1</f>
        <v>1</v>
      </c>
      <c r="I65" s="120">
        <f>1</f>
        <v>1</v>
      </c>
      <c r="J65" s="120">
        <f>1</f>
        <v>1</v>
      </c>
      <c r="K65" s="120">
        <f>1</f>
        <v>1</v>
      </c>
      <c r="L65" s="86"/>
      <c r="M65" s="86"/>
    </row>
    <row r="66" spans="1:13" ht="12.75" customHeight="1">
      <c r="A66" s="113" t="s">
        <v>193</v>
      </c>
      <c r="B66" s="121">
        <f>0%</f>
        <v>0</v>
      </c>
      <c r="C66" s="121">
        <f>0%</f>
        <v>0</v>
      </c>
      <c r="D66" s="121">
        <f>0%</f>
        <v>0</v>
      </c>
      <c r="E66" s="121">
        <f>0%</f>
        <v>0</v>
      </c>
      <c r="F66" s="121">
        <v>1.2545967434604101E-2</v>
      </c>
      <c r="G66" s="121">
        <v>6.6102372112330499E-2</v>
      </c>
      <c r="H66" s="121">
        <v>0.16702069027261701</v>
      </c>
      <c r="I66" s="121">
        <v>0.3135</v>
      </c>
      <c r="J66" s="121">
        <v>0.46139999999999998</v>
      </c>
      <c r="K66" s="121">
        <v>0.57099999999999995</v>
      </c>
      <c r="L66" s="86"/>
      <c r="M66" s="86"/>
    </row>
    <row r="67" spans="1:13" ht="12.75" customHeight="1">
      <c r="A67" s="113" t="s">
        <v>194</v>
      </c>
      <c r="B67" s="122"/>
      <c r="C67" s="122"/>
      <c r="D67" s="122"/>
      <c r="E67" s="121">
        <v>0.99</v>
      </c>
      <c r="F67" s="121">
        <v>0.95225839320681305</v>
      </c>
      <c r="G67" s="121">
        <v>0.83268290493446995</v>
      </c>
      <c r="H67" s="121">
        <v>0.76277577185370304</v>
      </c>
      <c r="I67" s="121">
        <v>0.70272483596984203</v>
      </c>
      <c r="J67" s="121">
        <v>0.666709342233341</v>
      </c>
      <c r="K67" s="121">
        <v>0.634677810719394</v>
      </c>
      <c r="L67" s="86"/>
      <c r="M67" s="86"/>
    </row>
    <row r="68" spans="1:13" ht="12.75" customHeight="1">
      <c r="A68" s="113" t="s">
        <v>195</v>
      </c>
      <c r="B68" s="122"/>
      <c r="C68" s="122"/>
      <c r="D68" s="122"/>
      <c r="E68" s="123">
        <v>0.4</v>
      </c>
      <c r="F68" s="123">
        <f t="shared" ref="F68:K68" si="18">E68</f>
        <v>0.4</v>
      </c>
      <c r="G68" s="123">
        <f t="shared" si="18"/>
        <v>0.4</v>
      </c>
      <c r="H68" s="123">
        <f t="shared" si="18"/>
        <v>0.4</v>
      </c>
      <c r="I68" s="123">
        <f t="shared" si="18"/>
        <v>0.4</v>
      </c>
      <c r="J68" s="123">
        <f t="shared" si="18"/>
        <v>0.4</v>
      </c>
      <c r="K68" s="123">
        <f t="shared" si="18"/>
        <v>0.4</v>
      </c>
      <c r="L68" s="86"/>
      <c r="M68" s="86"/>
    </row>
    <row r="69" spans="1:13" ht="12.75" customHeight="1">
      <c r="A69" s="124" t="s">
        <v>196</v>
      </c>
      <c r="B69" s="310">
        <f>B73*I19</f>
        <v>482.76348220941617</v>
      </c>
      <c r="C69" s="310">
        <f>C73*I19</f>
        <v>538.33018135875045</v>
      </c>
      <c r="D69" s="310">
        <f>D73*I19</f>
        <v>562.77952898445756</v>
      </c>
      <c r="E69" s="310">
        <f>E73*I19</f>
        <v>488.98695251414159</v>
      </c>
      <c r="F69" s="125">
        <f t="shared" ref="F69:K69" si="19">$D69*(F56/$D56)*F65*(1-F66)*F67</f>
        <v>586.15389358036578</v>
      </c>
      <c r="G69" s="125">
        <f t="shared" si="19"/>
        <v>522.03973618742623</v>
      </c>
      <c r="H69" s="125">
        <f t="shared" si="19"/>
        <v>457.0029128282622</v>
      </c>
      <c r="I69" s="125">
        <f t="shared" si="19"/>
        <v>368.19218862848106</v>
      </c>
      <c r="J69" s="125">
        <f t="shared" si="19"/>
        <v>289.13009514411539</v>
      </c>
      <c r="K69" s="125">
        <f t="shared" si="19"/>
        <v>229.02245524313935</v>
      </c>
      <c r="L69" s="86"/>
      <c r="M69" s="86"/>
    </row>
    <row r="70" spans="1:13" ht="12.75" customHeight="1">
      <c r="A70" s="124" t="s">
        <v>197</v>
      </c>
      <c r="B70" s="125">
        <f>0</f>
        <v>0</v>
      </c>
      <c r="C70" s="125">
        <f>0</f>
        <v>0</v>
      </c>
      <c r="D70" s="125">
        <f>0</f>
        <v>0</v>
      </c>
      <c r="E70" s="125">
        <f>0</f>
        <v>0</v>
      </c>
      <c r="F70" s="125">
        <f t="shared" ref="F70:K70" si="20">$D69*(F56/$D56)*F65*F66*F68</f>
        <v>3.1282690970146936</v>
      </c>
      <c r="G70" s="125">
        <f t="shared" si="20"/>
        <v>17.750135656965167</v>
      </c>
      <c r="H70" s="125">
        <f t="shared" si="20"/>
        <v>48.052737018612248</v>
      </c>
      <c r="I70" s="125">
        <f t="shared" si="20"/>
        <v>95.707564030689923</v>
      </c>
      <c r="J70" s="125">
        <f t="shared" si="20"/>
        <v>148.60314159201894</v>
      </c>
      <c r="K70" s="125">
        <f t="shared" si="20"/>
        <v>192.1160101280224</v>
      </c>
      <c r="L70" s="86"/>
      <c r="M70" s="86"/>
    </row>
    <row r="71" spans="1:13" ht="12.75" customHeight="1">
      <c r="A71" s="128" t="s">
        <v>198</v>
      </c>
      <c r="B71" s="122">
        <f t="shared" ref="B71:K71" si="21">B63+B69</f>
        <v>1086</v>
      </c>
      <c r="C71" s="122">
        <f t="shared" si="21"/>
        <v>1211</v>
      </c>
      <c r="D71" s="122">
        <f t="shared" si="21"/>
        <v>1266</v>
      </c>
      <c r="E71" s="122">
        <f t="shared" si="21"/>
        <v>1100</v>
      </c>
      <c r="F71" s="129">
        <f t="shared" si="21"/>
        <v>1247.6373146011506</v>
      </c>
      <c r="G71" s="129">
        <f t="shared" si="21"/>
        <v>1085.6811435067389</v>
      </c>
      <c r="H71" s="129">
        <f t="shared" si="21"/>
        <v>841.64097531424261</v>
      </c>
      <c r="I71" s="129">
        <f t="shared" si="21"/>
        <v>587.2683905788665</v>
      </c>
      <c r="J71" s="129">
        <f t="shared" si="21"/>
        <v>368.39719831661995</v>
      </c>
      <c r="K71" s="129">
        <f t="shared" si="21"/>
        <v>229.02245524313935</v>
      </c>
      <c r="L71" s="86"/>
      <c r="M71" s="86"/>
    </row>
    <row r="72" spans="1:13" ht="12.75" customHeight="1">
      <c r="A72" s="128" t="s">
        <v>199</v>
      </c>
      <c r="B72" s="122">
        <f t="shared" ref="B72:K72" si="22">B64+B70</f>
        <v>0</v>
      </c>
      <c r="C72" s="122">
        <f t="shared" si="22"/>
        <v>0</v>
      </c>
      <c r="D72" s="122">
        <f t="shared" si="22"/>
        <v>0</v>
      </c>
      <c r="E72" s="122">
        <f t="shared" si="22"/>
        <v>0</v>
      </c>
      <c r="F72" s="129">
        <f t="shared" si="22"/>
        <v>16.481193071411948</v>
      </c>
      <c r="G72" s="129">
        <f t="shared" si="22"/>
        <v>69.094599185721961</v>
      </c>
      <c r="H72" s="129">
        <f t="shared" si="22"/>
        <v>174.50281159005419</v>
      </c>
      <c r="I72" s="129">
        <f t="shared" si="22"/>
        <v>297.39235483156926</v>
      </c>
      <c r="J72" s="129">
        <f t="shared" si="22"/>
        <v>419.26244698215396</v>
      </c>
      <c r="K72" s="129">
        <f t="shared" si="22"/>
        <v>507.42904660677834</v>
      </c>
      <c r="L72" s="86"/>
      <c r="M72" s="86"/>
    </row>
    <row r="73" spans="1:13" ht="12.75" customHeight="1">
      <c r="A73" s="128" t="s">
        <v>200</v>
      </c>
      <c r="B73" s="311">
        <f>B46</f>
        <v>1086</v>
      </c>
      <c r="C73" s="311">
        <f>C46</f>
        <v>1211</v>
      </c>
      <c r="D73" s="311">
        <f>D46</f>
        <v>1266</v>
      </c>
      <c r="E73" s="311">
        <f>E46</f>
        <v>1100</v>
      </c>
      <c r="F73" s="129">
        <f t="shared" ref="F73:K73" si="23">F71+F72</f>
        <v>1264.1185076725626</v>
      </c>
      <c r="G73" s="129">
        <f t="shared" si="23"/>
        <v>1154.7757426924609</v>
      </c>
      <c r="H73" s="129">
        <f t="shared" si="23"/>
        <v>1016.1437869042968</v>
      </c>
      <c r="I73" s="129">
        <f t="shared" si="23"/>
        <v>884.66074541043577</v>
      </c>
      <c r="J73" s="129">
        <f t="shared" si="23"/>
        <v>787.65964529877397</v>
      </c>
      <c r="K73" s="129">
        <f t="shared" si="23"/>
        <v>736.45150184991769</v>
      </c>
      <c r="L73" s="86"/>
      <c r="M73" s="86"/>
    </row>
    <row r="74" spans="1:13" ht="12.75" customHeight="1">
      <c r="A74" s="113" t="s">
        <v>201</v>
      </c>
      <c r="B74" s="130"/>
      <c r="C74" s="130"/>
      <c r="D74" s="130"/>
      <c r="E74" s="130"/>
      <c r="F74" s="131">
        <f t="shared" ref="F74:K74" si="24">F73/$D73-1</f>
        <v>-1.4861708747531122E-3</v>
      </c>
      <c r="G74" s="131">
        <f t="shared" si="24"/>
        <v>-8.7854863592052967E-2</v>
      </c>
      <c r="H74" s="131">
        <f t="shared" si="24"/>
        <v>-0.19735877811666924</v>
      </c>
      <c r="I74" s="131">
        <f t="shared" si="24"/>
        <v>-0.30121584090802866</v>
      </c>
      <c r="J74" s="131">
        <f t="shared" si="24"/>
        <v>-0.37783598317632383</v>
      </c>
      <c r="K74" s="131">
        <f t="shared" si="24"/>
        <v>-0.41828475367305085</v>
      </c>
      <c r="L74" s="86"/>
      <c r="M74" s="86"/>
    </row>
    <row r="75" spans="1:13" ht="12.75" customHeight="1">
      <c r="A75" s="464" t="s">
        <v>387</v>
      </c>
      <c r="B75" s="464"/>
      <c r="C75" s="464"/>
      <c r="D75" s="464"/>
      <c r="E75" s="464"/>
      <c r="F75" s="464"/>
      <c r="G75" s="464"/>
      <c r="H75" s="464"/>
      <c r="I75" s="464"/>
      <c r="J75" s="464"/>
      <c r="K75" s="464"/>
      <c r="L75" s="86"/>
      <c r="M75" s="86"/>
    </row>
    <row r="76" spans="1:13" ht="12.75" customHeight="1">
      <c r="A76" s="86"/>
      <c r="B76" s="86"/>
      <c r="C76" s="86"/>
      <c r="D76" s="87"/>
      <c r="E76" s="86"/>
      <c r="F76" s="86"/>
      <c r="G76" s="86"/>
      <c r="H76" s="86"/>
      <c r="I76" s="86"/>
      <c r="J76" s="86"/>
      <c r="K76" s="86"/>
      <c r="L76" s="86"/>
      <c r="M76" s="86"/>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zoomScaleNormal="100" workbookViewId="0">
      <selection activeCell="J9" sqref="J9"/>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47" t="s">
        <v>55</v>
      </c>
      <c r="B3" s="447"/>
      <c r="C3" s="447"/>
      <c r="D3" s="447"/>
      <c r="E3" s="447"/>
      <c r="F3" s="447"/>
      <c r="G3" s="447"/>
      <c r="H3" s="447"/>
      <c r="I3" s="447"/>
      <c r="J3" s="447"/>
      <c r="K3" s="447"/>
      <c r="L3" s="447"/>
      <c r="M3" s="447"/>
    </row>
    <row r="5" spans="1:13">
      <c r="A5" s="35"/>
      <c r="B5" s="30">
        <v>2010</v>
      </c>
      <c r="C5" s="30">
        <v>2011</v>
      </c>
      <c r="D5" s="30">
        <v>2012</v>
      </c>
      <c r="E5" s="30">
        <v>2013</v>
      </c>
      <c r="F5" s="30">
        <v>2014</v>
      </c>
      <c r="G5" s="30">
        <v>2015</v>
      </c>
      <c r="H5" s="30">
        <v>2016</v>
      </c>
      <c r="I5" s="30">
        <v>2017</v>
      </c>
      <c r="J5" s="30">
        <v>2018</v>
      </c>
      <c r="K5" s="30">
        <v>2019</v>
      </c>
      <c r="L5" s="168">
        <v>2020</v>
      </c>
      <c r="M5" s="276" t="s">
        <v>390</v>
      </c>
    </row>
    <row r="6" spans="1:13">
      <c r="A6" s="30" t="s">
        <v>204</v>
      </c>
      <c r="B6" s="135">
        <v>6.8999999999999992E-2</v>
      </c>
      <c r="C6" s="135"/>
      <c r="D6" s="44"/>
      <c r="E6" s="77"/>
      <c r="F6" s="77">
        <v>0.105</v>
      </c>
      <c r="G6" s="77">
        <v>9.1999999999999998E-2</v>
      </c>
      <c r="H6" s="77">
        <v>9.4E-2</v>
      </c>
      <c r="I6" s="136">
        <v>9.6000000000000002E-2</v>
      </c>
      <c r="J6" s="136">
        <v>9.8000000000000004E-2</v>
      </c>
      <c r="K6" s="136">
        <v>9.3999999999999861E-2</v>
      </c>
      <c r="L6" s="273">
        <v>9.2999999999999527E-2</v>
      </c>
      <c r="M6" s="277" t="s">
        <v>392</v>
      </c>
    </row>
    <row r="7" spans="1:13">
      <c r="A7" s="279" t="s">
        <v>427</v>
      </c>
      <c r="B7" s="279">
        <v>3512</v>
      </c>
      <c r="C7" s="279">
        <v>3668</v>
      </c>
      <c r="D7" s="279">
        <v>3948</v>
      </c>
      <c r="E7" s="279">
        <v>3890</v>
      </c>
      <c r="F7" s="279">
        <v>4037</v>
      </c>
      <c r="G7" s="279">
        <v>3993</v>
      </c>
      <c r="H7" s="279">
        <v>4131</v>
      </c>
      <c r="I7" s="279">
        <v>3978</v>
      </c>
      <c r="J7" s="279">
        <v>4164</v>
      </c>
      <c r="K7" s="279">
        <v>4354</v>
      </c>
      <c r="L7" s="168"/>
      <c r="M7" s="278" t="s">
        <v>391</v>
      </c>
    </row>
    <row r="8" spans="1:13">
      <c r="A8" s="30" t="s">
        <v>205</v>
      </c>
      <c r="B8" s="39">
        <v>242.32799999999997</v>
      </c>
      <c r="C8" s="39"/>
      <c r="D8" s="39"/>
      <c r="E8" s="39"/>
      <c r="F8" s="39">
        <v>423.88499999999999</v>
      </c>
      <c r="G8" s="39">
        <v>367.35599999999999</v>
      </c>
      <c r="H8" s="137">
        <v>388.31400000000002</v>
      </c>
      <c r="I8" s="137">
        <v>381.88800000000003</v>
      </c>
      <c r="J8" s="137">
        <v>408.072</v>
      </c>
      <c r="K8" s="137">
        <v>409.27599999999939</v>
      </c>
      <c r="L8" s="168"/>
      <c r="M8" s="278"/>
    </row>
    <row r="9" spans="1:13">
      <c r="A9" s="30" t="s">
        <v>206</v>
      </c>
      <c r="B9" s="77">
        <v>7.3999999999999996E-2</v>
      </c>
      <c r="C9" s="77"/>
      <c r="D9" s="77"/>
      <c r="E9" s="77"/>
      <c r="F9" s="77">
        <v>7.9000000000000001E-2</v>
      </c>
      <c r="G9" s="77">
        <v>7.2999999999999995E-2</v>
      </c>
      <c r="H9" s="77">
        <v>6.3E-2</v>
      </c>
      <c r="I9" s="136">
        <v>5.7999999999999996E-2</v>
      </c>
      <c r="J9" s="136">
        <v>5.2999999999999999E-2</v>
      </c>
      <c r="K9" s="136">
        <v>4.5100000000001472E-2</v>
      </c>
      <c r="L9" s="273">
        <v>3.84000000000011E-2</v>
      </c>
      <c r="M9" s="277" t="s">
        <v>392</v>
      </c>
    </row>
    <row r="10" spans="1:13">
      <c r="A10" s="30" t="s">
        <v>207</v>
      </c>
      <c r="B10" s="39">
        <v>259.88799999999998</v>
      </c>
      <c r="C10" s="39"/>
      <c r="D10" s="39"/>
      <c r="E10" s="39"/>
      <c r="F10" s="39">
        <v>318.923</v>
      </c>
      <c r="G10" s="39">
        <v>291.48899999999998</v>
      </c>
      <c r="H10" s="137">
        <v>260.25299999999999</v>
      </c>
      <c r="I10" s="137">
        <v>230.72399999999999</v>
      </c>
      <c r="J10" s="137">
        <v>220.69200000000001</v>
      </c>
      <c r="K10" s="137">
        <v>196.36540000000642</v>
      </c>
      <c r="L10" s="168"/>
      <c r="M10" s="278"/>
    </row>
    <row r="11" spans="1:13">
      <c r="B11" s="138"/>
      <c r="M11" s="280"/>
    </row>
    <row r="12" spans="1:13">
      <c r="B12" s="30">
        <v>2010</v>
      </c>
      <c r="C12" s="30">
        <v>2011</v>
      </c>
      <c r="D12" s="30">
        <v>2012</v>
      </c>
      <c r="E12" s="30">
        <v>2013</v>
      </c>
      <c r="F12" s="30">
        <v>2014</v>
      </c>
      <c r="G12" s="30">
        <v>2015</v>
      </c>
      <c r="H12" s="30">
        <v>2016</v>
      </c>
      <c r="I12" s="30">
        <v>2017</v>
      </c>
      <c r="J12" s="30">
        <v>2018</v>
      </c>
      <c r="K12" s="30">
        <v>2019</v>
      </c>
      <c r="L12" s="168">
        <v>2020</v>
      </c>
      <c r="M12" s="278"/>
    </row>
    <row r="13" spans="1:13" ht="24.6">
      <c r="A13" s="41" t="s">
        <v>208</v>
      </c>
      <c r="B13" s="39">
        <f t="shared" ref="B13:K13" si="0">SUM(B10,B8)</f>
        <v>502.21599999999995</v>
      </c>
      <c r="C13" s="39">
        <f t="shared" si="0"/>
        <v>0</v>
      </c>
      <c r="D13" s="39">
        <f t="shared" si="0"/>
        <v>0</v>
      </c>
      <c r="E13" s="39">
        <f t="shared" si="0"/>
        <v>0</v>
      </c>
      <c r="F13" s="39">
        <f t="shared" si="0"/>
        <v>742.80799999999999</v>
      </c>
      <c r="G13" s="39">
        <f t="shared" si="0"/>
        <v>658.84500000000003</v>
      </c>
      <c r="H13" s="39">
        <f t="shared" si="0"/>
        <v>648.56700000000001</v>
      </c>
      <c r="I13" s="39">
        <f t="shared" si="0"/>
        <v>612.61200000000008</v>
      </c>
      <c r="J13" s="39">
        <f t="shared" si="0"/>
        <v>628.76400000000001</v>
      </c>
      <c r="K13" s="39">
        <f t="shared" si="0"/>
        <v>605.64140000000577</v>
      </c>
      <c r="L13" s="168"/>
      <c r="M13" s="278" t="s">
        <v>441</v>
      </c>
    </row>
    <row r="14" spans="1:13" ht="28.8">
      <c r="A14" s="115" t="s">
        <v>211</v>
      </c>
      <c r="B14" s="30"/>
      <c r="C14" s="30"/>
      <c r="D14" s="30"/>
      <c r="E14" s="39">
        <f>'Bilan d''énergie SDES historique'!D250</f>
        <v>256.04245198454527</v>
      </c>
      <c r="F14" s="39">
        <f>'Bilan d''énergie SDES historique'!D218</f>
        <v>255.93890152955288</v>
      </c>
      <c r="G14" s="39">
        <f>'Bilan d''énergie SDES historique'!D186</f>
        <v>249.846852269669</v>
      </c>
      <c r="H14" s="39">
        <f>'Bilan d''énergie SDES historique'!D154</f>
        <v>122.71193249219682</v>
      </c>
      <c r="I14" s="39">
        <f>'Bilan d''énergie SDES historique'!D122</f>
        <v>330.48781691371818</v>
      </c>
      <c r="J14" s="39">
        <f>'Bilan d''énergie SDES historique'!D90</f>
        <v>278.66659089180871</v>
      </c>
      <c r="K14" s="39">
        <f>'Bilan d''énergie SDES historique'!D58</f>
        <v>12.845083333333335</v>
      </c>
      <c r="L14" s="274">
        <f>'Bilan d''énergie SDES historique'!D26</f>
        <v>1.6523245685572212</v>
      </c>
      <c r="M14" s="278" t="s">
        <v>212</v>
      </c>
    </row>
    <row r="15" spans="1:13">
      <c r="A15" s="115" t="s">
        <v>213</v>
      </c>
      <c r="B15" s="30"/>
      <c r="C15" s="30"/>
      <c r="D15" s="30"/>
      <c r="E15" s="39">
        <f>'Bilan d''énergie SDES historique'!H250</f>
        <v>34.561413888866184</v>
      </c>
      <c r="F15" s="39">
        <f>'Bilan d''énergie SDES historique'!H218</f>
        <v>35.959197107880712</v>
      </c>
      <c r="G15" s="39">
        <f>'Bilan d''énergie SDES historique'!H186</f>
        <v>36.556036510882585</v>
      </c>
      <c r="H15" s="39">
        <f>'Bilan d''énergie SDES historique'!H154</f>
        <v>30.609548145425428</v>
      </c>
      <c r="I15" s="39">
        <f>'Bilan d''énergie SDES historique'!H122</f>
        <v>28.378087238884291</v>
      </c>
      <c r="J15" s="39">
        <f>'Bilan d''énergie SDES historique'!H90</f>
        <v>32.52875297387201</v>
      </c>
      <c r="K15" s="39">
        <f>'Bilan d''énergie SDES historique'!H58</f>
        <v>32.7460097065753</v>
      </c>
      <c r="L15" s="274">
        <f>'Bilan d''énergie SDES historique'!H26</f>
        <v>32.759784431793697</v>
      </c>
      <c r="M15" s="278" t="s">
        <v>214</v>
      </c>
    </row>
    <row r="16" spans="1:13">
      <c r="A16" s="115" t="s">
        <v>215</v>
      </c>
      <c r="B16" s="39">
        <f>GES!V7</f>
        <v>20.544558833519702</v>
      </c>
      <c r="C16" s="39">
        <f>GES!W7</f>
        <v>17.6980458883572</v>
      </c>
      <c r="D16" s="39">
        <f>GES!X7</f>
        <v>40.601698081068101</v>
      </c>
      <c r="E16" s="39">
        <f>GES!Y7</f>
        <v>15.4368403630034</v>
      </c>
      <c r="F16" s="39">
        <f>GES!Z7</f>
        <v>40.928982736367203</v>
      </c>
      <c r="G16" s="39">
        <f>GES!AA7</f>
        <v>42.223679235782399</v>
      </c>
      <c r="H16" s="39">
        <f>GES!AB7</f>
        <v>15.062825981263099</v>
      </c>
      <c r="I16" s="39">
        <f>GES!AC7</f>
        <v>15.2469436132633</v>
      </c>
      <c r="J16" s="39">
        <f>GES!AD7</f>
        <v>14.858081707976501</v>
      </c>
      <c r="K16" s="39">
        <f>GES!AE7</f>
        <v>14.9876475847935</v>
      </c>
      <c r="L16" s="168"/>
      <c r="M16" s="278" t="s">
        <v>216</v>
      </c>
    </row>
    <row r="17" spans="1:23">
      <c r="A17" s="1" t="s">
        <v>217</v>
      </c>
      <c r="B17" s="30"/>
      <c r="C17" s="30"/>
      <c r="D17" s="30"/>
      <c r="E17" s="39">
        <f>'Bilan d''énergie SDES historique'!D256</f>
        <v>79.123254967835635</v>
      </c>
      <c r="F17" s="39">
        <f>'Bilan d''énergie SDES historique'!D224</f>
        <v>79.123254967835635</v>
      </c>
      <c r="G17" s="39">
        <f>'Bilan d''énergie SDES historique'!D192</f>
        <v>66.292297157634238</v>
      </c>
      <c r="H17" s="39">
        <f>'Bilan d''énergie SDES historique'!D160</f>
        <v>76.317473404399081</v>
      </c>
      <c r="I17" s="39">
        <f>'Bilan d''énergie SDES historique'!D128</f>
        <v>57.542588490051344</v>
      </c>
      <c r="J17" s="39">
        <f>'Bilan d''énergie SDES historique'!D96</f>
        <v>66.535968108417009</v>
      </c>
      <c r="K17" s="39">
        <f>'Bilan d''énergie SDES historique'!D64</f>
        <v>66.535968108416995</v>
      </c>
      <c r="L17" s="274">
        <f>'Bilan d''énergie SDES historique'!D32</f>
        <v>62.528456828200007</v>
      </c>
      <c r="M17" s="278" t="s">
        <v>212</v>
      </c>
    </row>
    <row r="18" spans="1:23" ht="24.6">
      <c r="A18" s="1" t="s">
        <v>218</v>
      </c>
      <c r="B18" s="30"/>
      <c r="C18" s="30"/>
      <c r="D18" s="30"/>
      <c r="E18" s="39">
        <f>'Bilan d''énergie SDES historique'!G250</f>
        <v>0</v>
      </c>
      <c r="F18" s="39">
        <f>'Bilan d''énergie SDES historique'!G218</f>
        <v>2.3259999999449999E-5</v>
      </c>
      <c r="G18" s="39">
        <f>'Bilan d''énergie SDES historique'!G186</f>
        <v>0</v>
      </c>
      <c r="H18" s="39">
        <f>'Bilan d''énergie SDES historique'!G154</f>
        <v>0</v>
      </c>
      <c r="I18" s="39">
        <f>'Bilan d''énergie SDES historique'!G122</f>
        <v>0</v>
      </c>
      <c r="J18" s="39">
        <f>'Bilan d''énergie SDES historique'!G90</f>
        <v>0.99948917799999903</v>
      </c>
      <c r="K18" s="39">
        <f>'Bilan d''énergie SDES historique'!G58</f>
        <v>0.99948917799999903</v>
      </c>
      <c r="L18" s="274">
        <f>'Bilan d''énergie SDES historique'!G26</f>
        <v>0</v>
      </c>
      <c r="M18" s="278" t="s">
        <v>219</v>
      </c>
    </row>
    <row r="19" spans="1:23">
      <c r="A19" s="1" t="s">
        <v>220</v>
      </c>
      <c r="B19" s="30"/>
      <c r="C19" s="30"/>
      <c r="D19" s="30"/>
      <c r="E19" s="39">
        <f>'Bilan d''énergie SDES historique'!I250</f>
        <v>0</v>
      </c>
      <c r="F19" s="39">
        <f>'Bilan d''énergie SDES historique'!I218</f>
        <v>0</v>
      </c>
      <c r="G19" s="39">
        <f>'Bilan d''énergie SDES historique'!I186</f>
        <v>0</v>
      </c>
      <c r="H19" s="39">
        <f>'Bilan d''énergie SDES historique'!I154</f>
        <v>0</v>
      </c>
      <c r="I19" s="39">
        <f>'Bilan d''énergie SDES historique'!I122</f>
        <v>0</v>
      </c>
      <c r="J19" s="39">
        <f>'Bilan d''énergie SDES historique'!I90</f>
        <v>0</v>
      </c>
      <c r="K19" s="39">
        <f>'Bilan d''énergie SDES historique'!I58</f>
        <v>0</v>
      </c>
      <c r="L19" s="274">
        <f>'Bilan d''énergie SDES historique'!I26</f>
        <v>0</v>
      </c>
      <c r="M19" s="278" t="s">
        <v>212</v>
      </c>
      <c r="O19" s="469" t="s">
        <v>399</v>
      </c>
      <c r="P19" s="469"/>
      <c r="Q19" s="469"/>
      <c r="R19" s="469"/>
      <c r="S19" s="469"/>
      <c r="T19" s="469"/>
      <c r="U19" s="469"/>
      <c r="V19" s="469"/>
      <c r="W19" s="469"/>
    </row>
    <row r="20" spans="1:23">
      <c r="A20" s="468" t="s">
        <v>393</v>
      </c>
      <c r="B20" s="468"/>
      <c r="C20" s="468"/>
      <c r="D20" s="468"/>
      <c r="E20" s="468"/>
      <c r="F20" s="468"/>
      <c r="G20" s="468"/>
      <c r="H20" s="468"/>
      <c r="I20" s="468"/>
      <c r="J20" s="468"/>
      <c r="K20" s="468"/>
      <c r="L20" s="468"/>
      <c r="M20" s="468"/>
      <c r="O20" s="469"/>
      <c r="P20" s="469"/>
      <c r="Q20" s="469"/>
      <c r="R20" s="469"/>
      <c r="S20" s="469"/>
      <c r="T20" s="469"/>
      <c r="U20" s="469"/>
      <c r="V20" s="469"/>
      <c r="W20" s="469"/>
    </row>
    <row r="22" spans="1:23">
      <c r="A22" s="447" t="s">
        <v>147</v>
      </c>
      <c r="B22" s="447"/>
      <c r="C22" s="447"/>
      <c r="D22" s="447"/>
      <c r="E22" s="447"/>
      <c r="F22" s="447"/>
      <c r="G22" s="447"/>
      <c r="H22" s="447"/>
      <c r="I22" s="447"/>
      <c r="J22" s="447"/>
      <c r="O22" s="447" t="s">
        <v>148</v>
      </c>
      <c r="P22" s="447"/>
      <c r="Q22" s="447"/>
      <c r="R22" s="447"/>
      <c r="S22" s="447"/>
      <c r="T22" s="447"/>
      <c r="U22" s="447"/>
      <c r="V22" s="447"/>
      <c r="W22" s="447"/>
    </row>
    <row r="24" spans="1:23">
      <c r="A24" s="163"/>
      <c r="B24" s="30">
        <v>2019</v>
      </c>
      <c r="C24" s="30">
        <v>2020</v>
      </c>
      <c r="D24" s="30">
        <v>2025</v>
      </c>
      <c r="E24" s="30">
        <v>2030</v>
      </c>
      <c r="F24" s="30">
        <v>2035</v>
      </c>
      <c r="G24" s="30">
        <v>2040</v>
      </c>
      <c r="H24" s="30">
        <v>2045</v>
      </c>
      <c r="I24" s="168">
        <v>2050</v>
      </c>
      <c r="J24" s="276" t="s">
        <v>390</v>
      </c>
      <c r="K24" t="s">
        <v>409</v>
      </c>
      <c r="O24" s="163"/>
      <c r="P24" s="30">
        <v>2014</v>
      </c>
      <c r="Q24" s="30">
        <v>2018</v>
      </c>
      <c r="R24" s="30">
        <v>2025</v>
      </c>
      <c r="S24" s="30">
        <v>2030</v>
      </c>
      <c r="T24" s="30">
        <v>2035</v>
      </c>
      <c r="U24" s="30">
        <v>2040</v>
      </c>
      <c r="V24" s="30">
        <v>2045</v>
      </c>
      <c r="W24" s="30">
        <v>2050</v>
      </c>
    </row>
    <row r="25" spans="1:23" ht="13.8" customHeight="1">
      <c r="A25" s="30" t="s">
        <v>204</v>
      </c>
      <c r="B25" s="136">
        <f>K6</f>
        <v>9.3999999999999861E-2</v>
      </c>
      <c r="C25" s="147">
        <f>L6</f>
        <v>9.2999999999999527E-2</v>
      </c>
      <c r="D25" s="135">
        <f>C25</f>
        <v>9.2999999999999527E-2</v>
      </c>
      <c r="E25" s="135">
        <f t="shared" ref="E25:I25" si="1">D25</f>
        <v>9.2999999999999527E-2</v>
      </c>
      <c r="F25" s="135">
        <f t="shared" si="1"/>
        <v>9.2999999999999527E-2</v>
      </c>
      <c r="G25" s="135">
        <f t="shared" si="1"/>
        <v>9.2999999999999527E-2</v>
      </c>
      <c r="H25" s="135">
        <f t="shared" si="1"/>
        <v>9.2999999999999527E-2</v>
      </c>
      <c r="I25" s="135">
        <f t="shared" si="1"/>
        <v>9.2999999999999527E-2</v>
      </c>
      <c r="J25" s="284" t="s">
        <v>221</v>
      </c>
      <c r="K25" t="s">
        <v>409</v>
      </c>
      <c r="O25" s="30" t="s">
        <v>204</v>
      </c>
      <c r="P25" s="342">
        <v>0.105</v>
      </c>
      <c r="Q25" s="342">
        <v>9.1999999999999998E-2</v>
      </c>
      <c r="R25" s="228"/>
      <c r="S25" s="228"/>
      <c r="T25" s="228"/>
      <c r="U25" s="228"/>
      <c r="V25" s="228"/>
      <c r="W25" s="228"/>
    </row>
    <row r="26" spans="1:23" ht="13.8" customHeight="1">
      <c r="A26" s="279" t="s">
        <v>427</v>
      </c>
      <c r="B26" s="30">
        <f>K7</f>
        <v>4354</v>
      </c>
      <c r="C26" s="30">
        <f>'Cadrage macroéconomique '!B16</f>
        <v>4354</v>
      </c>
      <c r="D26" s="119">
        <f>'Cadrage macroéconomique '!C16</f>
        <v>4967.872651151496</v>
      </c>
      <c r="E26" s="119">
        <f>'Cadrage macroéconomique '!D16</f>
        <v>5539.9072088412331</v>
      </c>
      <c r="F26" s="119">
        <f>'Cadrage macroéconomique '!E16</f>
        <v>6146.2902687475998</v>
      </c>
      <c r="G26" s="119">
        <f>'Cadrage macroéconomique '!F16</f>
        <v>6753.3814656425666</v>
      </c>
      <c r="H26" s="119">
        <f>'Cadrage macroéconomique '!G16</f>
        <v>7377.518676217881</v>
      </c>
      <c r="I26" s="281">
        <f>'Cadrage macroéconomique '!H16</f>
        <v>7980.5848620515198</v>
      </c>
      <c r="J26" s="284" t="s">
        <v>222</v>
      </c>
      <c r="K26" t="s">
        <v>409</v>
      </c>
      <c r="O26" s="30" t="s">
        <v>223</v>
      </c>
      <c r="P26" s="275" t="s">
        <v>437</v>
      </c>
      <c r="Q26" s="275" t="s">
        <v>443</v>
      </c>
      <c r="R26" s="228"/>
      <c r="S26" s="228"/>
      <c r="T26" s="228"/>
      <c r="U26" s="228"/>
      <c r="V26" s="228"/>
      <c r="W26" s="228"/>
    </row>
    <row r="27" spans="1:23" ht="13.8" customHeight="1">
      <c r="A27" s="30" t="s">
        <v>224</v>
      </c>
      <c r="B27" s="141">
        <f>B26*B25</f>
        <v>409.27599999999939</v>
      </c>
      <c r="C27" s="153">
        <f>C25*C26</f>
        <v>404.92199999999792</v>
      </c>
      <c r="D27" s="153">
        <f t="shared" ref="D27:I27" si="2">D26*D25</f>
        <v>462.01215655708677</v>
      </c>
      <c r="E27" s="153">
        <f t="shared" si="2"/>
        <v>515.21137042223211</v>
      </c>
      <c r="F27" s="153">
        <f t="shared" si="2"/>
        <v>571.60499499352386</v>
      </c>
      <c r="G27" s="153">
        <f t="shared" si="2"/>
        <v>628.06447630475554</v>
      </c>
      <c r="H27" s="153">
        <f t="shared" si="2"/>
        <v>686.10923688825949</v>
      </c>
      <c r="I27" s="282">
        <f t="shared" si="2"/>
        <v>742.19439217078752</v>
      </c>
      <c r="J27" s="284"/>
      <c r="O27" s="30" t="s">
        <v>224</v>
      </c>
      <c r="P27" s="228">
        <v>414</v>
      </c>
      <c r="Q27" s="228">
        <v>385</v>
      </c>
      <c r="R27" s="228"/>
      <c r="S27" s="228"/>
      <c r="T27" s="228"/>
      <c r="U27" s="228"/>
      <c r="V27" s="228"/>
      <c r="W27" s="228"/>
    </row>
    <row r="28" spans="1:23" ht="13.8" customHeight="1">
      <c r="A28" s="30" t="s">
        <v>206</v>
      </c>
      <c r="B28" s="136">
        <f>K9</f>
        <v>4.5100000000001472E-2</v>
      </c>
      <c r="C28" s="147">
        <f>L9</f>
        <v>3.84000000000011E-2</v>
      </c>
      <c r="D28" s="135">
        <f>C28</f>
        <v>3.84000000000011E-2</v>
      </c>
      <c r="E28" s="135">
        <f t="shared" ref="E28:I28" si="3">D28</f>
        <v>3.84000000000011E-2</v>
      </c>
      <c r="F28" s="135">
        <f t="shared" si="3"/>
        <v>3.84000000000011E-2</v>
      </c>
      <c r="G28" s="135">
        <f t="shared" si="3"/>
        <v>3.84000000000011E-2</v>
      </c>
      <c r="H28" s="135">
        <f t="shared" si="3"/>
        <v>3.84000000000011E-2</v>
      </c>
      <c r="I28" s="135">
        <f t="shared" si="3"/>
        <v>3.84000000000011E-2</v>
      </c>
      <c r="J28" s="284" t="s">
        <v>221</v>
      </c>
      <c r="K28" t="s">
        <v>409</v>
      </c>
      <c r="O28" s="30" t="s">
        <v>206</v>
      </c>
      <c r="P28" s="342">
        <v>7.9000000000000001E-2</v>
      </c>
      <c r="Q28" s="342">
        <v>7.2999999999999995E-2</v>
      </c>
      <c r="R28" s="228"/>
      <c r="S28" s="228"/>
      <c r="T28" s="228"/>
      <c r="U28" s="228"/>
      <c r="V28" s="228"/>
      <c r="W28" s="228"/>
    </row>
    <row r="29" spans="1:23" ht="13.8" customHeight="1">
      <c r="A29" s="30" t="s">
        <v>225</v>
      </c>
      <c r="B29" s="141">
        <f>B26*B28</f>
        <v>196.36540000000642</v>
      </c>
      <c r="C29" s="153">
        <f>C28*C26</f>
        <v>167.19360000000478</v>
      </c>
      <c r="D29" s="153">
        <f t="shared" ref="D29:I29" si="4">D28*D26</f>
        <v>190.76630980422291</v>
      </c>
      <c r="E29" s="153">
        <f t="shared" si="4"/>
        <v>212.73243681950945</v>
      </c>
      <c r="F29" s="153">
        <f t="shared" si="4"/>
        <v>236.0175463199146</v>
      </c>
      <c r="G29" s="153">
        <f t="shared" si="4"/>
        <v>259.32984828068197</v>
      </c>
      <c r="H29" s="153">
        <f t="shared" si="4"/>
        <v>283.29671716677473</v>
      </c>
      <c r="I29" s="282">
        <f t="shared" si="4"/>
        <v>306.45445870278712</v>
      </c>
      <c r="J29" s="284"/>
      <c r="K29" t="s">
        <v>409</v>
      </c>
      <c r="O29" s="30" t="s">
        <v>225</v>
      </c>
      <c r="P29" s="228">
        <v>311</v>
      </c>
      <c r="Q29" s="228">
        <v>305</v>
      </c>
      <c r="R29" s="228"/>
      <c r="S29" s="228"/>
      <c r="T29" s="228"/>
      <c r="U29" s="228"/>
      <c r="V29" s="228"/>
      <c r="W29" s="228"/>
    </row>
    <row r="30" spans="1:23" ht="13.8" customHeight="1">
      <c r="J30" s="285"/>
      <c r="K30" t="s">
        <v>409</v>
      </c>
    </row>
    <row r="31" spans="1:23" ht="13.8" customHeight="1">
      <c r="B31" s="30">
        <v>2019</v>
      </c>
      <c r="C31" s="30">
        <v>2020</v>
      </c>
      <c r="D31" s="30">
        <v>2025</v>
      </c>
      <c r="E31" s="30">
        <v>2030</v>
      </c>
      <c r="F31" s="30">
        <v>2035</v>
      </c>
      <c r="G31" s="30">
        <v>2040</v>
      </c>
      <c r="H31" s="30">
        <v>2045</v>
      </c>
      <c r="I31" s="168">
        <v>2050</v>
      </c>
      <c r="J31" s="276" t="s">
        <v>390</v>
      </c>
      <c r="K31" t="s">
        <v>409</v>
      </c>
      <c r="P31" s="30">
        <v>2015</v>
      </c>
      <c r="Q31" s="75">
        <v>2017</v>
      </c>
      <c r="R31" s="30">
        <v>2025</v>
      </c>
      <c r="S31" s="30">
        <v>2030</v>
      </c>
      <c r="T31" s="30">
        <v>2035</v>
      </c>
      <c r="U31" s="30">
        <v>2040</v>
      </c>
      <c r="V31" s="30">
        <v>2045</v>
      </c>
      <c r="W31" s="30">
        <v>2050</v>
      </c>
    </row>
    <row r="32" spans="1:23" ht="13.8" customHeight="1">
      <c r="A32" s="115" t="s">
        <v>208</v>
      </c>
      <c r="B32" s="153">
        <f t="shared" ref="B32:I32" si="5">SUM(B29,B27)</f>
        <v>605.64140000000577</v>
      </c>
      <c r="C32" s="153">
        <f t="shared" si="5"/>
        <v>572.1156000000027</v>
      </c>
      <c r="D32" s="153">
        <f t="shared" si="5"/>
        <v>652.77846636130971</v>
      </c>
      <c r="E32" s="153">
        <f t="shared" si="5"/>
        <v>727.94380724174152</v>
      </c>
      <c r="F32" s="153">
        <f t="shared" si="5"/>
        <v>807.62254131343843</v>
      </c>
      <c r="G32" s="153">
        <f t="shared" si="5"/>
        <v>887.39432458543752</v>
      </c>
      <c r="H32" s="153">
        <f t="shared" si="5"/>
        <v>969.40595405503427</v>
      </c>
      <c r="I32" s="282">
        <f t="shared" si="5"/>
        <v>1048.6488508735747</v>
      </c>
      <c r="J32" s="284"/>
      <c r="K32" t="s">
        <v>409</v>
      </c>
      <c r="O32" s="115" t="s">
        <v>208</v>
      </c>
      <c r="P32" s="228">
        <v>725</v>
      </c>
      <c r="Q32" s="228">
        <v>690</v>
      </c>
      <c r="R32" s="228"/>
      <c r="S32" s="228"/>
      <c r="T32" s="228"/>
      <c r="U32" s="228"/>
      <c r="V32" s="228"/>
      <c r="W32" s="275" t="s">
        <v>444</v>
      </c>
    </row>
    <row r="33" spans="1:23" ht="13.8" customHeight="1">
      <c r="A33" s="115" t="s">
        <v>209</v>
      </c>
      <c r="B33" s="305">
        <v>1</v>
      </c>
      <c r="C33" s="305">
        <f>$B$33+($I$33-$B$33)*1/31</f>
        <v>0.99677419354838714</v>
      </c>
      <c r="D33" s="305">
        <f>$B$33+($I$33-$B$33)*6/31</f>
        <v>0.98064516129032253</v>
      </c>
      <c r="E33" s="305">
        <f>$B$33+($I$33-$B$33)*11/31</f>
        <v>0.96451612903225803</v>
      </c>
      <c r="F33" s="305">
        <f>$B$33+($I$33-$B$33)*16/31</f>
        <v>0.94838709677419353</v>
      </c>
      <c r="G33" s="305">
        <f>$B$33+($I$33-$B$33)*21/31</f>
        <v>0.93225806451612903</v>
      </c>
      <c r="H33" s="305">
        <f>$B$33+($I$33-$B$33)*26/31</f>
        <v>0.91612903225806452</v>
      </c>
      <c r="I33" s="306">
        <v>0.9</v>
      </c>
      <c r="J33" s="284" t="s">
        <v>395</v>
      </c>
      <c r="K33" t="s">
        <v>409</v>
      </c>
      <c r="O33" s="115" t="s">
        <v>209</v>
      </c>
      <c r="P33" s="382">
        <v>1</v>
      </c>
      <c r="Q33" s="382">
        <v>1</v>
      </c>
      <c r="R33" s="228"/>
      <c r="S33" s="228"/>
      <c r="T33" s="228"/>
      <c r="U33" s="228"/>
      <c r="V33" s="228"/>
      <c r="W33" s="382">
        <v>0.9</v>
      </c>
    </row>
    <row r="34" spans="1:23" ht="13.8" customHeight="1">
      <c r="A34" s="115" t="s">
        <v>210</v>
      </c>
      <c r="B34" s="140">
        <v>0</v>
      </c>
      <c r="C34" s="140">
        <v>0</v>
      </c>
      <c r="D34" s="140">
        <v>0</v>
      </c>
      <c r="E34" s="140">
        <v>0</v>
      </c>
      <c r="F34" s="140">
        <v>0</v>
      </c>
      <c r="G34" s="140">
        <v>0</v>
      </c>
      <c r="H34" s="140">
        <v>0</v>
      </c>
      <c r="I34" s="283">
        <v>0</v>
      </c>
      <c r="J34" s="284"/>
      <c r="K34" t="s">
        <v>410</v>
      </c>
      <c r="O34" s="115" t="s">
        <v>210</v>
      </c>
      <c r="P34" s="382">
        <v>0</v>
      </c>
      <c r="Q34" s="382">
        <v>0</v>
      </c>
      <c r="R34" s="228"/>
      <c r="S34" s="228"/>
      <c r="T34" s="228"/>
      <c r="U34" s="228"/>
      <c r="V34" s="228"/>
      <c r="W34" s="382">
        <v>0</v>
      </c>
    </row>
    <row r="35" spans="1:23" ht="13.8" customHeight="1">
      <c r="A35" s="286" t="s">
        <v>226</v>
      </c>
      <c r="B35" s="153">
        <f>K14</f>
        <v>12.845083333333335</v>
      </c>
      <c r="C35" s="141">
        <f>L14</f>
        <v>1.6523245685572212</v>
      </c>
      <c r="D35" s="153">
        <f t="shared" ref="D35:I35" si="6">$B35*(1-D34)*D33*(D32/$B32)</f>
        <v>13.576851906198302</v>
      </c>
      <c r="E35" s="153">
        <f t="shared" si="6"/>
        <v>14.891166572758591</v>
      </c>
      <c r="F35" s="153">
        <f t="shared" si="6"/>
        <v>16.244840063531591</v>
      </c>
      <c r="G35" s="153">
        <f t="shared" si="6"/>
        <v>17.54584009885766</v>
      </c>
      <c r="H35" s="153">
        <f t="shared" si="6"/>
        <v>18.835783954222745</v>
      </c>
      <c r="I35" s="282">
        <f t="shared" si="6"/>
        <v>20.016768485753552</v>
      </c>
      <c r="J35" s="284" t="s">
        <v>227</v>
      </c>
      <c r="K35" t="s">
        <v>409</v>
      </c>
      <c r="O35" s="115" t="s">
        <v>226</v>
      </c>
      <c r="P35" s="228">
        <v>22</v>
      </c>
      <c r="Q35" s="228">
        <v>28</v>
      </c>
      <c r="R35" s="228"/>
      <c r="S35" s="228"/>
      <c r="T35" s="228"/>
      <c r="U35" s="228"/>
      <c r="V35" s="228"/>
      <c r="W35" s="228">
        <v>108.64</v>
      </c>
    </row>
    <row r="36" spans="1:23" ht="13.8" customHeight="1">
      <c r="A36" s="286" t="s">
        <v>213</v>
      </c>
      <c r="B36" s="153">
        <f>K15</f>
        <v>32.7460097065753</v>
      </c>
      <c r="C36" s="141">
        <f>L15</f>
        <v>32.759784431793697</v>
      </c>
      <c r="D36" s="153">
        <f>$B36*D33*(D32/$B32)+1.1*D34*D35*D33*(D32/$B32)</f>
        <v>34.611509537769045</v>
      </c>
      <c r="E36" s="153">
        <f>$B36*E33*(E32/$B32)+1.1*E34*E35*E33*(E32/$B32)</f>
        <v>37.96209588367396</v>
      </c>
      <c r="F36" s="153">
        <f>$B36*F33*(F32/$B32)+1.1*F34*F35*F33*(F32/$B32)</f>
        <v>41.413019798924523</v>
      </c>
      <c r="G36" s="153">
        <f>$B36*G33*(G32/$B32)+1.1*G34*G35*G33*(G32/$B32)</f>
        <v>44.729663115242097</v>
      </c>
      <c r="H36" s="153">
        <f>$B36*H33*(H32/$B32)+1.1*H34*H35*H33*(H32/$B32)</f>
        <v>48.018120878618923</v>
      </c>
      <c r="I36" s="282">
        <f>$B36*I33*(I32/$B32)+1.1*I34*B35*I33*(I32/$B32)</f>
        <v>51.028808308918947</v>
      </c>
      <c r="J36" s="284" t="s">
        <v>227</v>
      </c>
      <c r="K36" t="s">
        <v>409</v>
      </c>
      <c r="O36" s="115" t="s">
        <v>213</v>
      </c>
      <c r="P36" s="228">
        <v>45</v>
      </c>
      <c r="Q36" s="228">
        <v>35</v>
      </c>
      <c r="R36" s="228"/>
      <c r="S36" s="228"/>
      <c r="T36" s="228"/>
      <c r="U36" s="228"/>
      <c r="V36" s="228"/>
      <c r="W36" s="228">
        <v>135</v>
      </c>
    </row>
    <row r="37" spans="1:23" ht="13.8" customHeight="1">
      <c r="A37" s="30" t="s">
        <v>229</v>
      </c>
      <c r="B37" s="153">
        <f t="shared" ref="B37:C39" si="7">K17</f>
        <v>66.535968108416995</v>
      </c>
      <c r="C37" s="153">
        <f t="shared" si="7"/>
        <v>62.528456828200007</v>
      </c>
      <c r="D37" s="153">
        <f t="shared" ref="D37:I37" si="8">$B37*D$32/$B$32</f>
        <v>71.714462088749301</v>
      </c>
      <c r="E37" s="153">
        <f t="shared" si="8"/>
        <v>79.972151744176841</v>
      </c>
      <c r="F37" s="153">
        <f t="shared" si="8"/>
        <v>88.725684295144148</v>
      </c>
      <c r="G37" s="153">
        <f t="shared" si="8"/>
        <v>97.489439262584</v>
      </c>
      <c r="H37" s="153">
        <f t="shared" si="8"/>
        <v>106.49926448739254</v>
      </c>
      <c r="I37" s="282">
        <f t="shared" si="8"/>
        <v>115.20491581099249</v>
      </c>
      <c r="J37" s="284" t="s">
        <v>394</v>
      </c>
      <c r="K37" t="s">
        <v>409</v>
      </c>
      <c r="O37" s="383" t="s">
        <v>215</v>
      </c>
      <c r="P37" s="228">
        <v>42</v>
      </c>
      <c r="Q37" s="228">
        <v>16</v>
      </c>
      <c r="R37" s="228"/>
      <c r="S37" s="228"/>
      <c r="T37" s="228"/>
      <c r="U37" s="228"/>
      <c r="V37" s="228"/>
      <c r="W37" s="228">
        <v>62</v>
      </c>
    </row>
    <row r="38" spans="1:23" ht="13.8" customHeight="1">
      <c r="A38" s="30" t="s">
        <v>230</v>
      </c>
      <c r="B38" s="153">
        <f t="shared" si="7"/>
        <v>0.99948917799999903</v>
      </c>
      <c r="C38" s="153">
        <f t="shared" si="7"/>
        <v>0</v>
      </c>
      <c r="D38" s="153">
        <f t="shared" ref="D38:I38" si="9">$B38*D32/$B32</f>
        <v>1.0772794144514546</v>
      </c>
      <c r="E38" s="153">
        <f t="shared" si="9"/>
        <v>1.2013246741887709</v>
      </c>
      <c r="F38" s="153">
        <f t="shared" si="9"/>
        <v>1.3328183805658449</v>
      </c>
      <c r="G38" s="153">
        <f t="shared" si="9"/>
        <v>1.464465645911516</v>
      </c>
      <c r="H38" s="153">
        <f t="shared" si="9"/>
        <v>1.5998093263881263</v>
      </c>
      <c r="I38" s="282">
        <f t="shared" si="9"/>
        <v>1.7305837711395931</v>
      </c>
      <c r="J38" s="284" t="s">
        <v>394</v>
      </c>
      <c r="K38" t="s">
        <v>409</v>
      </c>
      <c r="O38" s="228" t="s">
        <v>229</v>
      </c>
      <c r="P38" s="228"/>
      <c r="Q38" s="228" t="s">
        <v>445</v>
      </c>
      <c r="R38" s="228"/>
      <c r="S38" s="228"/>
      <c r="T38" s="228"/>
      <c r="U38" s="228"/>
      <c r="V38" s="228"/>
      <c r="W38" s="228">
        <v>25.9</v>
      </c>
    </row>
    <row r="39" spans="1:23" ht="13.8" customHeight="1">
      <c r="A39" s="30" t="s">
        <v>231</v>
      </c>
      <c r="B39" s="153">
        <f t="shared" si="7"/>
        <v>0</v>
      </c>
      <c r="C39" s="153">
        <f t="shared" si="7"/>
        <v>0</v>
      </c>
      <c r="D39" s="153">
        <f t="shared" ref="D39:I39" si="10">$B39*D32/$B32</f>
        <v>0</v>
      </c>
      <c r="E39" s="153">
        <f t="shared" si="10"/>
        <v>0</v>
      </c>
      <c r="F39" s="153">
        <f t="shared" si="10"/>
        <v>0</v>
      </c>
      <c r="G39" s="153">
        <f t="shared" si="10"/>
        <v>0</v>
      </c>
      <c r="H39" s="153">
        <f t="shared" si="10"/>
        <v>0</v>
      </c>
      <c r="I39" s="282">
        <f t="shared" si="10"/>
        <v>0</v>
      </c>
      <c r="J39" s="284" t="s">
        <v>394</v>
      </c>
      <c r="K39" t="s">
        <v>409</v>
      </c>
      <c r="O39" s="228" t="s">
        <v>230</v>
      </c>
      <c r="P39" s="228"/>
      <c r="Q39" s="228"/>
      <c r="R39" s="228"/>
      <c r="S39" s="228"/>
      <c r="T39" s="228"/>
      <c r="U39" s="228"/>
      <c r="V39" s="228"/>
      <c r="W39" s="228"/>
    </row>
    <row r="40" spans="1:23" ht="13.8" customHeight="1">
      <c r="A40" s="468" t="s">
        <v>423</v>
      </c>
      <c r="B40" s="468"/>
      <c r="C40" s="468"/>
      <c r="D40" s="468"/>
      <c r="E40" s="468"/>
      <c r="F40" s="468"/>
      <c r="G40" s="468"/>
      <c r="H40" s="468"/>
      <c r="I40" s="468"/>
      <c r="J40" s="468"/>
      <c r="K40" t="s">
        <v>409</v>
      </c>
      <c r="O40" s="228" t="s">
        <v>231</v>
      </c>
      <c r="P40" s="228"/>
      <c r="Q40" s="228"/>
      <c r="R40" s="228"/>
      <c r="S40" s="228"/>
      <c r="T40" s="228"/>
      <c r="U40" s="228"/>
      <c r="V40" s="228"/>
      <c r="W40" s="228"/>
    </row>
    <row r="41" spans="1:23" ht="13.8" customHeight="1"/>
    <row r="42" spans="1:23" ht="13.8" customHeight="1">
      <c r="A42" s="447" t="s">
        <v>150</v>
      </c>
      <c r="B42" s="447"/>
      <c r="C42" s="447"/>
      <c r="D42" s="447"/>
      <c r="E42" s="447"/>
      <c r="F42" s="447"/>
      <c r="G42" s="447"/>
      <c r="H42" s="447"/>
      <c r="I42" s="447"/>
      <c r="J42" s="447"/>
      <c r="O42" s="447" t="s">
        <v>151</v>
      </c>
      <c r="P42" s="447"/>
      <c r="Q42" s="447"/>
      <c r="R42" s="447"/>
      <c r="S42" s="447"/>
      <c r="T42" s="447"/>
      <c r="U42" s="447"/>
      <c r="V42" s="447"/>
      <c r="W42" s="447"/>
    </row>
    <row r="43" spans="1:23" ht="13.8" customHeight="1"/>
    <row r="44" spans="1:23" ht="13.8" customHeight="1">
      <c r="A44" s="163"/>
      <c r="B44" s="30">
        <v>2019</v>
      </c>
      <c r="C44" s="30">
        <v>2020</v>
      </c>
      <c r="D44" s="30">
        <v>2025</v>
      </c>
      <c r="E44" s="30">
        <v>2030</v>
      </c>
      <c r="F44" s="30">
        <v>2035</v>
      </c>
      <c r="G44" s="30">
        <v>2040</v>
      </c>
      <c r="H44" s="30">
        <v>2045</v>
      </c>
      <c r="I44" s="30">
        <v>2050</v>
      </c>
      <c r="J44" s="276" t="s">
        <v>390</v>
      </c>
      <c r="O44" s="163"/>
      <c r="P44" s="75">
        <v>2014</v>
      </c>
      <c r="Q44" s="30">
        <v>2020</v>
      </c>
      <c r="R44" s="30">
        <v>2025</v>
      </c>
      <c r="S44" s="30">
        <v>2030</v>
      </c>
      <c r="T44" s="30">
        <v>2035</v>
      </c>
      <c r="U44" s="30">
        <v>2040</v>
      </c>
      <c r="V44" s="30">
        <v>2045</v>
      </c>
      <c r="W44" s="30">
        <v>2050</v>
      </c>
    </row>
    <row r="45" spans="1:23" ht="13.8" customHeight="1">
      <c r="A45" s="30" t="s">
        <v>204</v>
      </c>
      <c r="B45" s="136">
        <f>B25</f>
        <v>9.3999999999999861E-2</v>
      </c>
      <c r="C45" s="135">
        <f>C25</f>
        <v>9.2999999999999527E-2</v>
      </c>
      <c r="D45" s="135">
        <f>C45</f>
        <v>9.2999999999999527E-2</v>
      </c>
      <c r="E45" s="135">
        <f t="shared" ref="E45:I45" si="11">D45</f>
        <v>9.2999999999999527E-2</v>
      </c>
      <c r="F45" s="135">
        <f t="shared" si="11"/>
        <v>9.2999999999999527E-2</v>
      </c>
      <c r="G45" s="135">
        <f t="shared" si="11"/>
        <v>9.2999999999999527E-2</v>
      </c>
      <c r="H45" s="135">
        <f t="shared" si="11"/>
        <v>9.2999999999999527E-2</v>
      </c>
      <c r="I45" s="135">
        <f t="shared" si="11"/>
        <v>9.2999999999999527E-2</v>
      </c>
      <c r="J45" s="288" t="s">
        <v>221</v>
      </c>
      <c r="K45" t="s">
        <v>409</v>
      </c>
      <c r="O45" s="30" t="s">
        <v>204</v>
      </c>
      <c r="P45" s="342">
        <v>0.105</v>
      </c>
      <c r="Q45" s="228"/>
      <c r="R45" s="228"/>
      <c r="S45" s="228"/>
      <c r="T45" s="228"/>
      <c r="U45" s="228"/>
      <c r="V45" s="228"/>
      <c r="W45" s="228"/>
    </row>
    <row r="46" spans="1:23" ht="13.8" customHeight="1">
      <c r="A46" s="30" t="s">
        <v>425</v>
      </c>
      <c r="B46" s="30">
        <f>B26</f>
        <v>4354</v>
      </c>
      <c r="C46" s="153">
        <f>C26</f>
        <v>4354</v>
      </c>
      <c r="D46" s="153">
        <f>D26</f>
        <v>4967.872651151496</v>
      </c>
      <c r="E46" s="153">
        <f t="shared" ref="E46:I46" si="12">E26</f>
        <v>5539.9072088412331</v>
      </c>
      <c r="F46" s="153">
        <f t="shared" si="12"/>
        <v>6146.2902687475998</v>
      </c>
      <c r="G46" s="153">
        <f t="shared" si="12"/>
        <v>6753.3814656425666</v>
      </c>
      <c r="H46" s="153">
        <f t="shared" si="12"/>
        <v>7377.518676217881</v>
      </c>
      <c r="I46" s="153">
        <f t="shared" si="12"/>
        <v>7980.5848620515198</v>
      </c>
      <c r="J46" s="288" t="s">
        <v>222</v>
      </c>
      <c r="K46" t="s">
        <v>409</v>
      </c>
      <c r="O46" s="30" t="s">
        <v>223</v>
      </c>
      <c r="P46" s="275" t="s">
        <v>437</v>
      </c>
      <c r="Q46" s="228"/>
      <c r="R46" s="228"/>
      <c r="S46" s="228"/>
      <c r="T46" s="228"/>
      <c r="U46" s="228"/>
      <c r="V46" s="228"/>
      <c r="W46" s="228"/>
    </row>
    <row r="47" spans="1:23" ht="13.8" customHeight="1">
      <c r="A47" s="30" t="s">
        <v>224</v>
      </c>
      <c r="B47" s="141">
        <f>B46*B45</f>
        <v>409.27599999999939</v>
      </c>
      <c r="C47" s="153">
        <f>C45*C46</f>
        <v>404.92199999999792</v>
      </c>
      <c r="D47" s="153">
        <f t="shared" ref="D47:I47" si="13">D45*D46</f>
        <v>462.01215655708677</v>
      </c>
      <c r="E47" s="153">
        <f t="shared" si="13"/>
        <v>515.21137042223211</v>
      </c>
      <c r="F47" s="153">
        <f t="shared" si="13"/>
        <v>571.60499499352386</v>
      </c>
      <c r="G47" s="153">
        <f t="shared" si="13"/>
        <v>628.06447630475554</v>
      </c>
      <c r="H47" s="153">
        <f t="shared" si="13"/>
        <v>686.10923688825949</v>
      </c>
      <c r="I47" s="153">
        <f t="shared" si="13"/>
        <v>742.19439217078752</v>
      </c>
      <c r="J47" s="288"/>
      <c r="K47" t="s">
        <v>409</v>
      </c>
      <c r="O47" s="30" t="s">
        <v>224</v>
      </c>
      <c r="P47" s="228">
        <v>414</v>
      </c>
      <c r="Q47" s="228"/>
      <c r="R47" s="228"/>
      <c r="S47" s="228"/>
      <c r="T47" s="228"/>
      <c r="U47" s="228"/>
      <c r="V47" s="228"/>
      <c r="W47" s="228"/>
    </row>
    <row r="48" spans="1:23" ht="13.8" customHeight="1">
      <c r="A48" s="30" t="s">
        <v>206</v>
      </c>
      <c r="B48" s="136">
        <f>B28</f>
        <v>4.5100000000001472E-2</v>
      </c>
      <c r="C48" s="136">
        <f>C28</f>
        <v>3.84000000000011E-2</v>
      </c>
      <c r="D48" s="135">
        <f>C48</f>
        <v>3.84000000000011E-2</v>
      </c>
      <c r="E48" s="135">
        <f t="shared" ref="E48:I48" si="14">D48</f>
        <v>3.84000000000011E-2</v>
      </c>
      <c r="F48" s="135">
        <f t="shared" si="14"/>
        <v>3.84000000000011E-2</v>
      </c>
      <c r="G48" s="135">
        <f t="shared" si="14"/>
        <v>3.84000000000011E-2</v>
      </c>
      <c r="H48" s="135">
        <f t="shared" si="14"/>
        <v>3.84000000000011E-2</v>
      </c>
      <c r="I48" s="135">
        <f t="shared" si="14"/>
        <v>3.84000000000011E-2</v>
      </c>
      <c r="J48" s="288" t="s">
        <v>221</v>
      </c>
      <c r="K48" t="s">
        <v>409</v>
      </c>
      <c r="O48" s="30" t="s">
        <v>206</v>
      </c>
      <c r="P48" s="342">
        <v>7.9000000000000001E-2</v>
      </c>
      <c r="Q48" s="228"/>
      <c r="R48" s="228"/>
      <c r="S48" s="228"/>
      <c r="T48" s="228"/>
      <c r="U48" s="228"/>
      <c r="V48" s="228"/>
      <c r="W48" s="228"/>
    </row>
    <row r="49" spans="1:23" ht="13.8" customHeight="1">
      <c r="A49" s="30" t="s">
        <v>225</v>
      </c>
      <c r="B49" s="141">
        <f>B46*B48</f>
        <v>196.36540000000642</v>
      </c>
      <c r="C49" s="153">
        <f>C48*C46</f>
        <v>167.19360000000478</v>
      </c>
      <c r="D49" s="153">
        <f>D46*D48</f>
        <v>190.76630980422291</v>
      </c>
      <c r="E49" s="153">
        <f t="shared" ref="E49:I49" si="15">E46*E48</f>
        <v>212.73243681950945</v>
      </c>
      <c r="F49" s="153">
        <f t="shared" si="15"/>
        <v>236.0175463199146</v>
      </c>
      <c r="G49" s="153">
        <f t="shared" si="15"/>
        <v>259.32984828068197</v>
      </c>
      <c r="H49" s="153">
        <f t="shared" si="15"/>
        <v>283.29671716677473</v>
      </c>
      <c r="I49" s="153">
        <f t="shared" si="15"/>
        <v>306.45445870278712</v>
      </c>
      <c r="J49" s="288"/>
      <c r="K49" t="s">
        <v>409</v>
      </c>
      <c r="O49" s="30" t="s">
        <v>225</v>
      </c>
      <c r="P49" s="228">
        <v>311</v>
      </c>
      <c r="Q49" s="228"/>
      <c r="R49" s="228"/>
      <c r="S49" s="228"/>
      <c r="T49" s="228"/>
      <c r="U49" s="228"/>
      <c r="V49" s="228"/>
      <c r="W49" s="228"/>
    </row>
    <row r="50" spans="1:23" ht="13.8" customHeight="1">
      <c r="J50" s="289"/>
      <c r="P50" t="s">
        <v>446</v>
      </c>
    </row>
    <row r="51" spans="1:23" ht="13.8" customHeight="1">
      <c r="B51" s="30">
        <v>2019</v>
      </c>
      <c r="C51" s="30">
        <v>2020</v>
      </c>
      <c r="D51" s="30">
        <v>2025</v>
      </c>
      <c r="E51" s="30">
        <v>2030</v>
      </c>
      <c r="F51" s="30">
        <v>2035</v>
      </c>
      <c r="G51" s="30">
        <v>2040</v>
      </c>
      <c r="H51" s="30">
        <v>2045</v>
      </c>
      <c r="I51" s="168">
        <v>2050</v>
      </c>
      <c r="J51" s="276" t="s">
        <v>390</v>
      </c>
      <c r="K51" t="s">
        <v>409</v>
      </c>
      <c r="P51" s="30">
        <v>2015</v>
      </c>
      <c r="Q51" s="30">
        <v>2020</v>
      </c>
      <c r="R51" s="30">
        <v>2025</v>
      </c>
      <c r="S51" s="30">
        <v>2030</v>
      </c>
      <c r="T51" s="30">
        <v>2035</v>
      </c>
      <c r="U51" s="30">
        <v>2040</v>
      </c>
      <c r="V51" s="30">
        <v>2045</v>
      </c>
      <c r="W51" s="30">
        <v>2050</v>
      </c>
    </row>
    <row r="52" spans="1:23" ht="13.8" customHeight="1">
      <c r="A52" s="115" t="s">
        <v>208</v>
      </c>
      <c r="B52" s="153">
        <f t="shared" ref="B52:I52" si="16">SUM(B49,B47)</f>
        <v>605.64140000000577</v>
      </c>
      <c r="C52" s="153">
        <f t="shared" si="16"/>
        <v>572.1156000000027</v>
      </c>
      <c r="D52" s="153">
        <f t="shared" si="16"/>
        <v>652.77846636130971</v>
      </c>
      <c r="E52" s="153">
        <f t="shared" si="16"/>
        <v>727.94380724174152</v>
      </c>
      <c r="F52" s="153">
        <f t="shared" si="16"/>
        <v>807.62254131343843</v>
      </c>
      <c r="G52" s="153">
        <f t="shared" si="16"/>
        <v>887.39432458543752</v>
      </c>
      <c r="H52" s="153">
        <f t="shared" si="16"/>
        <v>969.40595405503427</v>
      </c>
      <c r="I52" s="282">
        <f t="shared" si="16"/>
        <v>1048.6488508735747</v>
      </c>
      <c r="J52" s="288"/>
      <c r="K52" t="s">
        <v>409</v>
      </c>
      <c r="O52" s="115" t="s">
        <v>208</v>
      </c>
      <c r="P52" s="228">
        <v>725</v>
      </c>
      <c r="Q52" s="228"/>
      <c r="R52" s="228"/>
      <c r="S52" s="228"/>
      <c r="T52" s="228"/>
      <c r="U52" s="228"/>
      <c r="V52" s="228"/>
      <c r="W52" s="275" t="s">
        <v>444</v>
      </c>
    </row>
    <row r="53" spans="1:23" ht="13.8" customHeight="1">
      <c r="A53" s="115" t="s">
        <v>209</v>
      </c>
      <c r="B53" s="305">
        <v>1</v>
      </c>
      <c r="C53" s="305">
        <f>$B$53+($I53-$B$53)*1/31</f>
        <v>0.9912903225806452</v>
      </c>
      <c r="D53" s="305">
        <f>$B$53+($I53-$B$53)*6/31</f>
        <v>0.94774193548387098</v>
      </c>
      <c r="E53" s="305">
        <f>$B$53+($I53-$B$53)*11/31</f>
        <v>0.90419354838709676</v>
      </c>
      <c r="F53" s="305">
        <f>$B$53+($I53-$B$53)*16/31</f>
        <v>0.86064516129032254</v>
      </c>
      <c r="G53" s="305">
        <f>$B$53+($I53-$B$53)*21/31</f>
        <v>0.81709677419354843</v>
      </c>
      <c r="H53" s="305">
        <f>$B$53+($I53-$B$53)*26/31</f>
        <v>0.7735483870967742</v>
      </c>
      <c r="I53" s="306">
        <v>0.73</v>
      </c>
      <c r="J53" s="288" t="s">
        <v>395</v>
      </c>
      <c r="K53" t="s">
        <v>409</v>
      </c>
      <c r="O53" s="115" t="s">
        <v>209</v>
      </c>
      <c r="P53" s="382">
        <v>1</v>
      </c>
      <c r="Q53" s="228"/>
      <c r="R53" s="228"/>
      <c r="S53" s="228"/>
      <c r="T53" s="228"/>
      <c r="U53" s="228"/>
      <c r="V53" s="228"/>
      <c r="W53" s="382">
        <v>0.73</v>
      </c>
    </row>
    <row r="54" spans="1:23" ht="13.8" customHeight="1">
      <c r="A54" s="115" t="s">
        <v>210</v>
      </c>
      <c r="B54" s="305">
        <v>0</v>
      </c>
      <c r="C54" s="305">
        <f>$B$54+($I54-$B$54)*1/31</f>
        <v>1.6129032258064516E-2</v>
      </c>
      <c r="D54" s="305">
        <f>$B$54+($I54-$B$54)*6/31</f>
        <v>9.6774193548387094E-2</v>
      </c>
      <c r="E54" s="305">
        <f>$B$54+($I54-$B$54)*11/31</f>
        <v>0.17741935483870969</v>
      </c>
      <c r="F54" s="305">
        <f>$B$54+($I54-$B$54)*16/31</f>
        <v>0.25806451612903225</v>
      </c>
      <c r="G54" s="305">
        <f>$B$54+($I54-$B$54)*21/31</f>
        <v>0.33870967741935482</v>
      </c>
      <c r="H54" s="305">
        <f>$B$54+($I54-$B$54)*26/31</f>
        <v>0.41935483870967744</v>
      </c>
      <c r="I54" s="306">
        <v>0.5</v>
      </c>
      <c r="J54" s="288" t="s">
        <v>395</v>
      </c>
      <c r="K54" t="s">
        <v>409</v>
      </c>
      <c r="O54" s="115" t="s">
        <v>210</v>
      </c>
      <c r="P54" s="382">
        <v>0</v>
      </c>
      <c r="Q54" s="228"/>
      <c r="R54" s="228"/>
      <c r="S54" s="228"/>
      <c r="T54" s="228"/>
      <c r="U54" s="228"/>
      <c r="V54" s="228"/>
      <c r="W54" s="382">
        <v>0.5</v>
      </c>
    </row>
    <row r="55" spans="1:23" ht="13.8" customHeight="1">
      <c r="A55" s="115" t="s">
        <v>232</v>
      </c>
      <c r="B55" s="82">
        <v>0</v>
      </c>
      <c r="C55" s="82">
        <v>0</v>
      </c>
      <c r="D55" s="82">
        <v>0.1</v>
      </c>
      <c r="E55" s="82">
        <v>0.2</v>
      </c>
      <c r="F55" s="82">
        <v>0.4</v>
      </c>
      <c r="G55" s="82">
        <v>0.6</v>
      </c>
      <c r="H55" s="82">
        <v>0.8</v>
      </c>
      <c r="I55" s="283">
        <v>1</v>
      </c>
      <c r="J55" s="288" t="s">
        <v>396</v>
      </c>
      <c r="K55" t="s">
        <v>409</v>
      </c>
      <c r="O55" s="115" t="s">
        <v>226</v>
      </c>
      <c r="P55" s="228">
        <v>3.46</v>
      </c>
      <c r="Q55" s="228"/>
      <c r="R55" s="228"/>
      <c r="S55" s="228"/>
      <c r="T55" s="228"/>
      <c r="U55" s="228"/>
      <c r="V55" s="228"/>
      <c r="W55" s="228">
        <v>5.18</v>
      </c>
    </row>
    <row r="56" spans="1:23" ht="13.8" customHeight="1">
      <c r="A56" s="286" t="s">
        <v>226</v>
      </c>
      <c r="B56" s="153">
        <f>K14</f>
        <v>12.845083333333335</v>
      </c>
      <c r="C56" s="153">
        <f>L14</f>
        <v>1.6523245685572212</v>
      </c>
      <c r="D56" s="153">
        <f>$B56*(1-D54)*D53*(D52/$B52)*(1-D55)</f>
        <v>10.666357498836453</v>
      </c>
      <c r="E56" s="153">
        <f>$B56*(1-E54)*E53*(E52/$B52)*(1-E55)</f>
        <v>9.1864793832152696</v>
      </c>
      <c r="F56" s="153">
        <f t="shared" ref="F56:I56" si="17">$B56*(1-F54)*F53*(F52/$B52)*(1-F55)</f>
        <v>6.5625303861655855</v>
      </c>
      <c r="G56" s="153">
        <f t="shared" si="17"/>
        <v>4.0678382225397138</v>
      </c>
      <c r="H56" s="153">
        <f t="shared" si="17"/>
        <v>1.8469508827807142</v>
      </c>
      <c r="I56" s="153">
        <f t="shared" si="17"/>
        <v>0</v>
      </c>
      <c r="J56" s="288" t="s">
        <v>228</v>
      </c>
      <c r="K56" t="s">
        <v>409</v>
      </c>
      <c r="O56" s="115" t="s">
        <v>213</v>
      </c>
      <c r="P56" s="228">
        <v>45</v>
      </c>
      <c r="Q56" s="228"/>
      <c r="R56" s="228"/>
      <c r="S56" s="228"/>
      <c r="T56" s="228"/>
      <c r="U56" s="228"/>
      <c r="V56" s="228"/>
      <c r="W56" s="228">
        <v>201</v>
      </c>
    </row>
    <row r="57" spans="1:23" ht="13.8" customHeight="1">
      <c r="A57" s="286" t="s">
        <v>213</v>
      </c>
      <c r="B57" s="153">
        <f>K15</f>
        <v>32.7460097065753</v>
      </c>
      <c r="C57" s="153">
        <f>L15</f>
        <v>32.759784431793697</v>
      </c>
      <c r="D57" s="145">
        <f t="shared" ref="D57:I57" si="18">$B57*(D52/$B52)*D53+1.1*D54*$B56*D53*(D52/$B52)</f>
        <v>34.846987220418981</v>
      </c>
      <c r="E57" s="145">
        <f t="shared" si="18"/>
        <v>38.312299428588929</v>
      </c>
      <c r="F57" s="145">
        <f t="shared" si="18"/>
        <v>41.766413149847146</v>
      </c>
      <c r="G57" s="145">
        <f t="shared" si="18"/>
        <v>44.933933101979569</v>
      </c>
      <c r="H57" s="145">
        <f t="shared" si="18"/>
        <v>47.88137746209231</v>
      </c>
      <c r="I57" s="287">
        <f t="shared" si="18"/>
        <v>50.319736236156537</v>
      </c>
      <c r="J57" s="288"/>
      <c r="K57" t="s">
        <v>410</v>
      </c>
      <c r="O57" s="115" t="s">
        <v>215</v>
      </c>
      <c r="P57" s="228">
        <v>35</v>
      </c>
      <c r="Q57" s="228"/>
      <c r="R57" s="228"/>
      <c r="S57" s="228"/>
      <c r="T57" s="228"/>
      <c r="U57" s="228"/>
      <c r="V57" s="228"/>
      <c r="W57" s="228">
        <v>0</v>
      </c>
    </row>
    <row r="58" spans="1:23" ht="13.8" customHeight="1">
      <c r="A58" s="115" t="s">
        <v>215</v>
      </c>
      <c r="B58" s="301">
        <f>K16</f>
        <v>14.9876475847935</v>
      </c>
      <c r="C58" s="301">
        <f>$B$58+($I$58-$B$58)*1/31</f>
        <v>14.504175082058225</v>
      </c>
      <c r="D58" s="301">
        <f>$B$58+($I$58-$B$58)*6/31</f>
        <v>12.086812568381855</v>
      </c>
      <c r="E58" s="301">
        <f>$B$58+($I$58-$B$58)*11/31</f>
        <v>9.669450054705484</v>
      </c>
      <c r="F58" s="301">
        <f>$B$58+($I$58-$B$58)*16/31</f>
        <v>7.2520875410291126</v>
      </c>
      <c r="G58" s="301">
        <f>$B$58+($I$58-$B$58)*21/31</f>
        <v>4.8347250273527411</v>
      </c>
      <c r="H58" s="301">
        <f>$B$58+($I$58-$B$58)*26/31</f>
        <v>2.4173625136763697</v>
      </c>
      <c r="I58" s="307">
        <v>0</v>
      </c>
      <c r="J58" s="288" t="s">
        <v>397</v>
      </c>
      <c r="K58" t="s">
        <v>409</v>
      </c>
      <c r="O58" s="30" t="s">
        <v>229</v>
      </c>
      <c r="P58" s="228"/>
      <c r="Q58" s="228"/>
      <c r="R58" s="228"/>
      <c r="S58" s="228"/>
      <c r="T58" s="228"/>
      <c r="U58" s="228"/>
      <c r="V58" s="228"/>
      <c r="W58" s="228"/>
    </row>
    <row r="59" spans="1:23" ht="13.8" customHeight="1">
      <c r="A59" s="30" t="s">
        <v>229</v>
      </c>
      <c r="B59" s="153">
        <f>K17</f>
        <v>66.535968108416995</v>
      </c>
      <c r="C59" s="160">
        <f>L17</f>
        <v>62.528456828200007</v>
      </c>
      <c r="D59" s="145">
        <f t="shared" ref="D59:I59" si="19">$B59*D52/$B52</f>
        <v>71.714462088749301</v>
      </c>
      <c r="E59" s="145">
        <f t="shared" si="19"/>
        <v>79.972151744176841</v>
      </c>
      <c r="F59" s="145">
        <f t="shared" si="19"/>
        <v>88.725684295144148</v>
      </c>
      <c r="G59" s="145">
        <f t="shared" si="19"/>
        <v>97.489439262584</v>
      </c>
      <c r="H59" s="145">
        <f t="shared" si="19"/>
        <v>106.49926448739254</v>
      </c>
      <c r="I59" s="287">
        <f t="shared" si="19"/>
        <v>115.20491581099249</v>
      </c>
      <c r="J59" s="288"/>
      <c r="K59" t="s">
        <v>409</v>
      </c>
      <c r="O59" s="30" t="s">
        <v>230</v>
      </c>
      <c r="P59" s="228"/>
      <c r="Q59" s="228"/>
      <c r="R59" s="228"/>
      <c r="S59" s="228"/>
      <c r="T59" s="228"/>
      <c r="U59" s="228"/>
      <c r="V59" s="228"/>
      <c r="W59" s="228"/>
    </row>
    <row r="60" spans="1:23" ht="13.8" customHeight="1">
      <c r="A60" s="30" t="s">
        <v>233</v>
      </c>
      <c r="B60" s="301">
        <v>0</v>
      </c>
      <c r="C60" s="308">
        <v>0</v>
      </c>
      <c r="D60" s="308">
        <f>C60+($I60-$C60)/6</f>
        <v>8.3333333333333329E-2</v>
      </c>
      <c r="E60" s="308">
        <f>D60+($I60-$C60)/6</f>
        <v>0.16666666666666666</v>
      </c>
      <c r="F60" s="308">
        <f>E60+($I60-$C60)/6</f>
        <v>0.25</v>
      </c>
      <c r="G60" s="308">
        <f>F60+($I60-$C60)/6</f>
        <v>0.33333333333333331</v>
      </c>
      <c r="H60" s="308">
        <f>G60+($I60-$C60)/6</f>
        <v>0.41666666666666663</v>
      </c>
      <c r="I60" s="309">
        <v>0.5</v>
      </c>
      <c r="J60" s="288" t="s">
        <v>398</v>
      </c>
      <c r="K60" t="s">
        <v>409</v>
      </c>
      <c r="O60" s="30" t="s">
        <v>231</v>
      </c>
      <c r="P60" s="228"/>
      <c r="Q60" s="228"/>
      <c r="R60" s="228"/>
      <c r="S60" s="228"/>
      <c r="T60" s="228"/>
      <c r="U60" s="228"/>
      <c r="V60" s="228"/>
      <c r="W60" s="228"/>
    </row>
    <row r="61" spans="1:23" ht="13.8" customHeight="1">
      <c r="A61" s="30" t="s">
        <v>234</v>
      </c>
      <c r="B61" s="145">
        <f t="shared" ref="B61:I61" si="20">B60*B59</f>
        <v>0</v>
      </c>
      <c r="C61" s="145">
        <f t="shared" si="20"/>
        <v>0</v>
      </c>
      <c r="D61" s="145">
        <f t="shared" si="20"/>
        <v>5.9762051740624411</v>
      </c>
      <c r="E61" s="145">
        <f t="shared" si="20"/>
        <v>13.328691957362807</v>
      </c>
      <c r="F61" s="145">
        <f t="shared" si="20"/>
        <v>22.181421073786037</v>
      </c>
      <c r="G61" s="145">
        <f t="shared" si="20"/>
        <v>32.496479754194667</v>
      </c>
      <c r="H61" s="145">
        <f t="shared" si="20"/>
        <v>44.374693536413552</v>
      </c>
      <c r="I61" s="287">
        <f t="shared" si="20"/>
        <v>57.602457905496244</v>
      </c>
      <c r="J61" s="288"/>
      <c r="K61" t="s">
        <v>409</v>
      </c>
    </row>
    <row r="62" spans="1:23" ht="13.8" customHeight="1">
      <c r="A62" s="30" t="s">
        <v>230</v>
      </c>
      <c r="B62" s="39">
        <f>K18</f>
        <v>0.99948917799999903</v>
      </c>
      <c r="C62" s="139">
        <f>L18</f>
        <v>0</v>
      </c>
      <c r="D62" s="143">
        <f t="shared" ref="D62:I62" si="21">$B62*(D52/$B52) + $B56*(1-D54)*D53*D55*(D52/$B52)</f>
        <v>2.2624302476555052</v>
      </c>
      <c r="E62" s="143">
        <f t="shared" si="21"/>
        <v>3.497944519992588</v>
      </c>
      <c r="F62" s="143">
        <f t="shared" si="21"/>
        <v>5.7078386380095694</v>
      </c>
      <c r="G62" s="143">
        <f t="shared" si="21"/>
        <v>7.5662229797210863</v>
      </c>
      <c r="H62" s="143">
        <f t="shared" si="21"/>
        <v>8.9876128575109853</v>
      </c>
      <c r="I62" s="287">
        <f t="shared" si="21"/>
        <v>9.8484954348063098</v>
      </c>
      <c r="J62" s="288" t="s">
        <v>235</v>
      </c>
      <c r="K62" t="s">
        <v>410</v>
      </c>
    </row>
    <row r="63" spans="1:23" ht="13.8" customHeight="1">
      <c r="A63" s="30" t="s">
        <v>231</v>
      </c>
      <c r="B63" s="39">
        <f>K19</f>
        <v>0</v>
      </c>
      <c r="C63" s="139">
        <f>L19</f>
        <v>0</v>
      </c>
      <c r="D63" s="143">
        <f t="shared" ref="D63:I63" si="22">$B63*D52/$B52</f>
        <v>0</v>
      </c>
      <c r="E63" s="143">
        <f t="shared" si="22"/>
        <v>0</v>
      </c>
      <c r="F63" s="143">
        <f t="shared" si="22"/>
        <v>0</v>
      </c>
      <c r="G63" s="143">
        <f t="shared" si="22"/>
        <v>0</v>
      </c>
      <c r="H63" s="143">
        <f t="shared" si="22"/>
        <v>0</v>
      </c>
      <c r="I63" s="287">
        <f t="shared" si="22"/>
        <v>0</v>
      </c>
      <c r="J63" s="288" t="s">
        <v>236</v>
      </c>
      <c r="K63" t="s">
        <v>409</v>
      </c>
    </row>
    <row r="64" spans="1:23">
      <c r="A64" s="468" t="s">
        <v>424</v>
      </c>
      <c r="B64" s="468"/>
      <c r="C64" s="468"/>
      <c r="D64" s="468"/>
      <c r="E64" s="468"/>
      <c r="F64" s="468"/>
      <c r="G64" s="468"/>
      <c r="H64" s="468"/>
      <c r="I64" s="468"/>
      <c r="J64" s="468"/>
      <c r="K64" t="s">
        <v>409</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U185"/>
  <sheetViews>
    <sheetView zoomScale="70" zoomScaleNormal="70" workbookViewId="0">
      <selection activeCell="A117" sqref="A117:J117"/>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70" t="s">
        <v>400</v>
      </c>
      <c r="B2" s="470"/>
      <c r="C2" s="470"/>
      <c r="D2" s="470"/>
      <c r="E2" s="470"/>
      <c r="F2" s="470"/>
      <c r="G2" s="470"/>
      <c r="H2" s="470"/>
      <c r="I2" s="470"/>
      <c r="J2" s="470"/>
      <c r="K2" s="470"/>
    </row>
    <row r="4" spans="1:14">
      <c r="A4" s="447" t="s">
        <v>55</v>
      </c>
      <c r="B4" s="447"/>
      <c r="C4" s="447"/>
      <c r="D4" s="447"/>
      <c r="E4" s="447"/>
      <c r="F4" s="447"/>
      <c r="G4" s="447"/>
      <c r="H4" s="447"/>
      <c r="I4" s="447"/>
      <c r="J4" s="447"/>
      <c r="K4" s="447"/>
    </row>
    <row r="6" spans="1:14">
      <c r="A6" s="30"/>
      <c r="B6" s="30">
        <v>2010</v>
      </c>
      <c r="C6" s="30">
        <v>2011</v>
      </c>
      <c r="D6" s="30">
        <v>2012</v>
      </c>
      <c r="E6" s="30">
        <v>2013</v>
      </c>
      <c r="F6" s="30">
        <v>2014</v>
      </c>
      <c r="G6" s="30">
        <v>2015</v>
      </c>
      <c r="H6" s="30">
        <v>2016</v>
      </c>
      <c r="I6" s="30">
        <v>2017</v>
      </c>
      <c r="J6" s="30">
        <v>2018</v>
      </c>
      <c r="K6" s="30">
        <v>2019</v>
      </c>
      <c r="L6" s="30">
        <v>2020</v>
      </c>
      <c r="M6" s="275" t="s">
        <v>390</v>
      </c>
    </row>
    <row r="7" spans="1:14">
      <c r="A7" s="30" t="s">
        <v>237</v>
      </c>
      <c r="B7" s="43">
        <f>'Cadrage macroéconomique '!B5</f>
        <v>229040</v>
      </c>
      <c r="C7" s="43">
        <f>'Cadrage macroéconomique '!C5</f>
        <v>237549</v>
      </c>
      <c r="D7" s="43">
        <f>'Cadrage macroéconomique '!D5</f>
        <v>239648</v>
      </c>
      <c r="E7" s="43">
        <f>'Cadrage macroéconomique '!E5</f>
        <v>244118</v>
      </c>
      <c r="F7" s="43">
        <f>'Cadrage macroéconomique '!F5</f>
        <v>252338</v>
      </c>
      <c r="G7" s="43">
        <f>'Cadrage macroéconomique '!G5</f>
        <v>259865</v>
      </c>
      <c r="H7" s="43">
        <f>'Cadrage macroéconomique '!H5</f>
        <v>269352</v>
      </c>
      <c r="I7" s="43">
        <f>'Cadrage macroéconomique '!I5</f>
        <v>268700</v>
      </c>
      <c r="J7" s="43">
        <f>'Cadrage macroéconomique '!J5</f>
        <v>276128</v>
      </c>
      <c r="K7" s="43">
        <f>'Cadrage macroéconomique '!K5</f>
        <v>281678</v>
      </c>
      <c r="L7" s="43">
        <f>'Cadrage macroéconomique '!L5</f>
        <v>287000</v>
      </c>
      <c r="M7" s="288" t="s">
        <v>222</v>
      </c>
      <c r="N7" t="s">
        <v>409</v>
      </c>
    </row>
    <row r="8" spans="1:14">
      <c r="A8" s="30" t="s">
        <v>238</v>
      </c>
      <c r="B8" s="228">
        <v>3.5</v>
      </c>
      <c r="C8" s="384">
        <f>$B$8+($I$8-$B$8)*1/7</f>
        <v>3.4857142857142858</v>
      </c>
      <c r="D8" s="384">
        <f>$B$8+($I$8-$B$8)*2/7</f>
        <v>3.4714285714285715</v>
      </c>
      <c r="E8" s="384">
        <f>$B$8+($I$8-$B$8)*3/7</f>
        <v>3.4571428571428573</v>
      </c>
      <c r="F8" s="384">
        <f>$B$8+($I$8-$B$8)*4/7</f>
        <v>3.4428571428571426</v>
      </c>
      <c r="G8" s="384">
        <f>$B$8+($I$8-$B$8)*5/7</f>
        <v>3.4285714285714284</v>
      </c>
      <c r="H8" s="384">
        <f>$B$8+($I$8-$B$8)*6/7</f>
        <v>3.4142857142857141</v>
      </c>
      <c r="I8" s="228">
        <v>3.4</v>
      </c>
      <c r="J8" s="228">
        <v>3.3</v>
      </c>
      <c r="K8" s="228">
        <v>3.3</v>
      </c>
      <c r="L8" s="228"/>
      <c r="M8" s="288" t="s">
        <v>239</v>
      </c>
      <c r="N8" t="s">
        <v>409</v>
      </c>
    </row>
    <row r="9" spans="1:14">
      <c r="A9" s="30" t="s">
        <v>240</v>
      </c>
      <c r="B9" s="385">
        <v>66.571428571428598</v>
      </c>
      <c r="C9" s="384">
        <f>$B$9+($I$9-$B$9)*1/7</f>
        <v>70.044417767106864</v>
      </c>
      <c r="D9" s="384">
        <f>$B$9+($I$9-$B$9)*2/7</f>
        <v>73.517406962785145</v>
      </c>
      <c r="E9" s="384">
        <f>$B$9+($I$9-$B$9)*3/7</f>
        <v>76.990396158463412</v>
      </c>
      <c r="F9" s="384">
        <f>$B$9+($I$9-$B$9)*4/7</f>
        <v>80.463385354141693</v>
      </c>
      <c r="G9" s="384">
        <f>$B$9+($I$9-$B$9)*5/7</f>
        <v>83.936374549819959</v>
      </c>
      <c r="H9" s="384">
        <f>$B$9+($I$9-$B$9)*6/7</f>
        <v>87.40936374549824</v>
      </c>
      <c r="I9" s="385">
        <v>90.882352941176507</v>
      </c>
      <c r="J9" s="386">
        <v>80076</v>
      </c>
      <c r="K9" s="228">
        <f>K7/K8</f>
        <v>85356.969696969696</v>
      </c>
      <c r="L9" s="228"/>
      <c r="M9" s="288" t="s">
        <v>239</v>
      </c>
      <c r="N9" t="s">
        <v>409</v>
      </c>
    </row>
    <row r="10" spans="1:14">
      <c r="A10" s="30" t="s">
        <v>241</v>
      </c>
      <c r="B10" s="345">
        <v>0.32</v>
      </c>
      <c r="C10" s="387">
        <f>$B$10+($I$10-$B$10)*1/7</f>
        <v>0.34</v>
      </c>
      <c r="D10" s="387">
        <f>$B$10+($I$10-$B$10)*2/7</f>
        <v>0.36</v>
      </c>
      <c r="E10" s="387">
        <f>$B$10+($I$10-$B$10)*3/7</f>
        <v>0.38</v>
      </c>
      <c r="F10" s="387">
        <f>$B$10+($I$10-$B$10)*4/7</f>
        <v>0.4</v>
      </c>
      <c r="G10" s="387">
        <f>$B$10+($I$10-$B$10)*5/7</f>
        <v>0.42000000000000004</v>
      </c>
      <c r="H10" s="387">
        <f>$B$10+($I$10-$B$10)*6/7</f>
        <v>0.44</v>
      </c>
      <c r="I10" s="345">
        <v>0.46</v>
      </c>
      <c r="J10" s="228"/>
      <c r="K10" s="228"/>
      <c r="L10" s="228"/>
      <c r="M10" s="288" t="s">
        <v>242</v>
      </c>
      <c r="N10" t="s">
        <v>409</v>
      </c>
    </row>
    <row r="11" spans="1:14" s="291" customFormat="1">
      <c r="A11" s="290" t="s">
        <v>243</v>
      </c>
      <c r="B11" s="290">
        <v>3</v>
      </c>
      <c r="C11" s="290"/>
      <c r="D11" s="290"/>
      <c r="E11" s="290"/>
      <c r="F11" s="290"/>
      <c r="G11" s="290"/>
      <c r="H11" s="290"/>
      <c r="I11" s="290">
        <v>3</v>
      </c>
      <c r="J11" s="290"/>
      <c r="K11" s="290"/>
      <c r="L11" s="290"/>
      <c r="M11" s="292" t="s">
        <v>244</v>
      </c>
      <c r="N11" s="291" t="s">
        <v>409</v>
      </c>
    </row>
    <row r="12" spans="1:14" s="291" customFormat="1">
      <c r="A12" s="290" t="s">
        <v>245</v>
      </c>
      <c r="B12" s="290">
        <v>1</v>
      </c>
      <c r="C12" s="290"/>
      <c r="D12" s="290"/>
      <c r="E12" s="290"/>
      <c r="F12" s="290"/>
      <c r="G12" s="290"/>
      <c r="H12" s="290"/>
      <c r="I12" s="290">
        <v>1</v>
      </c>
      <c r="J12" s="290"/>
      <c r="K12" s="290"/>
      <c r="L12" s="290"/>
      <c r="M12" s="292" t="s">
        <v>244</v>
      </c>
      <c r="N12" s="291" t="s">
        <v>409</v>
      </c>
    </row>
    <row r="13" spans="1:14">
      <c r="A13" s="1" t="s">
        <v>246</v>
      </c>
      <c r="B13" s="388">
        <f>37598.9438630949/1000</f>
        <v>37.598943863094902</v>
      </c>
      <c r="C13" s="388">
        <f>44383.1159223457/1000</f>
        <v>44.383115922345702</v>
      </c>
      <c r="D13" s="388">
        <f>47327.2297911043/1000</f>
        <v>47.327229791104301</v>
      </c>
      <c r="E13" s="388">
        <f>52170.0126597666/1000</f>
        <v>52.170012659766606</v>
      </c>
      <c r="F13" s="388">
        <f>56440.2596650148/1000</f>
        <v>56.4402596650148</v>
      </c>
      <c r="G13" s="388">
        <f>59815.1181104768/1000</f>
        <v>59.815118110476796</v>
      </c>
      <c r="H13" s="388">
        <f>62735.0193302346/1000</f>
        <v>62.7350193302346</v>
      </c>
      <c r="I13" s="388">
        <f>65996.2800563021/1000</f>
        <v>65.996280056302098</v>
      </c>
      <c r="J13" s="388">
        <f>61953.3986337082/1000</f>
        <v>61.953398633708204</v>
      </c>
      <c r="K13" s="388">
        <f>61755.0242034709/1000</f>
        <v>61.755024203470903</v>
      </c>
      <c r="L13" s="30"/>
      <c r="M13" s="288" t="s">
        <v>216</v>
      </c>
      <c r="N13" t="s">
        <v>409</v>
      </c>
    </row>
    <row r="14" spans="1:14">
      <c r="A14" s="1" t="s">
        <v>247</v>
      </c>
      <c r="B14" s="228">
        <v>42</v>
      </c>
      <c r="C14" s="228">
        <v>36.5</v>
      </c>
      <c r="D14" s="228">
        <v>77.599999999999994</v>
      </c>
      <c r="E14" s="228">
        <v>31.8</v>
      </c>
      <c r="F14" s="228">
        <v>77.3</v>
      </c>
      <c r="G14" s="228">
        <v>79.8</v>
      </c>
      <c r="H14" s="228">
        <v>31</v>
      </c>
      <c r="I14" s="228">
        <v>31</v>
      </c>
      <c r="J14" s="228">
        <v>32</v>
      </c>
      <c r="K14" s="228">
        <v>32.799999999999997</v>
      </c>
      <c r="L14" s="30"/>
      <c r="M14" s="288" t="s">
        <v>216</v>
      </c>
      <c r="N14" t="s">
        <v>409</v>
      </c>
    </row>
    <row r="15" spans="1:14">
      <c r="A15" s="1" t="s">
        <v>23</v>
      </c>
      <c r="B15" s="39">
        <f t="shared" ref="B15:K15" si="0">SUM(B13:B14)</f>
        <v>79.598943863094902</v>
      </c>
      <c r="C15" s="39">
        <f t="shared" si="0"/>
        <v>80.883115922345695</v>
      </c>
      <c r="D15" s="39">
        <f t="shared" si="0"/>
        <v>124.9272297911043</v>
      </c>
      <c r="E15" s="39">
        <f t="shared" si="0"/>
        <v>83.97001265976661</v>
      </c>
      <c r="F15" s="39">
        <f t="shared" si="0"/>
        <v>133.7402596650148</v>
      </c>
      <c r="G15" s="39">
        <f t="shared" si="0"/>
        <v>139.6151181104768</v>
      </c>
      <c r="H15" s="39">
        <f t="shared" si="0"/>
        <v>93.735019330234593</v>
      </c>
      <c r="I15" s="39">
        <f t="shared" si="0"/>
        <v>96.996280056302098</v>
      </c>
      <c r="J15" s="39">
        <f t="shared" si="0"/>
        <v>93.953398633708204</v>
      </c>
      <c r="K15" s="39">
        <f t="shared" si="0"/>
        <v>94.555024203470907</v>
      </c>
      <c r="L15" s="30"/>
      <c r="M15" s="288"/>
      <c r="N15" t="s">
        <v>409</v>
      </c>
    </row>
    <row r="16" spans="1:14">
      <c r="A16" s="1" t="s">
        <v>248</v>
      </c>
      <c r="B16" s="30"/>
      <c r="C16" s="30"/>
      <c r="D16" s="30"/>
      <c r="E16" s="139">
        <f>'Bilan d''énergie SDES historique'!H252</f>
        <v>266.46157548960679</v>
      </c>
      <c r="F16" s="139">
        <f>'Bilan d''énergie SDES historique'!H220</f>
        <v>268.77132412339802</v>
      </c>
      <c r="G16" s="139">
        <f>'Bilan d''énergie SDES historique'!H188</f>
        <v>275.73908415125925</v>
      </c>
      <c r="H16" s="139">
        <f>'Bilan d''énergie SDES historique'!H156</f>
        <v>312.26673755808133</v>
      </c>
      <c r="I16" s="139">
        <f>'Bilan d''énergie SDES historique'!H124</f>
        <v>301.19931849593047</v>
      </c>
      <c r="J16" s="139">
        <f>'Bilan d''énergie SDES historique'!H92</f>
        <v>309.63457</v>
      </c>
      <c r="K16" s="139">
        <f>'Bilan d''énergie SDES historique'!H60</f>
        <v>308.74838399999999</v>
      </c>
      <c r="L16" s="139">
        <f>'Bilan d''énergie SDES historique'!H28</f>
        <v>320.80598600000002</v>
      </c>
      <c r="M16" s="288" t="s">
        <v>249</v>
      </c>
      <c r="N16" t="s">
        <v>409</v>
      </c>
    </row>
    <row r="17" spans="1:21">
      <c r="A17" s="1" t="s">
        <v>250</v>
      </c>
      <c r="B17" s="30">
        <f>'Cadrage macroéconomique '!B6</f>
        <v>3512</v>
      </c>
      <c r="C17" s="30">
        <f>'Cadrage macroéconomique '!C6</f>
        <v>3668</v>
      </c>
      <c r="D17" s="30">
        <f>'Cadrage macroéconomique '!D6</f>
        <v>3948</v>
      </c>
      <c r="E17" s="30">
        <f>'Cadrage macroéconomique '!E6</f>
        <v>3890</v>
      </c>
      <c r="F17" s="30">
        <f>'Cadrage macroéconomique '!F6</f>
        <v>4037</v>
      </c>
      <c r="G17" s="30">
        <f>'Cadrage macroéconomique '!G6</f>
        <v>3993</v>
      </c>
      <c r="H17" s="30">
        <f>'Cadrage macroéconomique '!H6</f>
        <v>4131</v>
      </c>
      <c r="I17" s="30">
        <f>'Cadrage macroéconomique '!I6</f>
        <v>3978</v>
      </c>
      <c r="J17" s="30">
        <f>'Cadrage macroéconomique '!J6</f>
        <v>4164</v>
      </c>
      <c r="K17" s="30">
        <f>'Cadrage macroéconomique '!K6</f>
        <v>4354</v>
      </c>
      <c r="L17" s="139"/>
      <c r="M17" s="288" t="s">
        <v>222</v>
      </c>
      <c r="N17" t="s">
        <v>409</v>
      </c>
    </row>
    <row r="18" spans="1:21">
      <c r="A18" s="1" t="s">
        <v>251</v>
      </c>
      <c r="B18" s="30"/>
      <c r="C18" s="30"/>
      <c r="D18" s="30"/>
      <c r="E18" s="139">
        <f>'Bilan d''énergie SDES historique'!D252</f>
        <v>57.57037190570788</v>
      </c>
      <c r="F18" s="139">
        <f>'Bilan d''énergie SDES historique'!D220</f>
        <v>57.547088898695925</v>
      </c>
      <c r="G18" s="139">
        <f>'Bilan d''énergie SDES historique'!D188</f>
        <v>56.177310024759116</v>
      </c>
      <c r="H18" s="139">
        <f>'Bilan d''énergie SDES historique'!D156</f>
        <v>59.371641308725607</v>
      </c>
      <c r="I18" s="139">
        <f>'Bilan d''énergie SDES historique'!D124</f>
        <v>73.76494529226882</v>
      </c>
      <c r="J18" s="139">
        <f>'Bilan d''énergie SDES historique'!D92</f>
        <v>62.657341198660006</v>
      </c>
      <c r="K18" s="139">
        <f>'Bilan d''énergie SDES historique'!D60</f>
        <v>65.570700000000002</v>
      </c>
      <c r="L18" s="139">
        <f>'Bilan d''énergie SDES historique'!D28</f>
        <v>66.392949999999999</v>
      </c>
      <c r="M18" s="288" t="s">
        <v>252</v>
      </c>
      <c r="N18" t="s">
        <v>409</v>
      </c>
    </row>
    <row r="19" spans="1:21">
      <c r="A19" s="1" t="s">
        <v>253</v>
      </c>
      <c r="B19" s="30"/>
      <c r="C19" s="30"/>
      <c r="D19" s="30"/>
      <c r="E19" s="139">
        <f>'Bilan d''énergie SDES historique'!G252</f>
        <v>6.8369498689999997</v>
      </c>
      <c r="F19" s="139">
        <f>'Bilan d''énergie SDES historique'!G220</f>
        <v>8.9246061399999999</v>
      </c>
      <c r="G19" s="139">
        <f>'Bilan d''énergie SDES historique'!G188</f>
        <v>10.800943820000001</v>
      </c>
      <c r="H19" s="139">
        <f>'Bilan d''énergie SDES historique'!G156</f>
        <v>13.519433059999999</v>
      </c>
      <c r="I19" s="139">
        <f>'Bilan d''énergie SDES historique'!G124</f>
        <v>16.379947860000001</v>
      </c>
      <c r="J19" s="139">
        <f>'Bilan d''énergie SDES historique'!G92</f>
        <v>18.580343859999999</v>
      </c>
      <c r="K19" s="139">
        <f>'Bilan d''énergie SDES historique'!G60</f>
        <v>20.531695039999999</v>
      </c>
      <c r="L19" s="139">
        <f>'Bilan d''énergie SDES historique'!G28</f>
        <v>22.28601076</v>
      </c>
      <c r="M19" s="288" t="s">
        <v>252</v>
      </c>
      <c r="N19" t="s">
        <v>409</v>
      </c>
    </row>
    <row r="22" spans="1:21">
      <c r="A22" s="447" t="s">
        <v>147</v>
      </c>
      <c r="B22" s="447"/>
      <c r="C22" s="447"/>
      <c r="D22" s="447"/>
      <c r="E22" s="447"/>
      <c r="F22" s="447"/>
      <c r="G22" s="447"/>
      <c r="H22" s="447"/>
      <c r="I22" s="447"/>
      <c r="J22" s="447"/>
      <c r="K22" s="447"/>
      <c r="M22" s="447" t="s">
        <v>148</v>
      </c>
      <c r="N22" s="447"/>
      <c r="O22" s="447"/>
      <c r="P22" s="447"/>
      <c r="Q22" s="447"/>
      <c r="R22" s="447"/>
      <c r="S22" s="447"/>
      <c r="T22" s="447"/>
      <c r="U22" s="447"/>
    </row>
    <row r="24" spans="1:21">
      <c r="A24" s="30"/>
      <c r="B24" s="1">
        <v>2015</v>
      </c>
      <c r="C24" s="30">
        <v>2019</v>
      </c>
      <c r="D24" s="30">
        <v>2025</v>
      </c>
      <c r="E24" s="30">
        <v>2030</v>
      </c>
      <c r="F24" s="30">
        <v>2035</v>
      </c>
      <c r="G24" s="30">
        <v>2040</v>
      </c>
      <c r="H24" s="30">
        <v>2045</v>
      </c>
      <c r="I24" s="30">
        <v>2050</v>
      </c>
      <c r="J24" s="293" t="s">
        <v>390</v>
      </c>
      <c r="M24" s="30"/>
      <c r="N24" s="75">
        <v>2017</v>
      </c>
      <c r="O24" s="75">
        <v>2018</v>
      </c>
      <c r="P24" s="30">
        <v>2025</v>
      </c>
      <c r="Q24" s="30">
        <v>2030</v>
      </c>
      <c r="R24" s="30">
        <v>2035</v>
      </c>
      <c r="S24" s="30">
        <v>2040</v>
      </c>
      <c r="T24" s="30">
        <v>2045</v>
      </c>
      <c r="U24" s="30">
        <v>2050</v>
      </c>
    </row>
    <row r="25" spans="1:21">
      <c r="A25" s="30" t="s">
        <v>237</v>
      </c>
      <c r="B25" s="318">
        <f>G7</f>
        <v>259865</v>
      </c>
      <c r="C25" s="318">
        <f>K7</f>
        <v>281678</v>
      </c>
      <c r="D25" s="139">
        <f>'Cadrage macroéconomique '!$C$15*1000000</f>
        <v>312000</v>
      </c>
      <c r="E25" s="139">
        <f>'Cadrage macroéconomique '!$D$15*1000000</f>
        <v>336000</v>
      </c>
      <c r="F25" s="139">
        <f>'Cadrage macroéconomique '!$E$15*1000000</f>
        <v>360000</v>
      </c>
      <c r="G25" s="139">
        <f>'Cadrage macroéconomique '!$F$15*1000000</f>
        <v>382000</v>
      </c>
      <c r="H25" s="139">
        <f>'Cadrage macroéconomique '!$G$15*1000000</f>
        <v>403000</v>
      </c>
      <c r="I25" s="139">
        <f>'Cadrage macroéconomique '!$H$15*1000000</f>
        <v>421000</v>
      </c>
      <c r="J25" s="288" t="s">
        <v>254</v>
      </c>
      <c r="K25" t="s">
        <v>409</v>
      </c>
      <c r="M25" s="30" t="s">
        <v>237</v>
      </c>
      <c r="N25" s="228">
        <v>268.7</v>
      </c>
      <c r="O25" s="228"/>
      <c r="P25" s="228"/>
      <c r="Q25" s="228">
        <v>309</v>
      </c>
      <c r="R25" s="228"/>
      <c r="S25" s="228"/>
      <c r="T25" s="228"/>
      <c r="U25" s="228">
        <v>364</v>
      </c>
    </row>
    <row r="26" spans="1:21">
      <c r="A26" s="30" t="s">
        <v>238</v>
      </c>
      <c r="B26" s="141">
        <f>G8</f>
        <v>3.4285714285714284</v>
      </c>
      <c r="C26" s="30">
        <f>K8</f>
        <v>3.3</v>
      </c>
      <c r="D26" s="142">
        <f>$C$26+($I$26-$C$26)*6/31</f>
        <v>3.2281105990783412</v>
      </c>
      <c r="E26" s="142">
        <f>$C$26+($I$26-$C$26)*11/31</f>
        <v>3.1682027649769591</v>
      </c>
      <c r="F26" s="142">
        <f>$C$26+($I$26-$C$26)*16/31</f>
        <v>3.108294930875577</v>
      </c>
      <c r="G26" s="142">
        <f>$C$26+($I$26-$C$26)*21/31</f>
        <v>3.0483870967741948</v>
      </c>
      <c r="H26" s="142">
        <f>$C$26+($I$26-$C$26)*26/31</f>
        <v>2.9884792626728127</v>
      </c>
      <c r="I26" s="142">
        <f>_xlfn.FORECAST.LINEAR(I24,B8:I8,B6:I6)</f>
        <v>2.9285714285714306</v>
      </c>
      <c r="J26" s="288" t="s">
        <v>255</v>
      </c>
      <c r="K26" t="s">
        <v>409</v>
      </c>
      <c r="M26" s="30" t="s">
        <v>238</v>
      </c>
      <c r="N26" s="228">
        <v>3.4</v>
      </c>
      <c r="O26" s="228"/>
      <c r="P26" s="228"/>
      <c r="Q26" s="228">
        <v>3.3</v>
      </c>
      <c r="R26" s="228"/>
      <c r="S26" s="228"/>
      <c r="T26" s="228"/>
      <c r="U26" s="228">
        <v>3</v>
      </c>
    </row>
    <row r="27" spans="1:21">
      <c r="A27" s="30" t="s">
        <v>240</v>
      </c>
      <c r="B27" s="139">
        <f t="shared" ref="B27:I27" si="1">B25/B26</f>
        <v>75793.958333333343</v>
      </c>
      <c r="C27" s="139">
        <f t="shared" si="1"/>
        <v>85356.969696969696</v>
      </c>
      <c r="D27" s="139">
        <f t="shared" si="1"/>
        <v>96650.963597430396</v>
      </c>
      <c r="E27" s="139">
        <f t="shared" si="1"/>
        <v>106053.81818181816</v>
      </c>
      <c r="F27" s="139">
        <f t="shared" si="1"/>
        <v>115819.12527798365</v>
      </c>
      <c r="G27" s="139">
        <f t="shared" si="1"/>
        <v>125312.16931216927</v>
      </c>
      <c r="H27" s="139">
        <f t="shared" si="1"/>
        <v>134851.19506553578</v>
      </c>
      <c r="I27" s="139">
        <f t="shared" si="1"/>
        <v>143756.0975609755</v>
      </c>
      <c r="J27" s="288" t="s">
        <v>255</v>
      </c>
      <c r="K27" t="s">
        <v>409</v>
      </c>
      <c r="M27" s="30" t="s">
        <v>240</v>
      </c>
      <c r="N27" s="228">
        <v>91</v>
      </c>
      <c r="O27" s="228"/>
      <c r="P27" s="228"/>
      <c r="Q27" s="228">
        <v>112</v>
      </c>
      <c r="R27" s="228"/>
      <c r="S27" s="228"/>
      <c r="T27" s="228"/>
      <c r="U27" s="228">
        <v>121</v>
      </c>
    </row>
    <row r="28" spans="1:21">
      <c r="A28" s="30" t="s">
        <v>241</v>
      </c>
      <c r="B28" s="82">
        <f>G10</f>
        <v>0.42000000000000004</v>
      </c>
      <c r="C28" s="78">
        <f>I10</f>
        <v>0.46</v>
      </c>
      <c r="D28" s="389">
        <f>AVERAGE(C28,E28)</f>
        <v>0.53</v>
      </c>
      <c r="E28" s="389">
        <v>0.6</v>
      </c>
      <c r="F28" s="389">
        <f>$E28+($I28-$E28)*5/20</f>
        <v>0.63749999999999996</v>
      </c>
      <c r="G28" s="389">
        <f>$E28+($I28-$E28)*10/20</f>
        <v>0.67500000000000004</v>
      </c>
      <c r="H28" s="389">
        <f>$E28+($I28-$E28)*15/20</f>
        <v>0.71250000000000002</v>
      </c>
      <c r="I28" s="390">
        <v>0.75</v>
      </c>
      <c r="J28" s="304" t="s">
        <v>449</v>
      </c>
      <c r="K28" t="s">
        <v>409</v>
      </c>
      <c r="M28" s="30" t="s">
        <v>241</v>
      </c>
      <c r="N28" s="382">
        <v>0.46</v>
      </c>
      <c r="O28" s="228"/>
      <c r="P28" s="228"/>
      <c r="Q28" s="382">
        <v>0.6</v>
      </c>
      <c r="R28" s="228"/>
      <c r="S28" s="228"/>
      <c r="T28" s="228"/>
      <c r="U28" s="382">
        <v>0.75</v>
      </c>
    </row>
    <row r="29" spans="1:21" s="291" customFormat="1" ht="12.6" customHeight="1">
      <c r="A29" s="290" t="s">
        <v>243</v>
      </c>
      <c r="B29" s="290">
        <v>3</v>
      </c>
      <c r="C29" s="290">
        <f>+I11</f>
        <v>3</v>
      </c>
      <c r="D29" s="290"/>
      <c r="E29" s="290"/>
      <c r="F29" s="290"/>
      <c r="G29" s="290"/>
      <c r="H29" s="290"/>
      <c r="I29" s="290">
        <f>U29</f>
        <v>5</v>
      </c>
      <c r="J29" s="292" t="s">
        <v>256</v>
      </c>
      <c r="K29" s="291" t="s">
        <v>409</v>
      </c>
      <c r="M29" s="290" t="s">
        <v>243</v>
      </c>
      <c r="N29" s="228">
        <v>3</v>
      </c>
      <c r="O29" s="228"/>
      <c r="P29" s="228"/>
      <c r="Q29" s="228">
        <v>5</v>
      </c>
      <c r="R29" s="228"/>
      <c r="S29" s="228"/>
      <c r="T29" s="228"/>
      <c r="U29" s="228">
        <v>5</v>
      </c>
    </row>
    <row r="30" spans="1:21" s="291" customFormat="1">
      <c r="A30" s="290" t="s">
        <v>245</v>
      </c>
      <c r="B30" s="290">
        <v>1</v>
      </c>
      <c r="C30" s="290">
        <f>+I12</f>
        <v>1</v>
      </c>
      <c r="D30" s="290"/>
      <c r="E30" s="290"/>
      <c r="F30" s="290"/>
      <c r="G30" s="290"/>
      <c r="H30" s="290"/>
      <c r="I30" s="290">
        <f>U30</f>
        <v>1</v>
      </c>
      <c r="J30" s="292" t="s">
        <v>257</v>
      </c>
      <c r="K30" s="291" t="s">
        <v>409</v>
      </c>
      <c r="M30" s="290" t="s">
        <v>245</v>
      </c>
      <c r="N30" s="228">
        <v>1</v>
      </c>
      <c r="O30" s="228"/>
      <c r="P30" s="228"/>
      <c r="Q30" s="228">
        <v>1</v>
      </c>
      <c r="R30" s="228"/>
      <c r="S30" s="228"/>
      <c r="T30" s="228"/>
      <c r="U30" s="228">
        <v>1</v>
      </c>
    </row>
    <row r="31" spans="1:21">
      <c r="A31" s="1" t="s">
        <v>246</v>
      </c>
      <c r="B31" s="153">
        <f>G13</f>
        <v>59.815118110476796</v>
      </c>
      <c r="C31" s="39">
        <f>K13</f>
        <v>61.755024203470903</v>
      </c>
      <c r="D31" s="142">
        <f>$C$31+($I$31-$C$31)*6/31</f>
        <v>67.278586404484415</v>
      </c>
      <c r="E31" s="142">
        <f>$C$31+($I$31-$C$31)*11/31</f>
        <v>71.881554905329011</v>
      </c>
      <c r="F31" s="142">
        <f>$C$31+($I$31-$C$31)*16/31</f>
        <v>76.484523406173594</v>
      </c>
      <c r="G31" s="142">
        <f>$C$31+($I$31-$C$31)*21/31</f>
        <v>81.08749190701819</v>
      </c>
      <c r="H31" s="142">
        <f>$C$31+($I$31-$C$31)*26/31</f>
        <v>85.690460407862773</v>
      </c>
      <c r="I31" s="142">
        <f>I25*C31*I30*I28*C29/(C28*I29*C25)</f>
        <v>90.293428908707369</v>
      </c>
      <c r="J31" s="288" t="s">
        <v>258</v>
      </c>
      <c r="K31" t="s">
        <v>409</v>
      </c>
      <c r="M31" s="30" t="s">
        <v>246</v>
      </c>
      <c r="N31" s="228">
        <v>6</v>
      </c>
      <c r="O31" s="228"/>
      <c r="P31" s="228"/>
      <c r="Q31" s="228">
        <v>6</v>
      </c>
      <c r="R31" s="228"/>
      <c r="S31" s="228"/>
      <c r="T31" s="228"/>
      <c r="U31" s="228">
        <v>8</v>
      </c>
    </row>
    <row r="32" spans="1:21">
      <c r="A32" s="290" t="s">
        <v>247</v>
      </c>
      <c r="B32" s="290">
        <f>G14</f>
        <v>79.8</v>
      </c>
      <c r="C32" s="290">
        <f>K14</f>
        <v>32.799999999999997</v>
      </c>
      <c r="D32" s="294">
        <f>$C$32+($I$32-$C$32)*6/31</f>
        <v>35.940003788356819</v>
      </c>
      <c r="E32" s="294">
        <f>$C$32+($I$32-$C$32)*11/31</f>
        <v>38.556673611987513</v>
      </c>
      <c r="F32" s="294">
        <f>$C$32+($I$32-$C$32)*16/31</f>
        <v>41.1733434356182</v>
      </c>
      <c r="G32" s="294">
        <f>$C$32+($I$32-$C$32)*21/31</f>
        <v>43.790013259248887</v>
      </c>
      <c r="H32" s="294">
        <f>$C$32+($I$32-$C$32)*26/31</f>
        <v>46.406683082879574</v>
      </c>
      <c r="I32" s="294">
        <f>(I25*C32)/C25</f>
        <v>49.023352906510262</v>
      </c>
      <c r="J32" s="292" t="s">
        <v>258</v>
      </c>
      <c r="K32" t="s">
        <v>409</v>
      </c>
      <c r="M32" s="30" t="s">
        <v>259</v>
      </c>
      <c r="N32" s="228">
        <v>32</v>
      </c>
      <c r="O32" s="228"/>
      <c r="P32" s="228"/>
      <c r="Q32" s="228">
        <v>37</v>
      </c>
      <c r="R32" s="228"/>
      <c r="S32" s="228"/>
      <c r="T32" s="228"/>
      <c r="U32" s="228">
        <v>43</v>
      </c>
    </row>
    <row r="33" spans="1:21">
      <c r="A33" s="1" t="s">
        <v>23</v>
      </c>
      <c r="B33" s="153">
        <f>G15</f>
        <v>139.6151181104768</v>
      </c>
      <c r="C33" s="39">
        <f>SUM(C31:C32)</f>
        <v>94.555024203470907</v>
      </c>
      <c r="D33" s="142">
        <f t="shared" ref="D33:I33" si="2">SUM(D31:D32)</f>
        <v>103.21859019284123</v>
      </c>
      <c r="E33" s="142">
        <f t="shared" si="2"/>
        <v>110.43822851731653</v>
      </c>
      <c r="F33" s="142">
        <f t="shared" si="2"/>
        <v>117.65786684179179</v>
      </c>
      <c r="G33" s="142">
        <f t="shared" si="2"/>
        <v>124.87750516626707</v>
      </c>
      <c r="H33" s="142">
        <f t="shared" si="2"/>
        <v>132.09714349074235</v>
      </c>
      <c r="I33" s="142">
        <f t="shared" si="2"/>
        <v>139.31678181521764</v>
      </c>
      <c r="J33" s="288"/>
      <c r="K33" t="s">
        <v>409</v>
      </c>
      <c r="M33" s="30" t="s">
        <v>23</v>
      </c>
      <c r="N33" s="352">
        <v>38</v>
      </c>
      <c r="O33" s="352"/>
      <c r="P33" s="352"/>
      <c r="Q33" s="352">
        <v>42</v>
      </c>
      <c r="R33" s="352"/>
      <c r="S33" s="352"/>
      <c r="T33" s="352"/>
      <c r="U33" s="352">
        <v>52</v>
      </c>
    </row>
    <row r="34" spans="1:21">
      <c r="A34" s="1" t="s">
        <v>250</v>
      </c>
      <c r="B34" s="30">
        <f>'Cadrage macroéconomique '!G6</f>
        <v>3993</v>
      </c>
      <c r="C34" s="30">
        <f>'Cadrage macroéconomique '!B16</f>
        <v>4354</v>
      </c>
      <c r="D34" s="43">
        <f>'Cadrage macroéconomique '!C16</f>
        <v>4967.872651151496</v>
      </c>
      <c r="E34" s="43">
        <f>'Cadrage macroéconomique '!D16</f>
        <v>5539.9072088412331</v>
      </c>
      <c r="F34" s="43">
        <f>'Cadrage macroéconomique '!E16</f>
        <v>6146.2902687475998</v>
      </c>
      <c r="G34" s="43">
        <f>'Cadrage macroéconomique '!F16</f>
        <v>6753.3814656425666</v>
      </c>
      <c r="H34" s="43">
        <f>'Cadrage macroéconomique '!G16</f>
        <v>7377.518676217881</v>
      </c>
      <c r="I34" s="43">
        <f>'Cadrage macroéconomique '!H16</f>
        <v>7980.5848620515198</v>
      </c>
      <c r="J34" s="288" t="s">
        <v>254</v>
      </c>
      <c r="K34" t="s">
        <v>409</v>
      </c>
      <c r="M34" s="30" t="s">
        <v>260</v>
      </c>
      <c r="N34" s="228"/>
      <c r="O34" s="228"/>
      <c r="P34" s="228"/>
      <c r="Q34" s="228"/>
      <c r="R34" s="228"/>
      <c r="S34" s="228"/>
      <c r="T34" s="228"/>
      <c r="U34" s="275" t="s">
        <v>447</v>
      </c>
    </row>
    <row r="35" spans="1:21">
      <c r="A35" s="468" t="s">
        <v>448</v>
      </c>
      <c r="B35" s="468"/>
      <c r="C35" s="468"/>
      <c r="D35" s="468"/>
      <c r="E35" s="468"/>
      <c r="F35" s="468"/>
      <c r="G35" s="468"/>
      <c r="H35" s="468"/>
      <c r="I35" s="468"/>
      <c r="J35" s="468"/>
      <c r="K35" t="s">
        <v>409</v>
      </c>
    </row>
    <row r="37" spans="1:21">
      <c r="A37" s="447" t="s">
        <v>150</v>
      </c>
      <c r="B37" s="447"/>
      <c r="C37" s="447"/>
      <c r="D37" s="447"/>
      <c r="E37" s="447"/>
      <c r="F37" s="447"/>
      <c r="G37" s="447"/>
      <c r="H37" s="447"/>
      <c r="I37" s="447"/>
      <c r="J37" s="447"/>
      <c r="K37" s="447"/>
      <c r="M37" s="447" t="s">
        <v>151</v>
      </c>
      <c r="N37" s="447"/>
      <c r="O37" s="447"/>
      <c r="P37" s="447"/>
      <c r="Q37" s="447"/>
      <c r="R37" s="447"/>
      <c r="S37" s="447"/>
      <c r="T37" s="447"/>
      <c r="U37" s="447"/>
    </row>
    <row r="39" spans="1:21">
      <c r="A39" s="30"/>
      <c r="B39" s="1">
        <v>2015</v>
      </c>
      <c r="C39" s="30">
        <v>2019</v>
      </c>
      <c r="D39" s="30">
        <v>2025</v>
      </c>
      <c r="E39" s="30">
        <v>2030</v>
      </c>
      <c r="F39" s="30">
        <v>2035</v>
      </c>
      <c r="G39" s="30">
        <v>2040</v>
      </c>
      <c r="H39" s="30">
        <v>2045</v>
      </c>
      <c r="I39" s="30">
        <v>2050</v>
      </c>
      <c r="J39" s="275" t="s">
        <v>390</v>
      </c>
      <c r="K39" t="s">
        <v>409</v>
      </c>
      <c r="M39" s="30"/>
      <c r="N39" s="75">
        <v>2010</v>
      </c>
      <c r="O39" s="30">
        <v>2020</v>
      </c>
      <c r="P39" s="30">
        <v>2025</v>
      </c>
      <c r="Q39" s="30">
        <v>2030</v>
      </c>
      <c r="R39" s="30">
        <v>2035</v>
      </c>
      <c r="S39" s="30">
        <v>2040</v>
      </c>
      <c r="T39" s="30">
        <v>2045</v>
      </c>
      <c r="U39" s="30">
        <v>2050</v>
      </c>
    </row>
    <row r="40" spans="1:21">
      <c r="A40" s="30" t="s">
        <v>237</v>
      </c>
      <c r="B40" s="302">
        <f>B25</f>
        <v>259865</v>
      </c>
      <c r="C40" s="302">
        <f>C25</f>
        <v>281678</v>
      </c>
      <c r="D40" s="160">
        <f>'Cadrage macroéconomique '!$C$15*1000000</f>
        <v>312000</v>
      </c>
      <c r="E40" s="160">
        <f>'Cadrage macroéconomique '!$D$15*1000000</f>
        <v>336000</v>
      </c>
      <c r="F40" s="160">
        <f>'Cadrage macroéconomique '!$E$15*1000000</f>
        <v>360000</v>
      </c>
      <c r="G40" s="160">
        <f>'Cadrage macroéconomique '!$F$15*1000000</f>
        <v>382000</v>
      </c>
      <c r="H40" s="160">
        <f>'Cadrage macroéconomique '!$G$15*1000000</f>
        <v>403000</v>
      </c>
      <c r="I40" s="160">
        <f>'Cadrage macroéconomique '!$H$15*1000000</f>
        <v>421000</v>
      </c>
      <c r="J40" s="288" t="s">
        <v>254</v>
      </c>
      <c r="K40" t="s">
        <v>409</v>
      </c>
      <c r="M40" s="30" t="s">
        <v>237</v>
      </c>
      <c r="N40" s="228"/>
      <c r="O40" s="228"/>
      <c r="P40" s="228"/>
      <c r="Q40" s="228"/>
      <c r="R40" s="228"/>
      <c r="S40" s="228"/>
      <c r="T40" s="228"/>
      <c r="U40" s="228">
        <v>385</v>
      </c>
    </row>
    <row r="41" spans="1:21">
      <c r="A41" s="30" t="s">
        <v>238</v>
      </c>
      <c r="B41" s="302">
        <f t="shared" ref="B41:C49" si="3">B26</f>
        <v>3.4285714285714284</v>
      </c>
      <c r="C41" s="302">
        <f t="shared" si="3"/>
        <v>3.3</v>
      </c>
      <c r="D41" s="145">
        <f t="shared" ref="D41:I41" si="4">D26</f>
        <v>3.2281105990783412</v>
      </c>
      <c r="E41" s="145">
        <f t="shared" si="4"/>
        <v>3.1682027649769591</v>
      </c>
      <c r="F41" s="145">
        <f t="shared" si="4"/>
        <v>3.108294930875577</v>
      </c>
      <c r="G41" s="145">
        <f t="shared" si="4"/>
        <v>3.0483870967741948</v>
      </c>
      <c r="H41" s="145">
        <f t="shared" si="4"/>
        <v>2.9884792626728127</v>
      </c>
      <c r="I41" s="145">
        <f t="shared" si="4"/>
        <v>2.9285714285714306</v>
      </c>
      <c r="J41" s="288" t="s">
        <v>255</v>
      </c>
      <c r="K41" t="s">
        <v>409</v>
      </c>
      <c r="M41" s="30" t="s">
        <v>238</v>
      </c>
      <c r="N41" s="228"/>
      <c r="O41" s="228"/>
      <c r="P41" s="228"/>
      <c r="Q41" s="228"/>
      <c r="R41" s="228"/>
      <c r="S41" s="228"/>
      <c r="T41" s="228"/>
      <c r="U41" s="228">
        <v>3</v>
      </c>
    </row>
    <row r="42" spans="1:21">
      <c r="A42" s="30" t="s">
        <v>240</v>
      </c>
      <c r="B42" s="302">
        <f t="shared" si="3"/>
        <v>75793.958333333343</v>
      </c>
      <c r="C42" s="302">
        <f t="shared" si="3"/>
        <v>85356.969696969696</v>
      </c>
      <c r="D42" s="139">
        <f t="shared" ref="D42:I42" si="5">D40/D41</f>
        <v>96650.963597430396</v>
      </c>
      <c r="E42" s="139">
        <f t="shared" si="5"/>
        <v>106053.81818181816</v>
      </c>
      <c r="F42" s="139">
        <f t="shared" si="5"/>
        <v>115819.12527798365</v>
      </c>
      <c r="G42" s="139">
        <f t="shared" si="5"/>
        <v>125312.16931216927</v>
      </c>
      <c r="H42" s="139">
        <f t="shared" si="5"/>
        <v>134851.19506553578</v>
      </c>
      <c r="I42" s="139">
        <f t="shared" si="5"/>
        <v>143756.0975609755</v>
      </c>
      <c r="J42" s="288" t="s">
        <v>255</v>
      </c>
      <c r="K42" t="s">
        <v>409</v>
      </c>
      <c r="M42" s="30" t="s">
        <v>240</v>
      </c>
      <c r="N42" s="228"/>
      <c r="O42" s="228"/>
      <c r="P42" s="228"/>
      <c r="Q42" s="228"/>
      <c r="R42" s="228"/>
      <c r="S42" s="228"/>
      <c r="T42" s="228"/>
      <c r="U42" s="228">
        <v>128</v>
      </c>
    </row>
    <row r="43" spans="1:21">
      <c r="A43" s="30" t="s">
        <v>241</v>
      </c>
      <c r="B43" s="301">
        <f t="shared" si="3"/>
        <v>0.42000000000000004</v>
      </c>
      <c r="C43" s="302">
        <f t="shared" si="3"/>
        <v>0.46</v>
      </c>
      <c r="D43" s="116">
        <f>$C$43+($I$43-$C$43)*5/30</f>
        <v>0.48333333333333334</v>
      </c>
      <c r="E43" s="116">
        <f>$C$43+($I$43-$C$43)*10/30</f>
        <v>0.50666666666666671</v>
      </c>
      <c r="F43" s="116">
        <f>$C$43+($I$43-$C$43)*15/30</f>
        <v>0.53</v>
      </c>
      <c r="G43" s="116">
        <f>$C$43+($I$43-$C$43)*20/30</f>
        <v>0.55333333333333334</v>
      </c>
      <c r="H43" s="116">
        <f>$C$43+($I$43-$C$43)*25/30</f>
        <v>0.57666666666666666</v>
      </c>
      <c r="I43" s="82">
        <f>U43</f>
        <v>0.6</v>
      </c>
      <c r="J43" s="304" t="s">
        <v>450</v>
      </c>
      <c r="K43" t="s">
        <v>409</v>
      </c>
      <c r="M43" s="30" t="s">
        <v>241</v>
      </c>
      <c r="N43" s="228"/>
      <c r="O43" s="228"/>
      <c r="P43" s="228"/>
      <c r="Q43" s="228"/>
      <c r="R43" s="228"/>
      <c r="S43" s="228"/>
      <c r="T43" s="228"/>
      <c r="U43" s="382">
        <v>0.6</v>
      </c>
    </row>
    <row r="44" spans="1:21" s="291" customFormat="1">
      <c r="A44" s="290" t="s">
        <v>243</v>
      </c>
      <c r="B44" s="302">
        <f t="shared" si="3"/>
        <v>3</v>
      </c>
      <c r="C44" s="302">
        <f t="shared" si="3"/>
        <v>3</v>
      </c>
      <c r="D44" s="290"/>
      <c r="E44" s="290"/>
      <c r="F44" s="290"/>
      <c r="G44" s="290"/>
      <c r="H44" s="290"/>
      <c r="I44" s="290">
        <f>U29</f>
        <v>5</v>
      </c>
      <c r="J44" s="292" t="s">
        <v>257</v>
      </c>
      <c r="K44" s="291" t="s">
        <v>409</v>
      </c>
      <c r="M44" s="290" t="s">
        <v>243</v>
      </c>
      <c r="N44" s="228"/>
      <c r="O44" s="228"/>
      <c r="P44" s="228"/>
      <c r="Q44" s="228">
        <v>6</v>
      </c>
      <c r="R44" s="228"/>
      <c r="S44" s="228"/>
      <c r="T44" s="228"/>
      <c r="U44" s="228">
        <v>6</v>
      </c>
    </row>
    <row r="45" spans="1:21" s="291" customFormat="1">
      <c r="A45" s="290" t="s">
        <v>245</v>
      </c>
      <c r="B45" s="302">
        <f t="shared" si="3"/>
        <v>1</v>
      </c>
      <c r="C45" s="302">
        <f t="shared" si="3"/>
        <v>1</v>
      </c>
      <c r="D45" s="290"/>
      <c r="E45" s="290"/>
      <c r="F45" s="290"/>
      <c r="G45" s="290"/>
      <c r="H45" s="290"/>
      <c r="I45" s="290">
        <f>U45</f>
        <v>1</v>
      </c>
      <c r="J45" s="292" t="s">
        <v>257</v>
      </c>
      <c r="K45" s="291" t="s">
        <v>409</v>
      </c>
      <c r="M45" s="290" t="s">
        <v>245</v>
      </c>
      <c r="N45" s="228"/>
      <c r="O45" s="228"/>
      <c r="P45" s="228"/>
      <c r="Q45" s="228">
        <v>1</v>
      </c>
      <c r="R45" s="228"/>
      <c r="S45" s="228"/>
      <c r="T45" s="228"/>
      <c r="U45" s="228">
        <v>1</v>
      </c>
    </row>
    <row r="46" spans="1:21">
      <c r="A46" s="1" t="s">
        <v>246</v>
      </c>
      <c r="B46" s="302">
        <f t="shared" si="3"/>
        <v>59.815118110476796</v>
      </c>
      <c r="C46" s="302">
        <f t="shared" si="3"/>
        <v>61.755024203470903</v>
      </c>
      <c r="D46" s="142">
        <f>$C$46+($I$46-$C$46)*6/31</f>
        <v>63.783356898340898</v>
      </c>
      <c r="E46" s="142">
        <f>$C$46+($I$46-$C$46)*11/31</f>
        <v>65.473634144065898</v>
      </c>
      <c r="F46" s="142">
        <f>$C$46+($I$46-$C$46)*16/31</f>
        <v>67.163911389790897</v>
      </c>
      <c r="G46" s="142">
        <f>$C$46+($I$46-$C$46)*21/31</f>
        <v>68.854188635515882</v>
      </c>
      <c r="H46" s="142">
        <f>$C$46+($I$46-$C$46)*26/31</f>
        <v>70.544465881240882</v>
      </c>
      <c r="I46" s="142">
        <f>I40*C46*I45*I43*C44/(C43*I44*C40)</f>
        <v>72.234743126965881</v>
      </c>
      <c r="J46" s="288" t="s">
        <v>258</v>
      </c>
      <c r="K46" t="s">
        <v>409</v>
      </c>
      <c r="M46" s="30" t="s">
        <v>246</v>
      </c>
      <c r="N46" s="228"/>
      <c r="O46" s="228"/>
      <c r="P46" s="228"/>
      <c r="Q46" s="228"/>
      <c r="R46" s="228"/>
      <c r="S46" s="228"/>
      <c r="T46" s="228"/>
      <c r="U46" s="228">
        <v>6</v>
      </c>
    </row>
    <row r="47" spans="1:21">
      <c r="A47" s="1" t="s">
        <v>247</v>
      </c>
      <c r="B47" s="302">
        <f t="shared" si="3"/>
        <v>79.8</v>
      </c>
      <c r="C47" s="302">
        <f t="shared" si="3"/>
        <v>32.799999999999997</v>
      </c>
      <c r="D47" s="142">
        <f>$C$47+($I$47-$C$47)*6/31</f>
        <v>35.940003788356819</v>
      </c>
      <c r="E47" s="142">
        <f>$C$47+($I$47-$C$47)*11/31</f>
        <v>38.556673611987513</v>
      </c>
      <c r="F47" s="142">
        <f>$C$47+($I$47-$C$47)*16/31</f>
        <v>41.1733434356182</v>
      </c>
      <c r="G47" s="142">
        <f>$C$47+($I$47-$C$47)*21/31</f>
        <v>43.790013259248887</v>
      </c>
      <c r="H47" s="142">
        <f>$C$47+($I$47-$C$47)*26/31</f>
        <v>46.406683082879574</v>
      </c>
      <c r="I47" s="142">
        <f>(I40*C47)/C40</f>
        <v>49.023352906510262</v>
      </c>
      <c r="J47" s="288" t="s">
        <v>258</v>
      </c>
      <c r="K47" t="s">
        <v>409</v>
      </c>
      <c r="M47" s="30" t="s">
        <v>259</v>
      </c>
      <c r="N47" s="228"/>
      <c r="O47" s="228"/>
      <c r="P47" s="228"/>
      <c r="Q47" s="228"/>
      <c r="R47" s="228"/>
      <c r="S47" s="228"/>
      <c r="T47" s="228"/>
      <c r="U47" s="228">
        <v>0</v>
      </c>
    </row>
    <row r="48" spans="1:21">
      <c r="A48" s="1" t="s">
        <v>23</v>
      </c>
      <c r="B48" s="302">
        <f t="shared" si="3"/>
        <v>139.6151181104768</v>
      </c>
      <c r="C48" s="302">
        <f t="shared" si="3"/>
        <v>94.555024203470907</v>
      </c>
      <c r="D48" s="142">
        <f t="shared" ref="D48:I48" si="6">SUM(D46:D47)</f>
        <v>99.723360686697717</v>
      </c>
      <c r="E48" s="142">
        <f t="shared" si="6"/>
        <v>104.03030775605342</v>
      </c>
      <c r="F48" s="142">
        <f t="shared" si="6"/>
        <v>108.3372548254091</v>
      </c>
      <c r="G48" s="142">
        <f t="shared" si="6"/>
        <v>112.64420189476476</v>
      </c>
      <c r="H48" s="142">
        <f t="shared" si="6"/>
        <v>116.95114896412045</v>
      </c>
      <c r="I48" s="142">
        <f t="shared" si="6"/>
        <v>121.25809603347614</v>
      </c>
      <c r="J48" s="288"/>
      <c r="K48" t="s">
        <v>409</v>
      </c>
      <c r="M48" s="30" t="s">
        <v>23</v>
      </c>
      <c r="N48" s="352"/>
      <c r="O48" s="352"/>
      <c r="P48" s="352"/>
      <c r="Q48" s="352"/>
      <c r="R48" s="352"/>
      <c r="S48" s="352"/>
      <c r="T48" s="352"/>
      <c r="U48" s="352">
        <v>6</v>
      </c>
    </row>
    <row r="49" spans="1:21" ht="17.399999999999999" customHeight="1">
      <c r="A49" s="1" t="s">
        <v>250</v>
      </c>
      <c r="B49" s="302">
        <f t="shared" si="3"/>
        <v>3993</v>
      </c>
      <c r="C49" s="302">
        <f t="shared" si="3"/>
        <v>4354</v>
      </c>
      <c r="D49" s="139">
        <f>D34</f>
        <v>4967.872651151496</v>
      </c>
      <c r="E49" s="160">
        <f t="shared" ref="E49:I49" si="7">E34</f>
        <v>5539.9072088412331</v>
      </c>
      <c r="F49" s="160">
        <f t="shared" si="7"/>
        <v>6146.2902687475998</v>
      </c>
      <c r="G49" s="160">
        <f t="shared" si="7"/>
        <v>6753.3814656425666</v>
      </c>
      <c r="H49" s="160">
        <f t="shared" si="7"/>
        <v>7377.518676217881</v>
      </c>
      <c r="I49" s="160">
        <f t="shared" si="7"/>
        <v>7980.5848620515198</v>
      </c>
      <c r="J49" s="288" t="s">
        <v>254</v>
      </c>
      <c r="K49" t="s">
        <v>409</v>
      </c>
      <c r="M49" s="30" t="s">
        <v>260</v>
      </c>
      <c r="N49" s="228"/>
      <c r="O49" s="228"/>
      <c r="P49" s="228"/>
      <c r="Q49" s="228"/>
      <c r="R49" s="228"/>
      <c r="S49" s="228"/>
      <c r="T49" s="228"/>
      <c r="U49" s="275" t="s">
        <v>447</v>
      </c>
    </row>
    <row r="50" spans="1:21">
      <c r="A50" s="468" t="s">
        <v>412</v>
      </c>
      <c r="B50" s="468"/>
      <c r="C50" s="468"/>
      <c r="D50" s="468"/>
      <c r="E50" s="468"/>
      <c r="F50" s="468"/>
      <c r="G50" s="468"/>
      <c r="H50" s="468"/>
      <c r="I50" s="468"/>
      <c r="J50" s="468"/>
      <c r="K50" t="s">
        <v>409</v>
      </c>
    </row>
    <row r="52" spans="1:21">
      <c r="A52" s="472" t="s">
        <v>261</v>
      </c>
      <c r="B52" s="472"/>
      <c r="C52" s="472"/>
      <c r="D52" s="472"/>
      <c r="E52" s="472"/>
      <c r="F52" s="472"/>
      <c r="G52" s="472"/>
      <c r="H52" s="472"/>
      <c r="I52" s="472"/>
      <c r="J52" s="472"/>
      <c r="K52" s="472"/>
    </row>
    <row r="54" spans="1:21">
      <c r="A54" s="447" t="s">
        <v>55</v>
      </c>
      <c r="B54" s="447"/>
      <c r="C54" s="447"/>
      <c r="D54" s="447"/>
      <c r="E54" s="447"/>
      <c r="F54" s="447"/>
      <c r="G54" s="447"/>
      <c r="H54" s="447"/>
      <c r="I54" s="447"/>
      <c r="J54" s="447"/>
      <c r="K54" s="447"/>
    </row>
    <row r="55" spans="1:21">
      <c r="B55" t="s">
        <v>262</v>
      </c>
      <c r="C55" t="s">
        <v>263</v>
      </c>
    </row>
    <row r="56" spans="1:21">
      <c r="A56" s="146" t="s">
        <v>264</v>
      </c>
      <c r="B56" s="1">
        <v>2010</v>
      </c>
      <c r="C56" s="1">
        <v>2010</v>
      </c>
      <c r="E56" s="237" t="s">
        <v>477</v>
      </c>
      <c r="F56" s="237" t="s">
        <v>478</v>
      </c>
      <c r="G56" t="s">
        <v>409</v>
      </c>
      <c r="H56" s="237" t="s">
        <v>264</v>
      </c>
      <c r="I56" s="237" t="s">
        <v>479</v>
      </c>
    </row>
    <row r="57" spans="1:21">
      <c r="A57" s="1" t="s">
        <v>265</v>
      </c>
      <c r="B57" s="342">
        <v>0.04</v>
      </c>
      <c r="C57" s="343">
        <f>B57/B$64</f>
        <v>5.6338028169014079E-2</v>
      </c>
      <c r="E57" s="237" t="s">
        <v>43</v>
      </c>
      <c r="F57" s="345">
        <v>0.5</v>
      </c>
      <c r="H57" s="237" t="s">
        <v>480</v>
      </c>
      <c r="I57" s="412">
        <v>0.45</v>
      </c>
    </row>
    <row r="58" spans="1:21">
      <c r="A58" s="1" t="s">
        <v>266</v>
      </c>
      <c r="B58" s="342">
        <v>0.13</v>
      </c>
      <c r="C58" s="343">
        <f t="shared" ref="C58:C61" si="8">B58/B$64</f>
        <v>0.18309859154929575</v>
      </c>
      <c r="E58" s="237" t="s">
        <v>44</v>
      </c>
      <c r="F58" s="345">
        <v>0.5</v>
      </c>
      <c r="H58" s="237" t="s">
        <v>266</v>
      </c>
      <c r="I58" s="412">
        <v>0.31</v>
      </c>
    </row>
    <row r="59" spans="1:21">
      <c r="A59" s="1" t="s">
        <v>267</v>
      </c>
      <c r="B59" s="342">
        <v>0.28000000000000003</v>
      </c>
      <c r="C59" s="343">
        <f t="shared" si="8"/>
        <v>0.39436619718309857</v>
      </c>
      <c r="E59" s="237" t="s">
        <v>41</v>
      </c>
      <c r="F59" s="345">
        <v>0</v>
      </c>
      <c r="H59" s="237" t="s">
        <v>481</v>
      </c>
      <c r="I59" s="412">
        <v>0.12</v>
      </c>
    </row>
    <row r="60" spans="1:21">
      <c r="A60" s="1" t="s">
        <v>268</v>
      </c>
      <c r="B60" s="342">
        <v>0.13</v>
      </c>
      <c r="C60" s="343">
        <f t="shared" si="8"/>
        <v>0.18309859154929575</v>
      </c>
      <c r="G60" s="390"/>
      <c r="H60" s="237" t="s">
        <v>482</v>
      </c>
      <c r="I60" s="412">
        <v>0.02</v>
      </c>
    </row>
    <row r="61" spans="1:21">
      <c r="A61" s="1" t="s">
        <v>269</v>
      </c>
      <c r="B61" s="342">
        <v>0.13</v>
      </c>
      <c r="C61" s="343">
        <f t="shared" si="8"/>
        <v>0.18309859154929575</v>
      </c>
      <c r="H61" s="237" t="s">
        <v>483</v>
      </c>
      <c r="I61" s="412">
        <v>0.03</v>
      </c>
    </row>
    <row r="62" spans="1:21">
      <c r="A62" s="1" t="s">
        <v>270</v>
      </c>
      <c r="B62" s="342">
        <v>0.3</v>
      </c>
      <c r="C62" s="343">
        <v>0</v>
      </c>
      <c r="H62" s="237" t="s">
        <v>484</v>
      </c>
      <c r="I62" s="412">
        <v>7.0000000000000007E-2</v>
      </c>
    </row>
    <row r="63" spans="1:21">
      <c r="A63" s="148" t="s">
        <v>23</v>
      </c>
      <c r="B63" s="149">
        <f>SUM(B57:B62)</f>
        <v>1.01</v>
      </c>
      <c r="C63" s="149">
        <f>SUM(C57:C62)</f>
        <v>0.99999999999999989</v>
      </c>
    </row>
    <row r="64" spans="1:21">
      <c r="A64" s="150" t="s">
        <v>271</v>
      </c>
      <c r="B64" s="151">
        <f>SUM(B57:B61)</f>
        <v>0.71000000000000008</v>
      </c>
      <c r="C64" s="150"/>
      <c r="D64" s="35"/>
      <c r="E64" s="35"/>
      <c r="F64" s="35"/>
      <c r="G64" s="35"/>
      <c r="H64" s="35"/>
      <c r="I64" s="35"/>
      <c r="J64" s="35"/>
      <c r="K64" s="35"/>
      <c r="L64" s="35"/>
    </row>
    <row r="65" spans="1:21">
      <c r="A65" s="150"/>
      <c r="B65" s="151"/>
      <c r="C65" s="150"/>
      <c r="D65" s="35"/>
      <c r="E65" s="35"/>
      <c r="F65" s="35"/>
      <c r="G65" s="35"/>
      <c r="H65" s="35"/>
      <c r="I65" s="35"/>
      <c r="J65" s="35"/>
      <c r="K65" s="35"/>
      <c r="L65" s="35"/>
    </row>
    <row r="66" spans="1:21">
      <c r="A66" s="447" t="s">
        <v>147</v>
      </c>
      <c r="B66" s="447"/>
      <c r="C66" s="447"/>
      <c r="D66" s="447"/>
      <c r="E66" s="447"/>
      <c r="F66" s="447"/>
      <c r="G66" s="447"/>
      <c r="H66" s="447"/>
      <c r="I66" s="447"/>
      <c r="J66" s="447"/>
      <c r="K66" s="447"/>
      <c r="M66" s="447" t="s">
        <v>148</v>
      </c>
      <c r="N66" s="447"/>
      <c r="O66" s="447"/>
      <c r="P66" s="447"/>
      <c r="Q66" s="447"/>
      <c r="R66" s="447"/>
      <c r="S66" s="447"/>
      <c r="T66" s="447"/>
      <c r="U66" s="447"/>
    </row>
    <row r="68" spans="1:21">
      <c r="A68" s="420" t="s">
        <v>264</v>
      </c>
      <c r="B68" s="421">
        <v>2019</v>
      </c>
      <c r="C68" s="421">
        <v>2020</v>
      </c>
      <c r="D68" s="421">
        <v>2025</v>
      </c>
      <c r="E68" s="421">
        <v>2030</v>
      </c>
      <c r="F68" s="421">
        <v>2035</v>
      </c>
      <c r="G68" s="421">
        <v>2040</v>
      </c>
      <c r="H68" s="421">
        <v>2045</v>
      </c>
      <c r="I68" s="421">
        <v>2050</v>
      </c>
      <c r="J68" s="421" t="s">
        <v>272</v>
      </c>
      <c r="K68" s="421" t="s">
        <v>273</v>
      </c>
      <c r="M68" s="85" t="s">
        <v>264</v>
      </c>
      <c r="N68" s="30">
        <v>2015</v>
      </c>
      <c r="O68" s="30">
        <v>2020</v>
      </c>
      <c r="P68" s="30">
        <v>2025</v>
      </c>
      <c r="Q68" s="30">
        <v>2030</v>
      </c>
      <c r="R68" s="30">
        <v>2035</v>
      </c>
      <c r="S68" s="30">
        <v>2040</v>
      </c>
      <c r="T68" s="30">
        <v>2045</v>
      </c>
      <c r="U68" s="30">
        <v>2050</v>
      </c>
    </row>
    <row r="69" spans="1:21">
      <c r="A69" s="421" t="s">
        <v>265</v>
      </c>
      <c r="B69" s="422">
        <f>B$74*$C57</f>
        <v>15.40653871935876</v>
      </c>
      <c r="C69" s="422">
        <f>C$74*$C57</f>
        <v>19.925122816260167</v>
      </c>
      <c r="D69" s="422">
        <f>$B69+($I69-$B69)*6/31</f>
        <v>15.437864176116836</v>
      </c>
      <c r="E69" s="422">
        <f>$B69+($I69-$B69)*11/31</f>
        <v>15.463968723415233</v>
      </c>
      <c r="F69" s="422">
        <f>$B69+($I69-$B69)*16/31</f>
        <v>15.49007327071363</v>
      </c>
      <c r="G69" s="422">
        <f>$B69+($I69-$B69)*21/31</f>
        <v>15.516177818012025</v>
      </c>
      <c r="H69" s="422">
        <f>$B69+($I69-$B69)*26/31</f>
        <v>15.542282365310422</v>
      </c>
      <c r="I69" s="422">
        <f>B69*J69*K69</f>
        <v>15.568386912608819</v>
      </c>
      <c r="J69" s="421">
        <v>0.6</v>
      </c>
      <c r="K69" s="423">
        <f>I27/C27</f>
        <v>1.6841752708810029</v>
      </c>
      <c r="M69" s="30" t="s">
        <v>265</v>
      </c>
      <c r="N69" s="228">
        <v>13</v>
      </c>
      <c r="O69" s="228"/>
      <c r="P69" s="228"/>
      <c r="Q69" s="228"/>
      <c r="R69" s="228"/>
      <c r="S69" s="228"/>
      <c r="T69" s="228"/>
      <c r="U69" s="228">
        <v>6</v>
      </c>
    </row>
    <row r="70" spans="1:21">
      <c r="A70" s="421" t="s">
        <v>266</v>
      </c>
      <c r="B70" s="422">
        <f>B$74*C58</f>
        <v>50.071250837915969</v>
      </c>
      <c r="C70" s="422">
        <f>C$74*$C58</f>
        <v>64.75664915284554</v>
      </c>
      <c r="D70" s="422">
        <f>$B70+($I70-$B70)*6/31</f>
        <v>53.437397763733173</v>
      </c>
      <c r="E70" s="422">
        <f>$B70+($I70-$B70)*11/31</f>
        <v>56.242520201914182</v>
      </c>
      <c r="F70" s="422">
        <f>$B70+($I70-$B70)*16/31</f>
        <v>59.047642640095191</v>
      </c>
      <c r="G70" s="422">
        <f>$B70+($I70-$B70)*21/31</f>
        <v>61.8527650782762</v>
      </c>
      <c r="H70" s="422">
        <f>$B70+($I70-$B70)*26/31</f>
        <v>64.657887516457208</v>
      </c>
      <c r="I70" s="422">
        <f>B70*J70*K70</f>
        <v>67.46300995463821</v>
      </c>
      <c r="J70" s="421">
        <v>1</v>
      </c>
      <c r="K70" s="423">
        <f>0.8*I27/C27</f>
        <v>1.3473402167048023</v>
      </c>
      <c r="M70" s="30" t="s">
        <v>266</v>
      </c>
      <c r="N70" s="228">
        <v>43</v>
      </c>
      <c r="O70" s="228"/>
      <c r="P70" s="228"/>
      <c r="Q70" s="228"/>
      <c r="R70" s="228"/>
      <c r="S70" s="228"/>
      <c r="T70" s="228"/>
      <c r="U70" s="228">
        <v>48</v>
      </c>
    </row>
    <row r="71" spans="1:21">
      <c r="A71" s="421" t="s">
        <v>267</v>
      </c>
      <c r="B71" s="422">
        <f>B$74*C59</f>
        <v>107.84577103551133</v>
      </c>
      <c r="C71" s="422">
        <f>C$74*$C59</f>
        <v>139.47585971382117</v>
      </c>
      <c r="D71" s="422">
        <f>$B71+($I71-$B71)*6/31</f>
        <v>129.15770246925561</v>
      </c>
      <c r="E71" s="422">
        <f>$B71+($I71-$B71)*11/31</f>
        <v>146.91764533070921</v>
      </c>
      <c r="F71" s="422">
        <f>$B71+($I71-$B71)*16/31</f>
        <v>164.67758819216277</v>
      </c>
      <c r="G71" s="422">
        <f>$B71+($I71-$B71)*21/31</f>
        <v>182.43753105361634</v>
      </c>
      <c r="H71" s="422">
        <f>$B71+($I71-$B71)*26/31</f>
        <v>200.19747391506991</v>
      </c>
      <c r="I71" s="422">
        <f>B71*J71*K71</f>
        <v>217.95741677652347</v>
      </c>
      <c r="J71" s="421">
        <v>1</v>
      </c>
      <c r="K71" s="423">
        <f>1.2*I27/C27</f>
        <v>2.0210103250572033</v>
      </c>
      <c r="M71" s="30" t="s">
        <v>267</v>
      </c>
      <c r="N71" s="228">
        <v>88</v>
      </c>
      <c r="O71" s="228"/>
      <c r="P71" s="228"/>
      <c r="Q71" s="228"/>
      <c r="R71" s="228"/>
      <c r="S71" s="228"/>
      <c r="T71" s="228"/>
      <c r="U71" s="228">
        <v>92</v>
      </c>
    </row>
    <row r="72" spans="1:21">
      <c r="A72" s="421" t="s">
        <v>274</v>
      </c>
      <c r="B72" s="422">
        <f>B$74*C60</f>
        <v>50.071250837915969</v>
      </c>
      <c r="C72" s="422">
        <f>C$74*$C60</f>
        <v>64.75664915284554</v>
      </c>
      <c r="D72" s="422">
        <f>$B72+($I72-$B72)*6/31</f>
        <v>58.333906550763373</v>
      </c>
      <c r="E72" s="422">
        <f>$B72+($I72-$B72)*11/31</f>
        <v>65.219452978136218</v>
      </c>
      <c r="F72" s="422">
        <f>$B72+($I72-$B72)*16/31</f>
        <v>72.104999405509048</v>
      </c>
      <c r="G72" s="422">
        <f>$B72+($I72-$B72)*21/31</f>
        <v>78.990545832881892</v>
      </c>
      <c r="H72" s="422">
        <f>$B72+($I72-$B72)*26/31</f>
        <v>85.876092260254723</v>
      </c>
      <c r="I72" s="422">
        <f>B72*J72*K72</f>
        <v>92.761638687627567</v>
      </c>
      <c r="J72" s="421">
        <v>1</v>
      </c>
      <c r="K72" s="423">
        <f>1.1*I27/C27</f>
        <v>1.8525927979691035</v>
      </c>
      <c r="M72" s="30" t="s">
        <v>274</v>
      </c>
      <c r="N72" s="228">
        <v>40</v>
      </c>
      <c r="O72" s="228"/>
      <c r="P72" s="228"/>
      <c r="Q72" s="228"/>
      <c r="R72" s="228"/>
      <c r="S72" s="228"/>
      <c r="T72" s="228"/>
      <c r="U72" s="228">
        <v>48</v>
      </c>
    </row>
    <row r="73" spans="1:21">
      <c r="A73" s="421" t="s">
        <v>269</v>
      </c>
      <c r="B73" s="422">
        <f>B$74*C61</f>
        <v>50.071250837915969</v>
      </c>
      <c r="C73" s="422">
        <f>C$74*$C61</f>
        <v>64.75664915284554</v>
      </c>
      <c r="D73" s="422">
        <f>$B73+($I73-$B73)*6/31</f>
        <v>54.864662951294662</v>
      </c>
      <c r="E73" s="422">
        <f>$B73+($I73-$B73)*11/31</f>
        <v>58.859173045776906</v>
      </c>
      <c r="F73" s="422">
        <f>$B73+($I73-$B73)*16/31</f>
        <v>62.85368314025915</v>
      </c>
      <c r="G73" s="422">
        <f>$B73+($I73-$B73)*21/31</f>
        <v>66.848193234741387</v>
      </c>
      <c r="H73" s="422">
        <f>$B73+($I73-$B73)*26/31</f>
        <v>70.842703329223639</v>
      </c>
      <c r="I73" s="422">
        <f>B73*J73*K73</f>
        <v>74.837213423705876</v>
      </c>
      <c r="J73" s="421">
        <v>1</v>
      </c>
      <c r="K73" s="423">
        <f>I25/C25</f>
        <v>1.4946144178814107</v>
      </c>
      <c r="M73" s="30" t="s">
        <v>269</v>
      </c>
      <c r="N73" s="228">
        <v>40</v>
      </c>
      <c r="O73" s="228"/>
      <c r="P73" s="228"/>
      <c r="Q73" s="228"/>
      <c r="R73" s="228"/>
      <c r="S73" s="228"/>
      <c r="T73" s="228"/>
      <c r="U73" s="228">
        <v>60</v>
      </c>
    </row>
    <row r="74" spans="1:21">
      <c r="A74" s="424" t="s">
        <v>23</v>
      </c>
      <c r="B74" s="425">
        <f>'Bilan d''énergie SDES historique'!J60-B137</f>
        <v>273.46606226861803</v>
      </c>
      <c r="C74" s="426">
        <f>'Bilan d''énergie SDES historique'!J28-'Résidentiel-tertiaire'!C137</f>
        <v>353.67092998861801</v>
      </c>
      <c r="D74" s="426">
        <f t="shared" ref="D74:I74" si="9">SUM(D69:D73)</f>
        <v>311.23153391116364</v>
      </c>
      <c r="E74" s="426">
        <f t="shared" si="9"/>
        <v>342.70276027995175</v>
      </c>
      <c r="F74" s="426">
        <f t="shared" si="9"/>
        <v>374.1739866487398</v>
      </c>
      <c r="G74" s="426">
        <f t="shared" si="9"/>
        <v>405.64521301752779</v>
      </c>
      <c r="H74" s="426">
        <f t="shared" si="9"/>
        <v>437.1164393863159</v>
      </c>
      <c r="I74" s="426">
        <f t="shared" si="9"/>
        <v>468.58766575510396</v>
      </c>
      <c r="J74" s="421"/>
      <c r="K74" s="421"/>
      <c r="M74" s="74" t="s">
        <v>23</v>
      </c>
      <c r="N74" s="352">
        <v>320</v>
      </c>
      <c r="O74" s="352"/>
      <c r="P74" s="352"/>
      <c r="Q74" s="352"/>
      <c r="R74" s="352"/>
      <c r="S74" s="352"/>
      <c r="T74" s="352"/>
      <c r="U74" s="352">
        <v>501</v>
      </c>
    </row>
    <row r="75" spans="1:21" ht="27" customHeight="1">
      <c r="A75" s="471" t="s">
        <v>413</v>
      </c>
      <c r="B75" s="471"/>
      <c r="C75" s="471"/>
      <c r="D75" s="471"/>
      <c r="E75" s="471"/>
      <c r="F75" s="471"/>
      <c r="G75" s="471"/>
      <c r="H75" s="471"/>
      <c r="I75" s="471"/>
      <c r="J75" s="471"/>
      <c r="K75" s="471"/>
    </row>
    <row r="76" spans="1:21">
      <c r="A76" s="303"/>
      <c r="B76" s="303"/>
      <c r="C76" s="303"/>
      <c r="D76" s="303"/>
      <c r="E76" s="303"/>
      <c r="F76" s="303"/>
      <c r="G76" s="303"/>
      <c r="H76" s="303"/>
      <c r="I76" s="303"/>
      <c r="J76" s="303"/>
      <c r="K76" s="303"/>
    </row>
    <row r="77" spans="1:21">
      <c r="A77" s="237" t="s">
        <v>485</v>
      </c>
      <c r="B77" s="237">
        <v>2019</v>
      </c>
      <c r="C77" s="237">
        <v>2020</v>
      </c>
      <c r="D77" s="237">
        <v>2025</v>
      </c>
      <c r="E77" s="237">
        <v>2030</v>
      </c>
      <c r="F77" s="237">
        <v>2035</v>
      </c>
      <c r="G77" s="237">
        <v>2040</v>
      </c>
      <c r="H77" s="237">
        <v>2045</v>
      </c>
      <c r="I77" s="237">
        <v>2050</v>
      </c>
      <c r="J77" s="237" t="s">
        <v>390</v>
      </c>
      <c r="K77" s="303"/>
    </row>
    <row r="78" spans="1:21">
      <c r="A78" s="237" t="s">
        <v>486</v>
      </c>
      <c r="B78" s="237">
        <v>0</v>
      </c>
      <c r="C78" s="237">
        <v>0</v>
      </c>
      <c r="D78" s="237">
        <v>110</v>
      </c>
      <c r="E78" s="237">
        <v>160</v>
      </c>
      <c r="F78" s="237">
        <v>175</v>
      </c>
      <c r="G78" s="237">
        <v>185</v>
      </c>
      <c r="H78" s="237">
        <v>190</v>
      </c>
      <c r="I78" s="237">
        <v>193</v>
      </c>
      <c r="J78" s="237"/>
      <c r="K78" s="303"/>
    </row>
    <row r="79" spans="1:21">
      <c r="A79" s="413" t="s">
        <v>487</v>
      </c>
      <c r="B79" s="414">
        <f>'Bilan d''énergie SDES historique'!J60-B142</f>
        <v>273.59129511735546</v>
      </c>
      <c r="C79" s="414">
        <f>'Bilan d''énergie SDES historique'!J28-C137</f>
        <v>353.67092998861801</v>
      </c>
      <c r="D79" s="414">
        <f>($B$79-D78*$F$57*(1-$I$59))*D$27/$C$27</f>
        <v>254.98744559600289</v>
      </c>
      <c r="E79" s="414">
        <f>($B$79-E78*$F$57*(1-$I$59))*E$27/$C$27</f>
        <v>252.45990743353676</v>
      </c>
      <c r="F79" s="414">
        <f t="shared" ref="F79:I79" si="10">($B$79-F78*$F$57*(1-$I$59))*F$27/$C$27</f>
        <v>266.75070493471821</v>
      </c>
      <c r="G79" s="414">
        <f t="shared" si="10"/>
        <v>282.15514444306888</v>
      </c>
      <c r="H79" s="414">
        <f t="shared" si="10"/>
        <v>300.15771751950848</v>
      </c>
      <c r="I79" s="414">
        <f t="shared" si="10"/>
        <v>317.75552956174175</v>
      </c>
      <c r="J79" s="237"/>
      <c r="K79" s="303"/>
    </row>
    <row r="80" spans="1:21" ht="44.4" customHeight="1">
      <c r="A80" s="473" t="s">
        <v>498</v>
      </c>
      <c r="B80" s="473"/>
      <c r="C80" s="473"/>
      <c r="D80" s="473"/>
      <c r="E80" s="473"/>
      <c r="F80" s="473"/>
      <c r="G80" s="473"/>
      <c r="H80" s="473"/>
      <c r="I80" s="473"/>
      <c r="J80" s="473"/>
      <c r="K80" s="303"/>
    </row>
    <row r="81" spans="1:21">
      <c r="A81" s="303"/>
      <c r="B81" s="303"/>
      <c r="C81" s="303"/>
      <c r="D81" s="303"/>
      <c r="E81" s="303"/>
      <c r="F81" s="303"/>
      <c r="G81" s="303"/>
      <c r="H81" s="303"/>
      <c r="I81" s="303"/>
      <c r="J81" s="303"/>
      <c r="K81" s="303"/>
    </row>
    <row r="82" spans="1:21">
      <c r="A82" s="447" t="s">
        <v>150</v>
      </c>
      <c r="B82" s="447"/>
      <c r="C82" s="447"/>
      <c r="D82" s="447"/>
      <c r="E82" s="447"/>
      <c r="F82" s="447"/>
      <c r="G82" s="447"/>
      <c r="H82" s="447"/>
      <c r="I82" s="447"/>
      <c r="J82" s="447"/>
      <c r="K82" s="447"/>
      <c r="M82" s="447" t="s">
        <v>151</v>
      </c>
      <c r="N82" s="447"/>
      <c r="O82" s="447"/>
      <c r="P82" s="447"/>
      <c r="Q82" s="447"/>
      <c r="R82" s="447"/>
      <c r="S82" s="447"/>
      <c r="T82" s="447"/>
      <c r="U82" s="447"/>
    </row>
    <row r="84" spans="1:21">
      <c r="A84" s="152" t="s">
        <v>264</v>
      </c>
      <c r="B84" s="1">
        <v>2019</v>
      </c>
      <c r="C84" s="30">
        <v>2020</v>
      </c>
      <c r="D84" s="30">
        <v>2025</v>
      </c>
      <c r="E84" s="30">
        <v>2030</v>
      </c>
      <c r="F84" s="30">
        <v>2035</v>
      </c>
      <c r="G84" s="30">
        <v>2040</v>
      </c>
      <c r="H84" s="30">
        <v>2045</v>
      </c>
      <c r="I84" s="30">
        <v>2050</v>
      </c>
      <c r="J84" s="1" t="s">
        <v>272</v>
      </c>
      <c r="K84" s="1" t="s">
        <v>273</v>
      </c>
      <c r="M84" s="85" t="s">
        <v>264</v>
      </c>
      <c r="N84" s="30">
        <v>2015</v>
      </c>
      <c r="O84" s="30">
        <v>2020</v>
      </c>
      <c r="P84" s="30">
        <v>2025</v>
      </c>
      <c r="Q84" s="30">
        <v>2030</v>
      </c>
      <c r="R84" s="30">
        <v>2035</v>
      </c>
      <c r="S84" s="30">
        <v>2040</v>
      </c>
      <c r="T84" s="30">
        <v>2045</v>
      </c>
      <c r="U84" s="30">
        <v>2050</v>
      </c>
    </row>
    <row r="85" spans="1:21">
      <c r="A85" s="30" t="s">
        <v>265</v>
      </c>
      <c r="B85" s="145">
        <f>B$90*$C57</f>
        <v>15.40653871935876</v>
      </c>
      <c r="C85" s="143">
        <f>$B85+($I85-$B85)*5/35</f>
        <v>14.13229431377232</v>
      </c>
      <c r="D85" s="143">
        <f>$B85+($I85-$B85)*6/31</f>
        <v>13.680143073080357</v>
      </c>
      <c r="E85" s="143">
        <f>$B85+($I85-$B85)*11/31</f>
        <v>12.241480034515019</v>
      </c>
      <c r="F85" s="143">
        <f>$B85+($I85-$B85)*16/31</f>
        <v>10.802816995949684</v>
      </c>
      <c r="G85" s="143">
        <f>$B85+($I85-$B85)*21/31</f>
        <v>9.3641539573843477</v>
      </c>
      <c r="H85" s="143">
        <f>$B85+($I85-$B85)*26/31</f>
        <v>7.925490918819011</v>
      </c>
      <c r="I85" s="142">
        <f>B85*J85*K85</f>
        <v>6.4868278802536752</v>
      </c>
      <c r="J85" s="1">
        <v>0.25</v>
      </c>
      <c r="K85" s="153">
        <f>I42/C42</f>
        <v>1.6841752708810029</v>
      </c>
      <c r="M85" s="30" t="s">
        <v>265</v>
      </c>
      <c r="N85" s="228">
        <v>13</v>
      </c>
      <c r="O85" s="228"/>
      <c r="P85" s="228"/>
      <c r="Q85" s="228"/>
      <c r="R85" s="228"/>
      <c r="S85" s="228"/>
      <c r="T85" s="228"/>
      <c r="U85" s="228">
        <v>6</v>
      </c>
    </row>
    <row r="86" spans="1:21">
      <c r="A86" s="30" t="s">
        <v>266</v>
      </c>
      <c r="B86" s="145">
        <f>B$90*$C58</f>
        <v>50.071250837915969</v>
      </c>
      <c r="C86" s="143">
        <f>$B86+($I86-$B86)*5/35</f>
        <v>51.592030569524319</v>
      </c>
      <c r="D86" s="143">
        <f>$B86+($I86-$B86)*6/31</f>
        <v>52.131662087191792</v>
      </c>
      <c r="E86" s="143">
        <f>$B86+($I86-$B86)*11/31</f>
        <v>53.848671461588317</v>
      </c>
      <c r="F86" s="143">
        <f>$B86+($I86-$B86)*16/31</f>
        <v>55.565680835984836</v>
      </c>
      <c r="G86" s="143">
        <f>$B86+($I86-$B86)*21/31</f>
        <v>57.282690210381354</v>
      </c>
      <c r="H86" s="143">
        <f>$B86+($I86-$B86)*26/31</f>
        <v>58.999699584777879</v>
      </c>
      <c r="I86" s="142">
        <f>B86*J86*K86</f>
        <v>60.716708959174397</v>
      </c>
      <c r="J86" s="1">
        <v>0.9</v>
      </c>
      <c r="K86" s="153">
        <f>0.8*I42/C42</f>
        <v>1.3473402167048023</v>
      </c>
      <c r="M86" s="30" t="s">
        <v>266</v>
      </c>
      <c r="N86" s="228">
        <v>43</v>
      </c>
      <c r="O86" s="228"/>
      <c r="P86" s="228"/>
      <c r="Q86" s="228"/>
      <c r="R86" s="228"/>
      <c r="S86" s="228"/>
      <c r="T86" s="228"/>
      <c r="U86" s="228">
        <v>51</v>
      </c>
    </row>
    <row r="87" spans="1:21">
      <c r="A87" s="30" t="s">
        <v>267</v>
      </c>
      <c r="B87" s="145">
        <f>B$90*$C59</f>
        <v>107.84577103551133</v>
      </c>
      <c r="C87" s="143">
        <f>$B87+($I87-$B87)*5/35</f>
        <v>104.89394184623963</v>
      </c>
      <c r="D87" s="143">
        <f>$B87+($I87-$B87)*6/31</f>
        <v>103.84651858553032</v>
      </c>
      <c r="E87" s="143">
        <f>$B87+($I87-$B87)*11/31</f>
        <v>100.51380821054613</v>
      </c>
      <c r="F87" s="143">
        <f>$B87+($I87-$B87)*16/31</f>
        <v>97.181097835561957</v>
      </c>
      <c r="G87" s="143">
        <f>$B87+($I87-$B87)*21/31</f>
        <v>93.848387460577769</v>
      </c>
      <c r="H87" s="143">
        <f>$B87+($I87-$B87)*26/31</f>
        <v>90.51567708559358</v>
      </c>
      <c r="I87" s="142">
        <f>B87*J87*K87</f>
        <v>87.182966710609406</v>
      </c>
      <c r="J87" s="1">
        <v>0.4</v>
      </c>
      <c r="K87" s="153">
        <f>1.2*I42/C42</f>
        <v>2.0210103250572033</v>
      </c>
      <c r="M87" s="30" t="s">
        <v>267</v>
      </c>
      <c r="N87" s="228">
        <v>88</v>
      </c>
      <c r="O87" s="228"/>
      <c r="P87" s="228"/>
      <c r="Q87" s="228"/>
      <c r="R87" s="228"/>
      <c r="S87" s="228"/>
      <c r="T87" s="228"/>
      <c r="U87" s="228">
        <v>98</v>
      </c>
    </row>
    <row r="88" spans="1:21">
      <c r="A88" s="30" t="s">
        <v>274</v>
      </c>
      <c r="B88" s="145">
        <f>B$90*$C60</f>
        <v>50.071250837915969</v>
      </c>
      <c r="C88" s="143">
        <f>$B88+($I88-$B88)*5/35</f>
        <v>49.544046338758513</v>
      </c>
      <c r="D88" s="143">
        <f>$B88+($I88-$B88)*6/31</f>
        <v>49.356973774541352</v>
      </c>
      <c r="E88" s="143">
        <f>$B88+($I88-$B88)*11/31</f>
        <v>48.761742888395837</v>
      </c>
      <c r="F88" s="143">
        <f>$B88+($I88-$B88)*16/31</f>
        <v>48.166512002250322</v>
      </c>
      <c r="G88" s="143">
        <f>$B88+($I88-$B88)*21/31</f>
        <v>47.571281116104814</v>
      </c>
      <c r="H88" s="143">
        <f>$B88+($I88-$B88)*26/31</f>
        <v>46.976050229959299</v>
      </c>
      <c r="I88" s="142">
        <f>B88*J88*K88</f>
        <v>46.380819343813783</v>
      </c>
      <c r="J88" s="1">
        <v>0.5</v>
      </c>
      <c r="K88" s="153">
        <f>1.1*I42/C42</f>
        <v>1.8525927979691035</v>
      </c>
      <c r="M88" s="30" t="s">
        <v>274</v>
      </c>
      <c r="N88" s="228">
        <v>40</v>
      </c>
      <c r="O88" s="228"/>
      <c r="P88" s="228"/>
      <c r="Q88" s="228"/>
      <c r="R88" s="228"/>
      <c r="S88" s="228"/>
      <c r="T88" s="228"/>
      <c r="U88" s="228">
        <v>51</v>
      </c>
    </row>
    <row r="89" spans="1:21">
      <c r="A89" s="30" t="s">
        <v>269</v>
      </c>
      <c r="B89" s="145">
        <f>B$90*$C61</f>
        <v>50.071250837915969</v>
      </c>
      <c r="C89" s="143">
        <f>$B89+($I89-$B89)*5/35</f>
        <v>51.471039395208642</v>
      </c>
      <c r="D89" s="143">
        <f>$B89+($I89-$B89)*6/31</f>
        <v>51.967738560699594</v>
      </c>
      <c r="E89" s="143">
        <f>$B89+($I89-$B89)*11/31</f>
        <v>53.548144996352619</v>
      </c>
      <c r="F89" s="143">
        <f>$B89+($I89-$B89)*16/31</f>
        <v>55.128551432005636</v>
      </c>
      <c r="G89" s="143">
        <f>$B89+($I89-$B89)*21/31</f>
        <v>56.708957867658661</v>
      </c>
      <c r="H89" s="143">
        <f>$B89+($I89-$B89)*26/31</f>
        <v>58.289364303311686</v>
      </c>
      <c r="I89" s="142">
        <f>B89*J89*K89</f>
        <v>59.869770738964704</v>
      </c>
      <c r="J89" s="1">
        <v>0.8</v>
      </c>
      <c r="K89" s="153">
        <f>I40/C40</f>
        <v>1.4946144178814107</v>
      </c>
      <c r="M89" s="30" t="s">
        <v>269</v>
      </c>
      <c r="N89" s="228">
        <v>40</v>
      </c>
      <c r="O89" s="228"/>
      <c r="P89" s="228"/>
      <c r="Q89" s="228"/>
      <c r="R89" s="228"/>
      <c r="S89" s="228"/>
      <c r="T89" s="228"/>
      <c r="U89" s="228">
        <v>64</v>
      </c>
    </row>
    <row r="90" spans="1:21">
      <c r="A90" s="74" t="s">
        <v>23</v>
      </c>
      <c r="B90" s="154">
        <f>B74</f>
        <v>273.46606226861803</v>
      </c>
      <c r="C90" s="155">
        <f>C74</f>
        <v>353.67092998861801</v>
      </c>
      <c r="D90" s="155">
        <f t="shared" ref="D90:I90" si="11">SUM(D85:D89)</f>
        <v>270.98303608104345</v>
      </c>
      <c r="E90" s="155">
        <f t="shared" si="11"/>
        <v>268.91384759139794</v>
      </c>
      <c r="F90" s="155">
        <f t="shared" si="11"/>
        <v>266.84465910175243</v>
      </c>
      <c r="G90" s="155">
        <f t="shared" si="11"/>
        <v>264.77547061210697</v>
      </c>
      <c r="H90" s="155">
        <f t="shared" si="11"/>
        <v>262.70628212246146</v>
      </c>
      <c r="I90" s="155">
        <f t="shared" si="11"/>
        <v>260.63709363281595</v>
      </c>
      <c r="J90" s="1"/>
      <c r="K90" s="1"/>
      <c r="M90" s="74" t="s">
        <v>23</v>
      </c>
      <c r="N90" s="352">
        <v>320</v>
      </c>
      <c r="O90" s="352"/>
      <c r="P90" s="352"/>
      <c r="Q90" s="352"/>
      <c r="R90" s="352"/>
      <c r="S90" s="352"/>
      <c r="T90" s="352"/>
      <c r="U90" s="352">
        <v>392</v>
      </c>
    </row>
    <row r="91" spans="1:21" ht="27.6" customHeight="1">
      <c r="A91" s="473" t="s">
        <v>414</v>
      </c>
      <c r="B91" s="473"/>
      <c r="C91" s="473"/>
      <c r="D91" s="473"/>
      <c r="E91" s="473"/>
      <c r="F91" s="473"/>
      <c r="G91" s="473"/>
      <c r="H91" s="473"/>
      <c r="I91" s="473"/>
      <c r="J91" s="473"/>
      <c r="K91" s="473"/>
    </row>
    <row r="93" spans="1:21">
      <c r="A93" s="472" t="s">
        <v>275</v>
      </c>
      <c r="B93" s="472"/>
      <c r="C93" s="472"/>
      <c r="D93" s="472"/>
      <c r="E93" s="472"/>
      <c r="F93" s="472"/>
      <c r="G93" s="472"/>
      <c r="H93" s="472"/>
      <c r="I93" s="472"/>
      <c r="J93" s="472"/>
      <c r="K93" s="472"/>
    </row>
    <row r="95" spans="1:21">
      <c r="A95" s="447" t="s">
        <v>55</v>
      </c>
      <c r="B95" s="447"/>
      <c r="C95" s="447"/>
      <c r="D95" s="447"/>
      <c r="E95" s="447"/>
      <c r="F95" s="447"/>
      <c r="G95" s="447"/>
      <c r="H95" s="447"/>
      <c r="I95" s="447"/>
      <c r="J95" s="447"/>
      <c r="K95" s="447"/>
    </row>
    <row r="96" spans="1:21">
      <c r="B96" t="s">
        <v>276</v>
      </c>
    </row>
    <row r="97" spans="1:21">
      <c r="A97" s="146" t="s">
        <v>44</v>
      </c>
      <c r="B97" s="1" t="s">
        <v>277</v>
      </c>
      <c r="C97" s="1" t="s">
        <v>263</v>
      </c>
    </row>
    <row r="98" spans="1:21">
      <c r="A98" s="1" t="s">
        <v>265</v>
      </c>
      <c r="B98" s="147">
        <v>0.13</v>
      </c>
      <c r="C98" s="116">
        <f>B98/B$102</f>
        <v>0.25490196078431371</v>
      </c>
    </row>
    <row r="99" spans="1:21">
      <c r="A99" s="1" t="s">
        <v>278</v>
      </c>
      <c r="B99" s="147">
        <v>7.0000000000000007E-2</v>
      </c>
      <c r="C99" s="116">
        <f>B99/B$102</f>
        <v>0.13725490196078433</v>
      </c>
    </row>
    <row r="100" spans="1:21">
      <c r="A100" s="1" t="s">
        <v>266</v>
      </c>
      <c r="B100" s="156">
        <v>0.04</v>
      </c>
      <c r="C100" s="116">
        <f>B100/B$102</f>
        <v>7.8431372549019607E-2</v>
      </c>
    </row>
    <row r="101" spans="1:21">
      <c r="A101" s="1" t="s">
        <v>279</v>
      </c>
      <c r="B101" s="156">
        <v>0.27</v>
      </c>
      <c r="C101" s="116">
        <f>B101/B$102</f>
        <v>0.52941176470588236</v>
      </c>
    </row>
    <row r="102" spans="1:21">
      <c r="A102" s="148" t="s">
        <v>280</v>
      </c>
      <c r="B102" s="149">
        <f>SUM(B98:B101)</f>
        <v>0.51</v>
      </c>
      <c r="C102" s="149">
        <f>SUM(C98:C101)</f>
        <v>1</v>
      </c>
    </row>
    <row r="104" spans="1:21">
      <c r="A104" s="447" t="s">
        <v>147</v>
      </c>
      <c r="B104" s="447"/>
      <c r="C104" s="447"/>
      <c r="D104" s="447"/>
      <c r="E104" s="447"/>
      <c r="F104" s="447"/>
      <c r="G104" s="447"/>
      <c r="H104" s="447"/>
      <c r="I104" s="447"/>
      <c r="J104" s="447"/>
      <c r="K104" s="447"/>
      <c r="M104" s="447" t="s">
        <v>148</v>
      </c>
      <c r="N104" s="447"/>
      <c r="O104" s="447"/>
      <c r="P104" s="447"/>
      <c r="Q104" s="447"/>
      <c r="R104" s="447"/>
      <c r="S104" s="447"/>
      <c r="T104" s="447"/>
      <c r="U104" s="447"/>
    </row>
    <row r="106" spans="1:21">
      <c r="A106" s="420" t="s">
        <v>44</v>
      </c>
      <c r="B106" s="421">
        <v>2019</v>
      </c>
      <c r="C106" s="421">
        <v>2020</v>
      </c>
      <c r="D106" s="421">
        <v>2025</v>
      </c>
      <c r="E106" s="421">
        <v>2030</v>
      </c>
      <c r="F106" s="421">
        <v>2035</v>
      </c>
      <c r="G106" s="421">
        <v>2040</v>
      </c>
      <c r="H106" s="421">
        <v>2045</v>
      </c>
      <c r="I106" s="421">
        <v>2050</v>
      </c>
      <c r="J106" s="421" t="s">
        <v>272</v>
      </c>
      <c r="K106" s="421" t="s">
        <v>273</v>
      </c>
      <c r="M106" s="85" t="s">
        <v>44</v>
      </c>
      <c r="N106" s="30">
        <v>2015</v>
      </c>
      <c r="O106" s="30">
        <v>2020</v>
      </c>
      <c r="P106" s="30">
        <v>2025</v>
      </c>
      <c r="Q106" s="30">
        <v>2030</v>
      </c>
      <c r="R106" s="30">
        <v>2035</v>
      </c>
      <c r="S106" s="30">
        <v>2040</v>
      </c>
      <c r="T106" s="30">
        <v>2045</v>
      </c>
      <c r="U106" s="30">
        <v>2050</v>
      </c>
    </row>
    <row r="107" spans="1:21">
      <c r="A107" s="421" t="s">
        <v>265</v>
      </c>
      <c r="B107" s="422">
        <f t="shared" ref="B107:C110" si="12">B$111*$C98</f>
        <v>100.6611655605831</v>
      </c>
      <c r="C107" s="422">
        <f t="shared" si="12"/>
        <v>81.049543726671757</v>
      </c>
      <c r="D107" s="422">
        <f>$B107+($I107-$B107)*6/31</f>
        <v>90.106022881246375</v>
      </c>
      <c r="E107" s="422">
        <f>$B107+($I107-$B107)*11/31</f>
        <v>81.310070648465754</v>
      </c>
      <c r="F107" s="422">
        <f>$B107+($I107-$B107)*16/31</f>
        <v>72.514118415685147</v>
      </c>
      <c r="G107" s="422">
        <f>$B107+($I107-$B107)*21/31</f>
        <v>63.71816618290454</v>
      </c>
      <c r="H107" s="422">
        <f>$B107+($I107-$B107)*26/31</f>
        <v>54.922213950123925</v>
      </c>
      <c r="I107" s="423">
        <f>B107*J107*K107</f>
        <v>46.126261717343318</v>
      </c>
      <c r="J107" s="421">
        <f>J85</f>
        <v>0.25</v>
      </c>
      <c r="K107" s="423">
        <f>$I$34/$C$34</f>
        <v>1.8329317551794946</v>
      </c>
      <c r="M107" s="30" t="s">
        <v>265</v>
      </c>
      <c r="N107" s="228">
        <v>44</v>
      </c>
      <c r="O107" s="228"/>
      <c r="P107" s="228"/>
      <c r="Q107" s="228"/>
      <c r="R107" s="228"/>
      <c r="S107" s="228"/>
      <c r="T107" s="228"/>
      <c r="U107" s="228">
        <v>50</v>
      </c>
    </row>
    <row r="108" spans="1:21">
      <c r="A108" s="421" t="s">
        <v>278</v>
      </c>
      <c r="B108" s="422">
        <f t="shared" si="12"/>
        <v>54.202166071083212</v>
      </c>
      <c r="C108" s="422">
        <f t="shared" si="12"/>
        <v>43.642062006669413</v>
      </c>
      <c r="D108" s="422">
        <f>$B108+($I108-$B108)*6/31</f>
        <v>51.402949777934282</v>
      </c>
      <c r="E108" s="422">
        <f>$B108+($I108-$B108)*11/31</f>
        <v>49.070269533643511</v>
      </c>
      <c r="F108" s="422">
        <f>$B108+($I108-$B108)*16/31</f>
        <v>46.737589289352734</v>
      </c>
      <c r="G108" s="422">
        <f>$B108+($I108-$B108)*21/31</f>
        <v>44.404909045061956</v>
      </c>
      <c r="H108" s="422">
        <f>$B108+($I108-$B108)*26/31</f>
        <v>42.072228800771185</v>
      </c>
      <c r="I108" s="423">
        <f>B108*J108*K108</f>
        <v>39.739548556480408</v>
      </c>
      <c r="J108" s="421">
        <v>0.4</v>
      </c>
      <c r="K108" s="423">
        <f t="shared" ref="K108:K110" si="13">$I$34/$C$34</f>
        <v>1.8329317551794946</v>
      </c>
      <c r="M108" s="30" t="s">
        <v>278</v>
      </c>
      <c r="N108" s="228">
        <v>23</v>
      </c>
      <c r="O108" s="228"/>
      <c r="P108" s="228"/>
      <c r="Q108" s="228"/>
      <c r="R108" s="228"/>
      <c r="S108" s="228"/>
      <c r="T108" s="228"/>
      <c r="U108" s="228">
        <v>43</v>
      </c>
    </row>
    <row r="109" spans="1:21">
      <c r="A109" s="421" t="s">
        <v>266</v>
      </c>
      <c r="B109" s="422">
        <f t="shared" si="12"/>
        <v>30.972666326333261</v>
      </c>
      <c r="C109" s="422">
        <f t="shared" si="12"/>
        <v>24.938321146668233</v>
      </c>
      <c r="D109" s="422">
        <f>$B109+($I109-$B109)*6/31</f>
        <v>34.867060963862961</v>
      </c>
      <c r="E109" s="422">
        <f>$B109+($I109-$B109)*11/31</f>
        <v>38.112389828471045</v>
      </c>
      <c r="F109" s="422">
        <f>$B109+($I109-$B109)*16/31</f>
        <v>41.357718693079121</v>
      </c>
      <c r="G109" s="422">
        <f>$B109+($I109-$B109)*21/31</f>
        <v>44.603047557687205</v>
      </c>
      <c r="H109" s="422">
        <f>$B109+($I109-$B109)*26/31</f>
        <v>47.848376422295289</v>
      </c>
      <c r="I109" s="423">
        <f>B109*J109*K109</f>
        <v>51.093705286903372</v>
      </c>
      <c r="J109" s="421">
        <f>J86</f>
        <v>0.9</v>
      </c>
      <c r="K109" s="423">
        <f t="shared" si="13"/>
        <v>1.8329317551794946</v>
      </c>
      <c r="M109" s="30" t="s">
        <v>266</v>
      </c>
      <c r="N109" s="228">
        <v>13</v>
      </c>
      <c r="O109" s="228"/>
      <c r="P109" s="228"/>
      <c r="Q109" s="228"/>
      <c r="R109" s="228"/>
      <c r="S109" s="228"/>
      <c r="T109" s="228"/>
      <c r="U109" s="228">
        <v>56</v>
      </c>
    </row>
    <row r="110" spans="1:21">
      <c r="A110" s="421" t="s">
        <v>279</v>
      </c>
      <c r="B110" s="422">
        <f t="shared" si="12"/>
        <v>209.06549770274952</v>
      </c>
      <c r="C110" s="422">
        <f t="shared" si="12"/>
        <v>168.33366774001058</v>
      </c>
      <c r="D110" s="422">
        <f>$B110+($I110-$B110)*6/31</f>
        <v>205.68534875884077</v>
      </c>
      <c r="E110" s="422">
        <f>$B110+($I110-$B110)*11/31</f>
        <v>202.86855797225016</v>
      </c>
      <c r="F110" s="422">
        <f>$B110+($I110-$B110)*16/31</f>
        <v>200.05176718565951</v>
      </c>
      <c r="G110" s="422">
        <f>$B110+($I110-$B110)*21/31</f>
        <v>197.2349763990689</v>
      </c>
      <c r="H110" s="422">
        <f>$B110+($I110-$B110)*26/31</f>
        <v>194.41818561247825</v>
      </c>
      <c r="I110" s="423">
        <f>B110*J110*K110</f>
        <v>191.60139482588764</v>
      </c>
      <c r="J110" s="421">
        <v>0.5</v>
      </c>
      <c r="K110" s="423">
        <f t="shared" si="13"/>
        <v>1.8329317551794946</v>
      </c>
      <c r="M110" s="30" t="s">
        <v>279</v>
      </c>
      <c r="N110" s="228">
        <v>90</v>
      </c>
      <c r="O110" s="228"/>
      <c r="P110" s="228"/>
      <c r="Q110" s="228"/>
      <c r="R110" s="228"/>
      <c r="S110" s="228"/>
      <c r="T110" s="228"/>
      <c r="U110" s="228">
        <v>208</v>
      </c>
    </row>
    <row r="111" spans="1:21">
      <c r="A111" s="424" t="s">
        <v>280</v>
      </c>
      <c r="B111" s="425">
        <f>'Bilan d''énergie SDES historique'!J61-'Résidentiel-tertiaire'!B149</f>
        <v>394.90149566074911</v>
      </c>
      <c r="C111" s="427">
        <f>'Bilan d''énergie SDES historique'!J29-'Résidentiel-tertiaire'!C149</f>
        <v>317.96359462001999</v>
      </c>
      <c r="D111" s="427">
        <f t="shared" ref="D111:I111" si="14">SUM(D107:D110)</f>
        <v>382.06138238188441</v>
      </c>
      <c r="E111" s="427">
        <f t="shared" si="14"/>
        <v>371.36128798283045</v>
      </c>
      <c r="F111" s="427">
        <f t="shared" si="14"/>
        <v>360.66119358377654</v>
      </c>
      <c r="G111" s="427">
        <f t="shared" si="14"/>
        <v>349.96109918472257</v>
      </c>
      <c r="H111" s="427">
        <f t="shared" si="14"/>
        <v>339.26100478566866</v>
      </c>
      <c r="I111" s="427">
        <f t="shared" si="14"/>
        <v>328.56091038661475</v>
      </c>
      <c r="J111" s="421"/>
      <c r="K111" s="421"/>
      <c r="M111" s="74" t="s">
        <v>280</v>
      </c>
      <c r="N111" s="352">
        <v>335</v>
      </c>
      <c r="O111" s="352"/>
      <c r="P111" s="352"/>
      <c r="Q111" s="352"/>
      <c r="R111" s="352"/>
      <c r="S111" s="352"/>
      <c r="T111" s="352"/>
      <c r="U111" s="352">
        <v>811</v>
      </c>
    </row>
    <row r="112" spans="1:21">
      <c r="A112" s="471" t="s">
        <v>415</v>
      </c>
      <c r="B112" s="471"/>
      <c r="C112" s="471"/>
      <c r="D112" s="471"/>
      <c r="E112" s="471"/>
      <c r="F112" s="471"/>
      <c r="G112" s="471"/>
      <c r="H112" s="471"/>
      <c r="I112" s="471"/>
      <c r="J112" s="471"/>
      <c r="K112" s="471"/>
      <c r="N112" t="s">
        <v>281</v>
      </c>
    </row>
    <row r="114" spans="1:21">
      <c r="A114" s="237" t="s">
        <v>485</v>
      </c>
      <c r="B114" s="237">
        <v>2019</v>
      </c>
      <c r="C114" s="237">
        <v>2020</v>
      </c>
      <c r="D114" s="237">
        <v>2025</v>
      </c>
      <c r="E114" s="237">
        <v>2030</v>
      </c>
      <c r="F114" s="237">
        <v>2035</v>
      </c>
      <c r="G114" s="237">
        <v>2040</v>
      </c>
      <c r="H114" s="237">
        <v>2045</v>
      </c>
      <c r="I114" s="237">
        <v>2050</v>
      </c>
      <c r="J114" s="237" t="s">
        <v>390</v>
      </c>
    </row>
    <row r="115" spans="1:21">
      <c r="A115" s="237" t="s">
        <v>486</v>
      </c>
      <c r="B115" s="237">
        <v>0</v>
      </c>
      <c r="C115" s="237">
        <v>0</v>
      </c>
      <c r="D115" s="237">
        <v>110</v>
      </c>
      <c r="E115" s="237">
        <v>160</v>
      </c>
      <c r="F115" s="237">
        <v>175</v>
      </c>
      <c r="G115" s="237">
        <v>185</v>
      </c>
      <c r="H115" s="237">
        <v>190</v>
      </c>
      <c r="I115" s="237">
        <v>193</v>
      </c>
      <c r="J115" s="237"/>
    </row>
    <row r="116" spans="1:21">
      <c r="A116" s="413" t="s">
        <v>487</v>
      </c>
      <c r="B116" s="414">
        <f>'Bilan d''énergie SDES historique'!J61-'Résidentiel-tertiaire'!B149</f>
        <v>394.90149566074911</v>
      </c>
      <c r="C116" s="414">
        <f>'Bilan d''énergie SDES historique'!J29-'Résidentiel-tertiaire'!C149</f>
        <v>317.96359462001999</v>
      </c>
      <c r="D116" s="414">
        <f>($B$116-D115*$F$58*(1-$I$59))*D$34/$C$34</f>
        <v>395.35491591091511</v>
      </c>
      <c r="E116" s="414">
        <f t="shared" ref="E116:I116" si="15">($B$116-E115*$F$58*(1-$I$59))*E$34/$C$34</f>
        <v>412.88658132538961</v>
      </c>
      <c r="F116" s="414">
        <f t="shared" si="15"/>
        <v>448.76317620578078</v>
      </c>
      <c r="G116" s="414">
        <f t="shared" si="15"/>
        <v>486.26439831109934</v>
      </c>
      <c r="H116" s="414">
        <f t="shared" si="15"/>
        <v>527.47648097651268</v>
      </c>
      <c r="I116" s="414">
        <f t="shared" si="15"/>
        <v>568.17492691462178</v>
      </c>
      <c r="J116" s="237"/>
    </row>
    <row r="117" spans="1:21" ht="28.2" customHeight="1">
      <c r="A117" s="473" t="s">
        <v>499</v>
      </c>
      <c r="B117" s="473"/>
      <c r="C117" s="473"/>
      <c r="D117" s="473"/>
      <c r="E117" s="473"/>
      <c r="F117" s="473"/>
      <c r="G117" s="473"/>
      <c r="H117" s="473"/>
      <c r="I117" s="473"/>
      <c r="J117" s="473"/>
    </row>
    <row r="119" spans="1:21">
      <c r="A119" s="447" t="s">
        <v>150</v>
      </c>
      <c r="B119" s="447"/>
      <c r="C119" s="447"/>
      <c r="D119" s="447"/>
      <c r="E119" s="447"/>
      <c r="F119" s="447"/>
      <c r="G119" s="447"/>
      <c r="H119" s="447"/>
      <c r="I119" s="447"/>
      <c r="J119" s="447"/>
      <c r="K119" s="447"/>
      <c r="M119" s="447" t="s">
        <v>151</v>
      </c>
      <c r="N119" s="447"/>
      <c r="O119" s="447"/>
      <c r="P119" s="447"/>
      <c r="Q119" s="447"/>
      <c r="R119" s="447"/>
      <c r="S119" s="447"/>
      <c r="T119" s="447"/>
      <c r="U119" s="447"/>
    </row>
    <row r="121" spans="1:21">
      <c r="A121" s="152" t="s">
        <v>44</v>
      </c>
      <c r="B121" s="1">
        <v>2019</v>
      </c>
      <c r="C121" s="30">
        <v>2020</v>
      </c>
      <c r="D121" s="30">
        <v>2025</v>
      </c>
      <c r="E121" s="30">
        <v>2030</v>
      </c>
      <c r="F121" s="30">
        <v>2035</v>
      </c>
      <c r="G121" s="30">
        <v>2040</v>
      </c>
      <c r="H121" s="30">
        <v>2045</v>
      </c>
      <c r="I121" s="30">
        <v>2050</v>
      </c>
      <c r="J121" s="1" t="s">
        <v>272</v>
      </c>
      <c r="K121" s="1" t="s">
        <v>273</v>
      </c>
      <c r="M121" s="85" t="s">
        <v>44</v>
      </c>
      <c r="N121" s="30">
        <v>2015</v>
      </c>
      <c r="O121" s="30">
        <v>2020</v>
      </c>
      <c r="P121" s="30">
        <v>2025</v>
      </c>
      <c r="Q121" s="30">
        <v>2030</v>
      </c>
      <c r="R121" s="30">
        <v>2035</v>
      </c>
      <c r="S121" s="30">
        <v>2040</v>
      </c>
      <c r="T121" s="30">
        <v>2045</v>
      </c>
      <c r="U121" s="30">
        <v>2050</v>
      </c>
    </row>
    <row r="122" spans="1:21">
      <c r="A122" s="30" t="s">
        <v>265</v>
      </c>
      <c r="B122" s="145">
        <f t="shared" ref="B122:C125" si="16">B$126*$C98</f>
        <v>100.6611655605831</v>
      </c>
      <c r="C122" s="145">
        <f t="shared" si="16"/>
        <v>81.049543726671757</v>
      </c>
      <c r="D122" s="143">
        <f>$B122+($I122-$B122)*6/31</f>
        <v>90.106022881246375</v>
      </c>
      <c r="E122" s="143">
        <f>$B122+($I122-$B122)*11/31</f>
        <v>81.310070648465754</v>
      </c>
      <c r="F122" s="143">
        <f>$B122+($I122-$B122)*16/31</f>
        <v>72.514118415685147</v>
      </c>
      <c r="G122" s="143">
        <f>$B122+($I122-$B122)*21/31</f>
        <v>63.71816618290454</v>
      </c>
      <c r="H122" s="143">
        <f>$B122+($I122-$B122)*26/31</f>
        <v>54.922213950123925</v>
      </c>
      <c r="I122" s="142">
        <f>B122*J122*K122</f>
        <v>46.126261717343318</v>
      </c>
      <c r="J122" s="1">
        <f>J85</f>
        <v>0.25</v>
      </c>
      <c r="K122" s="153">
        <f>$I$34/$C$34</f>
        <v>1.8329317551794946</v>
      </c>
      <c r="M122" s="30" t="s">
        <v>265</v>
      </c>
      <c r="N122" s="228">
        <v>44</v>
      </c>
      <c r="O122" s="228"/>
      <c r="P122" s="228"/>
      <c r="Q122" s="228"/>
      <c r="R122" s="228"/>
      <c r="S122" s="228"/>
      <c r="T122" s="228"/>
      <c r="U122" s="228">
        <v>50</v>
      </c>
    </row>
    <row r="123" spans="1:21">
      <c r="A123" s="30" t="s">
        <v>278</v>
      </c>
      <c r="B123" s="145">
        <f t="shared" si="16"/>
        <v>54.202166071083212</v>
      </c>
      <c r="C123" s="145">
        <f t="shared" si="16"/>
        <v>43.642062006669413</v>
      </c>
      <c r="D123" s="143">
        <f>$B123+($I123-$B123)*6/31</f>
        <v>51.402949777934282</v>
      </c>
      <c r="E123" s="143">
        <f>$B123+($I123-$B123)*11/31</f>
        <v>49.070269533643511</v>
      </c>
      <c r="F123" s="143">
        <f>$B123+($I123-$B123)*16/31</f>
        <v>46.737589289352734</v>
      </c>
      <c r="G123" s="143">
        <f>$B123+($I123-$B123)*21/31</f>
        <v>44.404909045061956</v>
      </c>
      <c r="H123" s="143">
        <f>$B123+($I123-$B123)*26/31</f>
        <v>42.072228800771185</v>
      </c>
      <c r="I123" s="142">
        <f>B123*J123*K123</f>
        <v>39.739548556480408</v>
      </c>
      <c r="J123" s="1">
        <v>0.4</v>
      </c>
      <c r="K123" s="153">
        <f t="shared" ref="K123:K124" si="17">$I$34/$C$34</f>
        <v>1.8329317551794946</v>
      </c>
      <c r="M123" s="30" t="s">
        <v>278</v>
      </c>
      <c r="N123" s="228">
        <v>23</v>
      </c>
      <c r="O123" s="228"/>
      <c r="P123" s="228"/>
      <c r="Q123" s="228"/>
      <c r="R123" s="228"/>
      <c r="S123" s="228"/>
      <c r="T123" s="228"/>
      <c r="U123" s="228">
        <v>43</v>
      </c>
    </row>
    <row r="124" spans="1:21">
      <c r="A124" s="30" t="s">
        <v>266</v>
      </c>
      <c r="B124" s="145">
        <f t="shared" si="16"/>
        <v>30.972666326333261</v>
      </c>
      <c r="C124" s="145">
        <f t="shared" si="16"/>
        <v>24.938321146668233</v>
      </c>
      <c r="D124" s="143">
        <f>$B124+($I124-$B124)*6/31</f>
        <v>34.867060963862961</v>
      </c>
      <c r="E124" s="143">
        <f>$B124+($I124-$B124)*11/31</f>
        <v>38.112389828471045</v>
      </c>
      <c r="F124" s="143">
        <f>$B124+($I124-$B124)*16/31</f>
        <v>41.357718693079121</v>
      </c>
      <c r="G124" s="143">
        <f>$B124+($I124-$B124)*21/31</f>
        <v>44.603047557687205</v>
      </c>
      <c r="H124" s="143">
        <f>$B124+($I124-$B124)*26/31</f>
        <v>47.848376422295289</v>
      </c>
      <c r="I124" s="142">
        <f>B124*J124*K124</f>
        <v>51.093705286903372</v>
      </c>
      <c r="J124" s="1">
        <v>0.9</v>
      </c>
      <c r="K124" s="153">
        <f t="shared" si="17"/>
        <v>1.8329317551794946</v>
      </c>
      <c r="M124" s="30" t="s">
        <v>266</v>
      </c>
      <c r="N124" s="228">
        <v>13</v>
      </c>
      <c r="O124" s="228"/>
      <c r="P124" s="228"/>
      <c r="Q124" s="228"/>
      <c r="R124" s="228"/>
      <c r="S124" s="228"/>
      <c r="T124" s="228"/>
      <c r="U124" s="228">
        <v>56</v>
      </c>
    </row>
    <row r="125" spans="1:21">
      <c r="A125" s="30" t="s">
        <v>279</v>
      </c>
      <c r="B125" s="145">
        <f t="shared" si="16"/>
        <v>209.06549770274952</v>
      </c>
      <c r="C125" s="145">
        <f t="shared" si="16"/>
        <v>168.33366774001058</v>
      </c>
      <c r="D125" s="143">
        <f>$B125+($I125-$B125)*6/31</f>
        <v>205.68534875884077</v>
      </c>
      <c r="E125" s="143">
        <f>$B125+($I125-$B125)*11/31</f>
        <v>202.86855797225016</v>
      </c>
      <c r="F125" s="143">
        <f>$B125+($I125-$B125)*16/31</f>
        <v>200.05176718565951</v>
      </c>
      <c r="G125" s="143">
        <f>$B125+($I125-$B125)*21/31</f>
        <v>197.2349763990689</v>
      </c>
      <c r="H125" s="143">
        <f>$B125+($I125-$B125)*26/31</f>
        <v>194.41818561247825</v>
      </c>
      <c r="I125" s="142">
        <f>B125*J125*K125</f>
        <v>191.60139482588764</v>
      </c>
      <c r="J125" s="1">
        <v>0.5</v>
      </c>
      <c r="K125" s="153">
        <f>$I$34/$C$34</f>
        <v>1.8329317551794946</v>
      </c>
      <c r="M125" s="30" t="s">
        <v>279</v>
      </c>
      <c r="N125" s="228">
        <v>90</v>
      </c>
      <c r="O125" s="228"/>
      <c r="P125" s="228"/>
      <c r="Q125" s="228"/>
      <c r="R125" s="228"/>
      <c r="S125" s="228"/>
      <c r="T125" s="228"/>
      <c r="U125" s="228">
        <v>208</v>
      </c>
    </row>
    <row r="126" spans="1:21">
      <c r="A126" s="74" t="s">
        <v>280</v>
      </c>
      <c r="B126" s="158">
        <f>B111</f>
        <v>394.90149566074911</v>
      </c>
      <c r="C126" s="157">
        <f>C111</f>
        <v>317.96359462001999</v>
      </c>
      <c r="D126" s="157">
        <f t="shared" ref="D126:I126" si="18">SUM(D122:D125)</f>
        <v>382.06138238188441</v>
      </c>
      <c r="E126" s="157">
        <f t="shared" si="18"/>
        <v>371.36128798283045</v>
      </c>
      <c r="F126" s="157">
        <f t="shared" si="18"/>
        <v>360.66119358377654</v>
      </c>
      <c r="G126" s="157">
        <f t="shared" si="18"/>
        <v>349.96109918472257</v>
      </c>
      <c r="H126" s="157">
        <f t="shared" si="18"/>
        <v>339.26100478566866</v>
      </c>
      <c r="I126" s="157">
        <f t="shared" si="18"/>
        <v>328.56091038661475</v>
      </c>
      <c r="J126" s="1"/>
      <c r="K126" s="1"/>
      <c r="M126" s="74" t="s">
        <v>280</v>
      </c>
      <c r="N126" s="352">
        <v>335</v>
      </c>
      <c r="O126" s="352"/>
      <c r="P126" s="352"/>
      <c r="Q126" s="352"/>
      <c r="R126" s="352"/>
      <c r="S126" s="352"/>
      <c r="T126" s="352"/>
      <c r="U126" s="352">
        <v>680</v>
      </c>
    </row>
    <row r="127" spans="1:21">
      <c r="A127" s="473" t="s">
        <v>416</v>
      </c>
      <c r="B127" s="473"/>
      <c r="C127" s="473"/>
      <c r="D127" s="473"/>
      <c r="E127" s="473"/>
      <c r="F127" s="473"/>
      <c r="G127" s="473"/>
      <c r="H127" s="473"/>
      <c r="I127" s="473"/>
      <c r="J127" s="473"/>
      <c r="K127" s="473"/>
    </row>
    <row r="130" spans="1:21">
      <c r="A130" s="472" t="s">
        <v>282</v>
      </c>
      <c r="B130" s="472"/>
      <c r="C130" s="472"/>
      <c r="D130" s="472"/>
      <c r="E130" s="472"/>
      <c r="F130" s="472"/>
      <c r="G130" s="472"/>
      <c r="H130" s="472"/>
      <c r="I130" s="472"/>
      <c r="J130" s="472"/>
      <c r="K130" s="472"/>
    </row>
    <row r="132" spans="1:21">
      <c r="A132" s="474" t="s">
        <v>283</v>
      </c>
      <c r="B132" s="474"/>
      <c r="C132" s="474"/>
      <c r="D132" s="474"/>
      <c r="E132" s="474"/>
      <c r="F132" s="474"/>
      <c r="G132" s="474"/>
      <c r="H132" s="474"/>
      <c r="I132" s="474"/>
      <c r="J132" s="159"/>
      <c r="K132" s="159"/>
    </row>
    <row r="134" spans="1:21">
      <c r="A134" s="447" t="s">
        <v>284</v>
      </c>
      <c r="B134" s="447"/>
      <c r="C134" s="447"/>
      <c r="D134" s="447"/>
      <c r="E134" s="447"/>
      <c r="F134" s="447"/>
      <c r="G134" s="447"/>
      <c r="H134" s="447"/>
      <c r="I134" s="447"/>
      <c r="J134" s="447"/>
      <c r="M134" s="447" t="s">
        <v>285</v>
      </c>
      <c r="N134" s="447"/>
      <c r="O134" s="447"/>
      <c r="P134" s="447"/>
      <c r="Q134" s="447"/>
      <c r="R134" s="447"/>
      <c r="S134" s="447"/>
      <c r="T134" s="447"/>
      <c r="U134" s="447"/>
    </row>
    <row r="136" spans="1:21">
      <c r="A136" s="1" t="s">
        <v>286</v>
      </c>
      <c r="B136" s="1">
        <v>2019</v>
      </c>
      <c r="C136" s="1">
        <v>2020</v>
      </c>
      <c r="D136" s="1">
        <v>2025</v>
      </c>
      <c r="E136" s="1">
        <v>2030</v>
      </c>
      <c r="F136" s="1">
        <v>2035</v>
      </c>
      <c r="G136" s="1">
        <v>2040</v>
      </c>
      <c r="H136" s="1">
        <v>2045</v>
      </c>
      <c r="I136" s="1">
        <v>2050</v>
      </c>
      <c r="J136" s="237" t="s">
        <v>390</v>
      </c>
      <c r="M136" s="1"/>
      <c r="N136" s="1">
        <v>2015</v>
      </c>
      <c r="O136" s="1">
        <v>2020</v>
      </c>
      <c r="P136" s="1">
        <v>2025</v>
      </c>
      <c r="Q136" s="1">
        <v>2030</v>
      </c>
      <c r="R136" s="1">
        <v>2035</v>
      </c>
      <c r="S136" s="1">
        <v>2040</v>
      </c>
      <c r="T136" s="1">
        <v>2045</v>
      </c>
      <c r="U136" s="1">
        <v>2050</v>
      </c>
    </row>
    <row r="137" spans="1:21">
      <c r="A137" s="1" t="s">
        <v>270</v>
      </c>
      <c r="B137" s="391">
        <f>0.055814016771382*1000</f>
        <v>55.814016771382001</v>
      </c>
      <c r="C137" s="391">
        <f>0.055814016771382*1000</f>
        <v>55.814016771382001</v>
      </c>
      <c r="D137" s="392">
        <f>AVERAGE(C137,E137)</f>
        <v>64.373348855360305</v>
      </c>
      <c r="E137" s="391">
        <f>0.0729326809393386*1000</f>
        <v>72.93268093933861</v>
      </c>
      <c r="F137" s="392">
        <f>AVERAGE(E137,G137)</f>
        <v>86.774755615226809</v>
      </c>
      <c r="G137" s="391">
        <f>0.100616830291115*1000</f>
        <v>100.61683029111499</v>
      </c>
      <c r="H137" s="392">
        <f>AVERAGE(G137,I137)</f>
        <v>106.51009229389649</v>
      </c>
      <c r="I137" s="391">
        <f>0.112403354296678*1000</f>
        <v>112.403354296678</v>
      </c>
      <c r="J137" s="288" t="s">
        <v>417</v>
      </c>
      <c r="K137" t="s">
        <v>409</v>
      </c>
      <c r="M137" s="1" t="s">
        <v>287</v>
      </c>
      <c r="N137" s="1">
        <v>40</v>
      </c>
      <c r="O137" s="1"/>
      <c r="P137" s="1"/>
      <c r="Q137" s="1"/>
      <c r="R137" s="1"/>
      <c r="S137" s="1"/>
      <c r="T137" s="1"/>
      <c r="U137" s="1">
        <v>10</v>
      </c>
    </row>
    <row r="139" spans="1:21">
      <c r="A139" s="447" t="s">
        <v>288</v>
      </c>
      <c r="B139" s="447"/>
      <c r="C139" s="447"/>
      <c r="D139" s="447"/>
      <c r="E139" s="447"/>
      <c r="F139" s="447"/>
      <c r="G139" s="447"/>
      <c r="H139" s="447"/>
      <c r="I139" s="447"/>
      <c r="J139" s="447"/>
      <c r="M139" s="447" t="s">
        <v>289</v>
      </c>
      <c r="N139" s="447"/>
      <c r="O139" s="447"/>
      <c r="P139" s="447"/>
      <c r="Q139" s="447"/>
      <c r="R139" s="447"/>
      <c r="S139" s="447"/>
      <c r="T139" s="447"/>
      <c r="U139" s="447"/>
    </row>
    <row r="141" spans="1:21">
      <c r="A141" s="1" t="s">
        <v>286</v>
      </c>
      <c r="B141" s="1">
        <v>2019</v>
      </c>
      <c r="C141" s="1">
        <v>2020</v>
      </c>
      <c r="D141" s="1">
        <v>2025</v>
      </c>
      <c r="E141" s="1">
        <v>2030</v>
      </c>
      <c r="F141" s="1">
        <v>2035</v>
      </c>
      <c r="G141" s="1">
        <v>2040</v>
      </c>
      <c r="H141" s="1">
        <v>2045</v>
      </c>
      <c r="I141" s="1">
        <v>2050</v>
      </c>
      <c r="J141" s="237" t="s">
        <v>390</v>
      </c>
      <c r="M141" s="1"/>
      <c r="N141" s="1">
        <v>2015</v>
      </c>
      <c r="O141" s="1">
        <v>2020</v>
      </c>
      <c r="P141" s="1">
        <v>2025</v>
      </c>
      <c r="Q141" s="1">
        <v>2030</v>
      </c>
      <c r="R141" s="1">
        <v>2035</v>
      </c>
      <c r="S141" s="1">
        <v>2040</v>
      </c>
      <c r="T141" s="1">
        <v>2045</v>
      </c>
      <c r="U141" s="1">
        <v>2050</v>
      </c>
    </row>
    <row r="142" spans="1:21">
      <c r="A142" s="1" t="s">
        <v>270</v>
      </c>
      <c r="B142" s="391">
        <f>0.0556887839226446*1000</f>
        <v>55.688783922644596</v>
      </c>
      <c r="C142" s="391">
        <f>0.0560481246410185*1000</f>
        <v>56.048124641018497</v>
      </c>
      <c r="D142" s="392">
        <f>AVERAGE(C142,E142)</f>
        <v>31.743157030716358</v>
      </c>
      <c r="E142" s="391">
        <f>0.00743818942041422*1000</f>
        <v>7.4381894204142203</v>
      </c>
      <c r="F142" s="392">
        <f>AVERAGE(E142,G142)</f>
        <v>8.4837694809822395</v>
      </c>
      <c r="G142" s="391">
        <f>0.00952934954155026*1000</f>
        <v>9.5293495415502605</v>
      </c>
      <c r="H142" s="392">
        <f>AVERAGE(G142,I142)</f>
        <v>10.05570137424708</v>
      </c>
      <c r="I142" s="391">
        <f>0.0105820532069439*1000</f>
        <v>10.5820532069439</v>
      </c>
      <c r="J142" s="288" t="s">
        <v>417</v>
      </c>
      <c r="K142" t="s">
        <v>409</v>
      </c>
      <c r="M142" s="1" t="s">
        <v>287</v>
      </c>
      <c r="N142" s="1"/>
      <c r="O142" s="1"/>
      <c r="P142" s="1"/>
      <c r="Q142" s="1"/>
      <c r="R142" s="1"/>
      <c r="S142" s="1"/>
      <c r="T142" s="1"/>
      <c r="U142" s="1"/>
    </row>
    <row r="144" spans="1:21">
      <c r="A144" s="474" t="s">
        <v>290</v>
      </c>
      <c r="B144" s="474"/>
      <c r="C144" s="474"/>
      <c r="D144" s="474"/>
      <c r="E144" s="474"/>
      <c r="F144" s="474"/>
      <c r="G144" s="474"/>
      <c r="H144" s="474"/>
      <c r="I144" s="474"/>
    </row>
    <row r="146" spans="1:11">
      <c r="A146" s="447" t="s">
        <v>284</v>
      </c>
      <c r="B146" s="447"/>
      <c r="C146" s="447"/>
      <c r="D146" s="447"/>
      <c r="E146" s="447"/>
      <c r="F146" s="447"/>
      <c r="G146" s="447"/>
      <c r="H146" s="447"/>
      <c r="I146" s="447"/>
      <c r="J146" s="447"/>
    </row>
    <row r="148" spans="1:11">
      <c r="A148" s="1" t="s">
        <v>286</v>
      </c>
      <c r="B148" s="1">
        <v>2019</v>
      </c>
      <c r="C148" s="1">
        <v>2020</v>
      </c>
      <c r="D148" s="1">
        <v>2025</v>
      </c>
      <c r="E148" s="1">
        <v>2030</v>
      </c>
      <c r="F148" s="1">
        <v>2035</v>
      </c>
      <c r="G148" s="1">
        <v>2040</v>
      </c>
      <c r="H148" s="1">
        <v>2045</v>
      </c>
      <c r="I148" s="1">
        <v>2050</v>
      </c>
      <c r="J148" s="237" t="s">
        <v>390</v>
      </c>
    </row>
    <row r="149" spans="1:11">
      <c r="A149" s="1" t="s">
        <v>270</v>
      </c>
      <c r="B149" s="391">
        <f>0.147706343319497*1000</f>
        <v>147.70634331949699</v>
      </c>
      <c r="C149" s="391">
        <f>0.147706343319497*1000</f>
        <v>147.70634331949699</v>
      </c>
      <c r="D149" s="392">
        <f>AVERAGE(C149,E149)</f>
        <v>142.21611062094951</v>
      </c>
      <c r="E149" s="391">
        <f>0.136725877922402*1000</f>
        <v>136.72587792240202</v>
      </c>
      <c r="F149" s="392">
        <f>AVERAGE(E149,G149)</f>
        <v>146.46694828862752</v>
      </c>
      <c r="G149" s="391">
        <f>0.156208018654853*1000</f>
        <v>156.20801865485302</v>
      </c>
      <c r="H149" s="392">
        <f>AVERAGE(G149,I149)</f>
        <v>167.435624372029</v>
      </c>
      <c r="I149" s="391">
        <f>0.178663230089205*1000</f>
        <v>178.663230089205</v>
      </c>
      <c r="J149" s="288" t="s">
        <v>417</v>
      </c>
      <c r="K149" t="s">
        <v>409</v>
      </c>
    </row>
    <row r="151" spans="1:11">
      <c r="A151" s="447" t="s">
        <v>288</v>
      </c>
      <c r="B151" s="447"/>
      <c r="C151" s="447"/>
      <c r="D151" s="447"/>
      <c r="E151" s="447"/>
      <c r="F151" s="447"/>
      <c r="G151" s="447"/>
      <c r="H151" s="447"/>
      <c r="I151" s="447"/>
      <c r="J151" s="447"/>
    </row>
    <row r="153" spans="1:11">
      <c r="A153" s="1" t="s">
        <v>286</v>
      </c>
      <c r="B153" s="1">
        <v>2019</v>
      </c>
      <c r="C153" s="1">
        <v>2020</v>
      </c>
      <c r="D153" s="1">
        <v>2025</v>
      </c>
      <c r="E153" s="1">
        <v>2030</v>
      </c>
      <c r="F153" s="1">
        <v>2035</v>
      </c>
      <c r="G153" s="1">
        <v>2040</v>
      </c>
      <c r="H153" s="1">
        <v>2045</v>
      </c>
      <c r="I153" s="1">
        <v>2050</v>
      </c>
      <c r="J153" s="237" t="s">
        <v>390</v>
      </c>
    </row>
    <row r="154" spans="1:11">
      <c r="A154" s="1" t="s">
        <v>270</v>
      </c>
      <c r="B154" s="391">
        <f>0.147706343319497*1000</f>
        <v>147.70634331949699</v>
      </c>
      <c r="C154" s="391">
        <f>0.147706343319497*1000</f>
        <v>147.70634331949699</v>
      </c>
      <c r="D154" s="392">
        <f>AVERAGE(C154,E154)</f>
        <v>123.73936664565079</v>
      </c>
      <c r="E154" s="391">
        <f>0.0997723899718046*1000</f>
        <v>99.7723899718046</v>
      </c>
      <c r="F154" s="392">
        <f>AVERAGE(E154,G154)</f>
        <v>86.062154479670298</v>
      </c>
      <c r="G154" s="391">
        <f>0.072351918987536*1000</f>
        <v>72.351918987535996</v>
      </c>
      <c r="H154" s="392">
        <f>AVERAGE(G154,I154)</f>
        <v>67.425727017933994</v>
      </c>
      <c r="I154" s="391">
        <f>0.062499535048332*1000</f>
        <v>62.499535048332</v>
      </c>
      <c r="J154" s="288" t="s">
        <v>417</v>
      </c>
      <c r="K154" t="s">
        <v>409</v>
      </c>
    </row>
    <row r="156" spans="1:11">
      <c r="A156" s="472" t="s">
        <v>291</v>
      </c>
      <c r="B156" s="472"/>
      <c r="C156" s="472"/>
      <c r="D156" s="472"/>
      <c r="E156" s="472"/>
      <c r="F156" s="472"/>
      <c r="G156" s="472"/>
      <c r="H156" s="472"/>
      <c r="I156" s="472"/>
      <c r="J156" s="472"/>
      <c r="K156" s="472"/>
    </row>
    <row r="159" spans="1:11">
      <c r="A159" s="447" t="s">
        <v>284</v>
      </c>
      <c r="B159" s="447"/>
      <c r="C159" s="447"/>
      <c r="D159" s="447"/>
      <c r="E159" s="447"/>
      <c r="F159" s="447"/>
      <c r="G159" s="447"/>
      <c r="H159" s="447"/>
      <c r="I159" s="447"/>
      <c r="J159" s="447"/>
    </row>
    <row r="160" spans="1:11">
      <c r="B160" s="161"/>
      <c r="C160" s="161"/>
      <c r="D160" s="161"/>
      <c r="E160" s="161"/>
      <c r="F160" s="161"/>
      <c r="G160" s="161"/>
      <c r="H160" s="161"/>
      <c r="I160" s="161"/>
    </row>
    <row r="161" spans="1:11">
      <c r="A161" s="30" t="s">
        <v>286</v>
      </c>
      <c r="B161" s="30">
        <v>2019</v>
      </c>
      <c r="C161" s="30">
        <v>2020</v>
      </c>
      <c r="D161" s="30">
        <v>2025</v>
      </c>
      <c r="E161" s="30">
        <v>2030</v>
      </c>
      <c r="F161" s="30">
        <v>2035</v>
      </c>
      <c r="G161" s="30">
        <v>2040</v>
      </c>
      <c r="H161" s="30">
        <v>2045</v>
      </c>
      <c r="I161" s="168">
        <v>2050</v>
      </c>
      <c r="J161" s="237" t="s">
        <v>418</v>
      </c>
      <c r="K161" t="s">
        <v>409</v>
      </c>
    </row>
    <row r="162" spans="1:11">
      <c r="A162" s="30" t="s">
        <v>292</v>
      </c>
      <c r="B162" s="153">
        <f t="shared" ref="B162:I162" si="19">B137+B79</f>
        <v>329.40531188873746</v>
      </c>
      <c r="C162" s="153">
        <f t="shared" si="19"/>
        <v>409.48494676000001</v>
      </c>
      <c r="D162" s="153">
        <f t="shared" si="19"/>
        <v>319.36079445136318</v>
      </c>
      <c r="E162" s="153">
        <f t="shared" si="19"/>
        <v>325.39258837287537</v>
      </c>
      <c r="F162" s="153">
        <f t="shared" si="19"/>
        <v>353.52546054994502</v>
      </c>
      <c r="G162" s="153">
        <f t="shared" si="19"/>
        <v>382.77197473418386</v>
      </c>
      <c r="H162" s="153">
        <f t="shared" si="19"/>
        <v>406.66780981340497</v>
      </c>
      <c r="I162" s="282">
        <f t="shared" si="19"/>
        <v>430.15888385841976</v>
      </c>
      <c r="J162" s="288" t="s">
        <v>419</v>
      </c>
      <c r="K162" t="s">
        <v>409</v>
      </c>
    </row>
    <row r="163" spans="1:11">
      <c r="A163" s="237" t="s">
        <v>293</v>
      </c>
      <c r="B163" s="153">
        <f>K18</f>
        <v>65.570700000000002</v>
      </c>
      <c r="C163" s="153">
        <f>L18</f>
        <v>66.392949999999999</v>
      </c>
      <c r="D163" s="282">
        <f t="shared" ref="D163:H165" si="20">$C163/$C$162*D$162</f>
        <v>51.780426669498389</v>
      </c>
      <c r="E163" s="282">
        <f t="shared" si="20"/>
        <v>52.758407900334646</v>
      </c>
      <c r="F163" s="282">
        <f t="shared" si="20"/>
        <v>57.319807264554285</v>
      </c>
      <c r="G163" s="282">
        <f t="shared" si="20"/>
        <v>62.061769989368514</v>
      </c>
      <c r="H163" s="282">
        <f t="shared" si="20"/>
        <v>65.936185877366555</v>
      </c>
      <c r="I163" s="282">
        <f>$C163/$C$162*I$162</f>
        <v>69.744974739710429</v>
      </c>
      <c r="J163" s="288" t="s">
        <v>420</v>
      </c>
      <c r="K163" t="s">
        <v>409</v>
      </c>
    </row>
    <row r="164" spans="1:11">
      <c r="A164" s="237" t="s">
        <v>295</v>
      </c>
      <c r="B164" s="153">
        <f>K19</f>
        <v>20.531695039999999</v>
      </c>
      <c r="C164" s="153">
        <f>L19</f>
        <v>22.28601076</v>
      </c>
      <c r="D164" s="282">
        <f t="shared" si="20"/>
        <v>17.381049432414617</v>
      </c>
      <c r="E164" s="282">
        <f t="shared" si="20"/>
        <v>17.709326760557058</v>
      </c>
      <c r="F164" s="282">
        <f t="shared" si="20"/>
        <v>19.240444075146275</v>
      </c>
      <c r="G164" s="282">
        <f t="shared" si="20"/>
        <v>20.832170791743877</v>
      </c>
      <c r="H164" s="282">
        <f t="shared" si="20"/>
        <v>22.132689508996826</v>
      </c>
      <c r="I164" s="282">
        <f>$C164/$C$162*I$162</f>
        <v>23.411179312037117</v>
      </c>
      <c r="J164" s="288" t="s">
        <v>420</v>
      </c>
      <c r="K164" t="s">
        <v>409</v>
      </c>
    </row>
    <row r="165" spans="1:11">
      <c r="A165" s="237" t="s">
        <v>296</v>
      </c>
      <c r="B165" s="153">
        <f>K16</f>
        <v>308.74838399999999</v>
      </c>
      <c r="C165" s="153">
        <f>L16</f>
        <v>320.80598600000002</v>
      </c>
      <c r="D165" s="282">
        <f t="shared" si="20"/>
        <v>250.19931834945018</v>
      </c>
      <c r="E165" s="282">
        <f t="shared" si="20"/>
        <v>254.92485371198367</v>
      </c>
      <c r="F165" s="282">
        <f t="shared" si="20"/>
        <v>276.9652092102445</v>
      </c>
      <c r="G165" s="282">
        <f t="shared" si="20"/>
        <v>299.87803395307145</v>
      </c>
      <c r="H165" s="282">
        <f t="shared" si="20"/>
        <v>318.59893442704163</v>
      </c>
      <c r="I165" s="282">
        <f>$C165/$C$162*I$162</f>
        <v>337.00272980667222</v>
      </c>
      <c r="J165" s="288" t="s">
        <v>420</v>
      </c>
      <c r="K165" t="s">
        <v>409</v>
      </c>
    </row>
    <row r="166" spans="1:11">
      <c r="B166" s="161"/>
      <c r="C166" s="161"/>
      <c r="D166" s="161"/>
      <c r="E166" s="161"/>
      <c r="F166" s="161"/>
      <c r="G166" s="161"/>
      <c r="H166" s="161"/>
      <c r="I166" s="161"/>
      <c r="J166" s="288"/>
      <c r="K166" t="s">
        <v>409</v>
      </c>
    </row>
    <row r="167" spans="1:11">
      <c r="A167" s="237" t="s">
        <v>297</v>
      </c>
      <c r="B167" s="153">
        <f t="shared" ref="B167:I167" si="21">B149+B116</f>
        <v>542.60783898024613</v>
      </c>
      <c r="C167" s="153">
        <f t="shared" si="21"/>
        <v>465.66993793951701</v>
      </c>
      <c r="D167" s="153">
        <f t="shared" si="21"/>
        <v>537.57102653186462</v>
      </c>
      <c r="E167" s="153">
        <f t="shared" si="21"/>
        <v>549.61245924779166</v>
      </c>
      <c r="F167" s="153">
        <f t="shared" si="21"/>
        <v>595.2301244944083</v>
      </c>
      <c r="G167" s="153">
        <f t="shared" si="21"/>
        <v>642.47241696595233</v>
      </c>
      <c r="H167" s="153">
        <f t="shared" si="21"/>
        <v>694.91210534854167</v>
      </c>
      <c r="I167" s="282">
        <f t="shared" si="21"/>
        <v>746.83815700382684</v>
      </c>
      <c r="J167" s="288"/>
      <c r="K167" t="s">
        <v>409</v>
      </c>
    </row>
    <row r="168" spans="1:11">
      <c r="A168" s="237" t="s">
        <v>293</v>
      </c>
      <c r="B168" s="153">
        <f>'Bilan d''énergie SDES historique'!D61</f>
        <v>0</v>
      </c>
      <c r="C168" s="282">
        <f>'Bilan d''énergie SDES historique'!D29</f>
        <v>0</v>
      </c>
      <c r="D168" s="282">
        <f t="shared" ref="D168:H168" si="22">$C168/$C$167*D$167</f>
        <v>0</v>
      </c>
      <c r="E168" s="282">
        <f t="shared" si="22"/>
        <v>0</v>
      </c>
      <c r="F168" s="282">
        <f t="shared" si="22"/>
        <v>0</v>
      </c>
      <c r="G168" s="282">
        <f t="shared" si="22"/>
        <v>0</v>
      </c>
      <c r="H168" s="282">
        <f t="shared" si="22"/>
        <v>0</v>
      </c>
      <c r="I168" s="282">
        <f>$C168/$C$167*I$167</f>
        <v>0</v>
      </c>
      <c r="J168" s="288" t="s">
        <v>420</v>
      </c>
      <c r="K168" t="s">
        <v>409</v>
      </c>
    </row>
    <row r="169" spans="1:11">
      <c r="A169" s="237" t="s">
        <v>295</v>
      </c>
      <c r="B169" s="153">
        <f>'Bilan d''énergie SDES historique'!G61</f>
        <v>0.29905381999999997</v>
      </c>
      <c r="C169" s="153">
        <f>'Bilan d''énergie SDES historique'!G29</f>
        <v>0.29805364000000001</v>
      </c>
      <c r="D169" s="282">
        <f t="shared" ref="D169:H169" si="23">$C169/$C$167*D$167</f>
        <v>0.34407417821583636</v>
      </c>
      <c r="E169" s="282">
        <f t="shared" si="23"/>
        <v>0.3517813385012471</v>
      </c>
      <c r="F169" s="282">
        <f t="shared" si="23"/>
        <v>0.38097908151042015</v>
      </c>
      <c r="G169" s="282">
        <f t="shared" si="23"/>
        <v>0.41121667274379964</v>
      </c>
      <c r="H169" s="282">
        <f t="shared" si="23"/>
        <v>0.44478087504565944</v>
      </c>
      <c r="I169" s="282">
        <f>$C169/$C$167*I$167</f>
        <v>0.47801632239956604</v>
      </c>
      <c r="J169" s="288" t="s">
        <v>420</v>
      </c>
      <c r="K169" t="s">
        <v>409</v>
      </c>
    </row>
    <row r="170" spans="1:11">
      <c r="A170" s="237" t="s">
        <v>296</v>
      </c>
      <c r="B170" s="153">
        <f>'Bilan d''énergie SDES historique'!H61</f>
        <v>476.73808516024604</v>
      </c>
      <c r="C170" s="153">
        <f>'Bilan d''énergie SDES historique'!H29</f>
        <v>465.37188429951698</v>
      </c>
      <c r="D170" s="153">
        <f>$C170/$C$167*D$167</f>
        <v>537.22695235364881</v>
      </c>
      <c r="E170" s="153">
        <f>$C170/$C$167*E$167</f>
        <v>549.26067790929039</v>
      </c>
      <c r="F170" s="153">
        <f>$C170/$C$167*F$167</f>
        <v>594.84914541289788</v>
      </c>
      <c r="G170" s="153">
        <f>$C170/$C$167*G$167</f>
        <v>642.06120029320846</v>
      </c>
      <c r="H170" s="153">
        <f>$C170/$C$167*H$167</f>
        <v>694.46732447349598</v>
      </c>
      <c r="I170" s="282">
        <f>$C170/$C$167*I$167</f>
        <v>746.3601406814272</v>
      </c>
      <c r="J170" s="288" t="s">
        <v>420</v>
      </c>
      <c r="K170" t="s">
        <v>410</v>
      </c>
    </row>
    <row r="171" spans="1:11">
      <c r="A171" s="468" t="s">
        <v>421</v>
      </c>
      <c r="B171" s="468"/>
      <c r="C171" s="468"/>
      <c r="D171" s="468"/>
      <c r="E171" s="468"/>
      <c r="F171" s="468"/>
      <c r="G171" s="468"/>
      <c r="H171" s="468"/>
      <c r="I171" s="468"/>
      <c r="J171" s="468"/>
    </row>
    <row r="173" spans="1:11">
      <c r="A173" s="447" t="s">
        <v>288</v>
      </c>
      <c r="B173" s="447"/>
      <c r="C173" s="447"/>
      <c r="D173" s="447"/>
      <c r="E173" s="447"/>
      <c r="F173" s="447"/>
      <c r="G173" s="447"/>
      <c r="H173" s="447"/>
      <c r="I173" s="447"/>
      <c r="J173" s="447"/>
    </row>
    <row r="174" spans="1:11">
      <c r="B174" s="161"/>
      <c r="C174" s="161"/>
      <c r="D174" s="161"/>
      <c r="E174" s="161"/>
      <c r="F174" s="161"/>
      <c r="G174" s="161"/>
      <c r="H174" s="161"/>
      <c r="I174" s="161"/>
    </row>
    <row r="175" spans="1:11">
      <c r="A175" s="30" t="s">
        <v>286</v>
      </c>
      <c r="B175" s="30">
        <v>2019</v>
      </c>
      <c r="C175" s="30">
        <v>2020</v>
      </c>
      <c r="D175" s="30">
        <v>2025</v>
      </c>
      <c r="E175" s="30">
        <v>2030</v>
      </c>
      <c r="F175" s="30">
        <v>2035</v>
      </c>
      <c r="G175" s="30">
        <v>2040</v>
      </c>
      <c r="H175" s="30">
        <v>2045</v>
      </c>
      <c r="I175" s="168">
        <v>2050</v>
      </c>
      <c r="J175" s="237" t="s">
        <v>390</v>
      </c>
      <c r="K175" t="s">
        <v>409</v>
      </c>
    </row>
    <row r="176" spans="1:11">
      <c r="A176" s="30" t="s">
        <v>292</v>
      </c>
      <c r="B176" s="145">
        <f t="shared" ref="B176:I176" si="24">B142+B90</f>
        <v>329.15484619126261</v>
      </c>
      <c r="C176" s="145">
        <f t="shared" si="24"/>
        <v>409.7190546296365</v>
      </c>
      <c r="D176" s="145">
        <f t="shared" si="24"/>
        <v>302.72619311175981</v>
      </c>
      <c r="E176" s="145">
        <f t="shared" si="24"/>
        <v>276.35203701181217</v>
      </c>
      <c r="F176" s="145">
        <f t="shared" si="24"/>
        <v>275.32842858273466</v>
      </c>
      <c r="G176" s="145">
        <f t="shared" si="24"/>
        <v>274.30482015365726</v>
      </c>
      <c r="H176" s="145">
        <f t="shared" si="24"/>
        <v>272.76198349670852</v>
      </c>
      <c r="I176" s="287">
        <f t="shared" si="24"/>
        <v>271.21914683975984</v>
      </c>
      <c r="J176" s="288"/>
      <c r="K176" t="s">
        <v>409</v>
      </c>
    </row>
    <row r="177" spans="1:11">
      <c r="A177" s="237" t="s">
        <v>293</v>
      </c>
      <c r="B177" s="160">
        <f>K18</f>
        <v>65.570700000000002</v>
      </c>
      <c r="C177" s="160">
        <f>L18</f>
        <v>66.392949999999999</v>
      </c>
      <c r="D177" s="145">
        <f>C177+($I177-$C177)/6</f>
        <v>55.327458333333333</v>
      </c>
      <c r="E177" s="145">
        <f>D177+($I177-$C177)/6</f>
        <v>44.261966666666666</v>
      </c>
      <c r="F177" s="145">
        <f>E177+($I177-$C177)/6</f>
        <v>33.196475</v>
      </c>
      <c r="G177" s="145">
        <f>F177+($I177-$C177)/6</f>
        <v>22.130983333333333</v>
      </c>
      <c r="H177" s="145">
        <f>G177+($I177-$C177)/6</f>
        <v>11.065491666666667</v>
      </c>
      <c r="I177" s="287">
        <v>0</v>
      </c>
      <c r="J177" s="288" t="s">
        <v>298</v>
      </c>
      <c r="K177" t="s">
        <v>409</v>
      </c>
    </row>
    <row r="178" spans="1:11">
      <c r="A178" s="237" t="s">
        <v>295</v>
      </c>
      <c r="B178" s="160">
        <f>K19</f>
        <v>20.531695039999999</v>
      </c>
      <c r="C178" s="160">
        <f>L19</f>
        <v>22.28601076</v>
      </c>
      <c r="D178" s="145">
        <f t="shared" ref="D178:I178" si="25">$C178/$C$176*D$176+($C177/$C176*D176/3)</f>
        <v>32.818067354707082</v>
      </c>
      <c r="E178" s="145">
        <f t="shared" si="25"/>
        <v>29.95888684437675</v>
      </c>
      <c r="F178" s="145">
        <f t="shared" si="25"/>
        <v>29.847919075037048</v>
      </c>
      <c r="G178" s="145">
        <f t="shared" si="25"/>
        <v>29.73695130569736</v>
      </c>
      <c r="H178" s="145">
        <f t="shared" si="25"/>
        <v>29.569694826155256</v>
      </c>
      <c r="I178" s="287">
        <f t="shared" si="25"/>
        <v>29.402438346613167</v>
      </c>
      <c r="J178" s="288" t="s">
        <v>299</v>
      </c>
      <c r="K178" t="s">
        <v>409</v>
      </c>
    </row>
    <row r="179" spans="1:11">
      <c r="A179" s="237" t="s">
        <v>296</v>
      </c>
      <c r="B179" s="160">
        <f>B165</f>
        <v>308.74838399999999</v>
      </c>
      <c r="C179" s="160">
        <f>C165</f>
        <v>320.80598600000002</v>
      </c>
      <c r="D179" s="145">
        <f t="shared" ref="D179:I179" si="26">D176-D177-D178</f>
        <v>214.58066742371938</v>
      </c>
      <c r="E179" s="145">
        <f t="shared" si="26"/>
        <v>202.13118350076877</v>
      </c>
      <c r="F179" s="145">
        <f t="shared" si="26"/>
        <v>212.28403450769761</v>
      </c>
      <c r="G179" s="145">
        <f t="shared" si="26"/>
        <v>222.43688551462657</v>
      </c>
      <c r="H179" s="145">
        <f t="shared" si="26"/>
        <v>232.12679700388659</v>
      </c>
      <c r="I179" s="287">
        <f t="shared" si="26"/>
        <v>241.81670849314668</v>
      </c>
      <c r="J179" s="288" t="s">
        <v>300</v>
      </c>
      <c r="K179" t="s">
        <v>409</v>
      </c>
    </row>
    <row r="180" spans="1:11">
      <c r="B180" s="161"/>
      <c r="C180" s="161"/>
      <c r="D180" s="161"/>
      <c r="E180" s="161"/>
      <c r="F180" s="161"/>
      <c r="G180" s="161"/>
      <c r="H180" s="161"/>
      <c r="I180" s="161"/>
      <c r="J180" s="288"/>
    </row>
    <row r="181" spans="1:11">
      <c r="A181" s="237" t="s">
        <v>297</v>
      </c>
      <c r="B181" s="145">
        <f t="shared" ref="B181:G181" si="27">B154+B126</f>
        <v>542.60783898024613</v>
      </c>
      <c r="C181" s="145">
        <f t="shared" si="27"/>
        <v>465.66993793951701</v>
      </c>
      <c r="D181" s="145">
        <f t="shared" si="27"/>
        <v>505.80074902753518</v>
      </c>
      <c r="E181" s="145">
        <f t="shared" si="27"/>
        <v>471.13367795463506</v>
      </c>
      <c r="F181" s="145">
        <f t="shared" si="27"/>
        <v>446.72334806344685</v>
      </c>
      <c r="G181" s="145">
        <f t="shared" si="27"/>
        <v>422.31301817225858</v>
      </c>
      <c r="H181" s="145">
        <f>H154+H126</f>
        <v>406.68673180360264</v>
      </c>
      <c r="I181" s="287">
        <f>I154+I126</f>
        <v>391.06044543494676</v>
      </c>
      <c r="J181" s="288"/>
      <c r="K181" t="s">
        <v>409</v>
      </c>
    </row>
    <row r="182" spans="1:11">
      <c r="A182" s="237" t="s">
        <v>293</v>
      </c>
      <c r="B182" s="160">
        <f t="shared" ref="B182:C184" si="28">B168</f>
        <v>0</v>
      </c>
      <c r="C182" s="160">
        <f t="shared" si="28"/>
        <v>0</v>
      </c>
      <c r="D182" s="145">
        <f>C182+($I182-$C182)/6</f>
        <v>0</v>
      </c>
      <c r="E182" s="145">
        <f>D182+($I182-$C182)/6</f>
        <v>0</v>
      </c>
      <c r="F182" s="145">
        <f>E182+($I182-$C182)/6</f>
        <v>0</v>
      </c>
      <c r="G182" s="145">
        <f>F182+($I182-$C182)/6</f>
        <v>0</v>
      </c>
      <c r="H182" s="145">
        <f>G182+($I182-$C182)/6</f>
        <v>0</v>
      </c>
      <c r="I182" s="287">
        <v>0</v>
      </c>
      <c r="J182" s="288" t="s">
        <v>298</v>
      </c>
      <c r="K182" t="s">
        <v>409</v>
      </c>
    </row>
    <row r="183" spans="1:11">
      <c r="A183" s="237" t="s">
        <v>295</v>
      </c>
      <c r="B183" s="160">
        <f t="shared" si="28"/>
        <v>0.29905381999999997</v>
      </c>
      <c r="C183" s="160">
        <f t="shared" si="28"/>
        <v>0.29805364000000001</v>
      </c>
      <c r="D183" s="145">
        <f t="shared" ref="D183:G183" si="29">$C183/$C$181*D$181</f>
        <v>0.32373950319714229</v>
      </c>
      <c r="E183" s="145">
        <f t="shared" si="29"/>
        <v>0.30155072552526552</v>
      </c>
      <c r="F183" s="145">
        <f t="shared" si="29"/>
        <v>0.28592681020476568</v>
      </c>
      <c r="G183" s="145">
        <f t="shared" si="29"/>
        <v>0.27030289488426573</v>
      </c>
      <c r="H183" s="145">
        <f>$C183/$C$181*H$181</f>
        <v>0.26030123673027683</v>
      </c>
      <c r="I183" s="287">
        <f>$C183/$C$181*I$181</f>
        <v>0.25029957857628793</v>
      </c>
      <c r="J183" s="288" t="s">
        <v>294</v>
      </c>
      <c r="K183" t="s">
        <v>409</v>
      </c>
    </row>
    <row r="184" spans="1:11">
      <c r="A184" s="237" t="s">
        <v>296</v>
      </c>
      <c r="B184" s="160">
        <f t="shared" si="28"/>
        <v>476.73808516024604</v>
      </c>
      <c r="C184" s="160">
        <f t="shared" si="28"/>
        <v>465.37188429951698</v>
      </c>
      <c r="D184" s="145">
        <f t="shared" ref="D184:G184" si="30">D181-D182-D183</f>
        <v>505.47700952433803</v>
      </c>
      <c r="E184" s="145">
        <f t="shared" si="30"/>
        <v>470.8321272291098</v>
      </c>
      <c r="F184" s="145">
        <f t="shared" si="30"/>
        <v>446.43742125324206</v>
      </c>
      <c r="G184" s="145">
        <f t="shared" si="30"/>
        <v>422.04271527737433</v>
      </c>
      <c r="H184" s="145">
        <f>H181-H182-H183</f>
        <v>406.42643056687234</v>
      </c>
      <c r="I184" s="287">
        <f>I181-I182-I183</f>
        <v>390.81014585637047</v>
      </c>
      <c r="J184" s="288" t="s">
        <v>300</v>
      </c>
      <c r="K184" t="s">
        <v>410</v>
      </c>
    </row>
    <row r="185" spans="1:11">
      <c r="A185" s="468" t="s">
        <v>422</v>
      </c>
      <c r="B185" s="468"/>
      <c r="C185" s="468"/>
      <c r="D185" s="468"/>
      <c r="E185" s="468"/>
      <c r="F185" s="468"/>
      <c r="G185" s="468"/>
      <c r="H185" s="468"/>
      <c r="I185" s="468"/>
      <c r="J185" s="468"/>
    </row>
  </sheetData>
  <mergeCells count="40">
    <mergeCell ref="A185:J185"/>
    <mergeCell ref="A173:J173"/>
    <mergeCell ref="A159:J159"/>
    <mergeCell ref="A151:J151"/>
    <mergeCell ref="A146:J146"/>
    <mergeCell ref="A91:K91"/>
    <mergeCell ref="A112:K112"/>
    <mergeCell ref="A127:K127"/>
    <mergeCell ref="A119:K119"/>
    <mergeCell ref="A104:K104"/>
    <mergeCell ref="A95:K95"/>
    <mergeCell ref="A117:J117"/>
    <mergeCell ref="A144:I144"/>
    <mergeCell ref="A156:K156"/>
    <mergeCell ref="A171:J171"/>
    <mergeCell ref="A130:K130"/>
    <mergeCell ref="A132:I132"/>
    <mergeCell ref="M134:U134"/>
    <mergeCell ref="M139:U139"/>
    <mergeCell ref="A139:J139"/>
    <mergeCell ref="A134:J134"/>
    <mergeCell ref="A93:K93"/>
    <mergeCell ref="M104:U104"/>
    <mergeCell ref="M119:U119"/>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s>
  <pageMargins left="0.7" right="0.7" top="0.75" bottom="0.75" header="0.51180555555555496" footer="0.51180555555555496"/>
  <pageSetup paperSize="9" firstPageNumber="0" orientation="landscape"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topLeftCell="A24" zoomScaleNormal="100" workbookViewId="0">
      <selection activeCell="Z38" sqref="Z38"/>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47" t="s">
        <v>55</v>
      </c>
      <c r="B2" s="447"/>
      <c r="C2" s="447"/>
      <c r="D2" s="447"/>
      <c r="E2" s="447"/>
      <c r="F2" s="447"/>
      <c r="G2" s="447"/>
      <c r="H2" s="447"/>
      <c r="I2" s="447"/>
      <c r="J2" s="447"/>
      <c r="K2" s="447"/>
      <c r="L2" s="447"/>
      <c r="M2" s="447"/>
    </row>
    <row r="4" spans="1:47">
      <c r="A4" s="30"/>
      <c r="B4" s="30">
        <v>2010</v>
      </c>
      <c r="C4" s="30">
        <v>2011</v>
      </c>
      <c r="D4" s="30">
        <v>2012</v>
      </c>
      <c r="E4" s="30">
        <v>2013</v>
      </c>
      <c r="F4" s="30">
        <v>2014</v>
      </c>
      <c r="G4" s="30">
        <v>2015</v>
      </c>
      <c r="H4" s="30">
        <v>2016</v>
      </c>
      <c r="I4" s="30">
        <v>2017</v>
      </c>
      <c r="J4" s="30">
        <v>2018</v>
      </c>
      <c r="K4" s="30">
        <v>2019</v>
      </c>
      <c r="L4" s="30">
        <v>2020</v>
      </c>
      <c r="M4" s="237" t="s">
        <v>390</v>
      </c>
      <c r="Q4" s="35"/>
    </row>
    <row r="5" spans="1:47">
      <c r="A5" s="30" t="s">
        <v>301</v>
      </c>
      <c r="B5" s="39">
        <f>GES!V10</f>
        <v>69.316330340304205</v>
      </c>
      <c r="C5" s="39">
        <f>GES!W10</f>
        <v>64.970840983642603</v>
      </c>
      <c r="D5" s="39">
        <f>GES!X10</f>
        <v>77.605580090536193</v>
      </c>
      <c r="E5" s="39">
        <f>GES!Y10</f>
        <v>73.484078366672307</v>
      </c>
      <c r="F5" s="39">
        <f>GES!Z10</f>
        <v>85.367038708501795</v>
      </c>
      <c r="G5" s="39">
        <f>GES!AA10</f>
        <v>86.221482943385496</v>
      </c>
      <c r="H5" s="39">
        <f>GES!AB10</f>
        <v>81.456230745751199</v>
      </c>
      <c r="I5" s="39">
        <f>GES!AC10</f>
        <v>82.485309392561703</v>
      </c>
      <c r="J5" s="39">
        <f>GES!AD10</f>
        <v>79.519190527875793</v>
      </c>
      <c r="K5" s="39">
        <f>GES!AE10</f>
        <v>81.062517947897703</v>
      </c>
      <c r="L5" s="30"/>
      <c r="M5" s="295" t="s">
        <v>216</v>
      </c>
      <c r="Q5" s="35"/>
    </row>
    <row r="6" spans="1:47">
      <c r="A6" s="1" t="s">
        <v>302</v>
      </c>
      <c r="B6" s="356">
        <f>(113*298)/1000</f>
        <v>33.673999999999999</v>
      </c>
      <c r="C6" s="356">
        <f>(104*298)/1000</f>
        <v>30.992000000000001</v>
      </c>
      <c r="D6" s="356">
        <f>(118*298)/1000</f>
        <v>35.164000000000001</v>
      </c>
      <c r="E6" s="356">
        <f>(121*298)/1000</f>
        <v>36.058</v>
      </c>
      <c r="F6" s="356">
        <f>(142*298)/1000</f>
        <v>42.316000000000003</v>
      </c>
      <c r="G6" s="356">
        <f>(145*298)/1000</f>
        <v>43.21</v>
      </c>
      <c r="H6" s="356">
        <f>(142*298)/1000</f>
        <v>42.316000000000003</v>
      </c>
      <c r="I6" s="356">
        <f>(147*298)/1000</f>
        <v>43.805999999999997</v>
      </c>
      <c r="J6" s="356">
        <f>(142*298)/1000</f>
        <v>42.316000000000003</v>
      </c>
      <c r="K6" s="356">
        <f>(147*298)/1000</f>
        <v>43.805999999999997</v>
      </c>
      <c r="L6" s="228"/>
      <c r="M6" s="295" t="s">
        <v>303</v>
      </c>
      <c r="Q6" s="35"/>
    </row>
    <row r="7" spans="1:47">
      <c r="A7" s="1" t="s">
        <v>304</v>
      </c>
      <c r="B7" s="393">
        <f>(1305*25)/1000</f>
        <v>32.625</v>
      </c>
      <c r="C7" s="393">
        <f>(1259*25)/1000</f>
        <v>31.475000000000001</v>
      </c>
      <c r="D7" s="393">
        <f>(1412*25)/1000</f>
        <v>35.299999999999997</v>
      </c>
      <c r="E7" s="393">
        <f>(1419*25)/1000</f>
        <v>35.475000000000001</v>
      </c>
      <c r="F7" s="393">
        <f>(1436*25)/1000</f>
        <v>35.9</v>
      </c>
      <c r="G7" s="393">
        <f>(1430*25)/1000</f>
        <v>35.75</v>
      </c>
      <c r="H7" s="393">
        <f>(1495*25)/1000</f>
        <v>37.375</v>
      </c>
      <c r="I7" s="393">
        <f>(1474*25)/1000</f>
        <v>36.85</v>
      </c>
      <c r="J7" s="393">
        <f>(1413*25)/1000</f>
        <v>35.325000000000003</v>
      </c>
      <c r="K7" s="393">
        <f>(1413*25)/1000</f>
        <v>35.325000000000003</v>
      </c>
      <c r="L7" s="228"/>
      <c r="M7" s="295" t="s">
        <v>305</v>
      </c>
      <c r="Q7" s="35"/>
    </row>
    <row r="8" spans="1:47">
      <c r="A8" s="1" t="s">
        <v>306</v>
      </c>
      <c r="B8" s="356">
        <f t="shared" ref="B8:K8" si="0">SUM(B6:B7)</f>
        <v>66.299000000000007</v>
      </c>
      <c r="C8" s="356">
        <f t="shared" si="0"/>
        <v>62.466999999999999</v>
      </c>
      <c r="D8" s="356">
        <f t="shared" si="0"/>
        <v>70.463999999999999</v>
      </c>
      <c r="E8" s="356">
        <f t="shared" si="0"/>
        <v>71.533000000000001</v>
      </c>
      <c r="F8" s="356">
        <f t="shared" si="0"/>
        <v>78.216000000000008</v>
      </c>
      <c r="G8" s="356">
        <f t="shared" si="0"/>
        <v>78.960000000000008</v>
      </c>
      <c r="H8" s="356">
        <f t="shared" si="0"/>
        <v>79.691000000000003</v>
      </c>
      <c r="I8" s="356">
        <f t="shared" si="0"/>
        <v>80.656000000000006</v>
      </c>
      <c r="J8" s="356">
        <f t="shared" si="0"/>
        <v>77.641000000000005</v>
      </c>
      <c r="K8" s="356">
        <f t="shared" si="0"/>
        <v>79.131</v>
      </c>
      <c r="L8" s="228"/>
      <c r="M8" s="295" t="s">
        <v>307</v>
      </c>
      <c r="Q8" s="35"/>
    </row>
    <row r="9" spans="1:47">
      <c r="A9" s="1" t="s">
        <v>308</v>
      </c>
      <c r="B9" s="356">
        <f>B8+2.9</f>
        <v>69.199000000000012</v>
      </c>
      <c r="C9" s="356">
        <f>C8+2.3</f>
        <v>64.766999999999996</v>
      </c>
      <c r="D9" s="356">
        <f>D8+6.8</f>
        <v>77.263999999999996</v>
      </c>
      <c r="E9" s="356">
        <f>E8+1.8</f>
        <v>73.332999999999998</v>
      </c>
      <c r="F9" s="356">
        <f>F8+6.8</f>
        <v>85.016000000000005</v>
      </c>
      <c r="G9" s="356">
        <f>G8+7</f>
        <v>85.960000000000008</v>
      </c>
      <c r="H9" s="356">
        <f>H8+1.6</f>
        <v>81.290999999999997</v>
      </c>
      <c r="I9" s="356">
        <f>I8+1.6</f>
        <v>82.256</v>
      </c>
      <c r="J9" s="356">
        <f>J8+1.6</f>
        <v>79.241</v>
      </c>
      <c r="K9" s="356">
        <f>K8+1.7</f>
        <v>80.831000000000003</v>
      </c>
      <c r="L9" s="228"/>
      <c r="M9" s="295"/>
      <c r="Q9" s="35"/>
    </row>
    <row r="10" spans="1:47">
      <c r="A10" s="1" t="s">
        <v>309</v>
      </c>
      <c r="B10" s="228">
        <f>'[2]Cadrage macroéconomique '!B6*3.8%</f>
        <v>133.45599999999999</v>
      </c>
      <c r="C10" s="228"/>
      <c r="D10" s="228"/>
      <c r="E10" s="228"/>
      <c r="F10" s="228">
        <f>'[2]Cadrage macroéconomique '!F6*4.2%</f>
        <v>169.554</v>
      </c>
      <c r="G10" s="228">
        <f>'[2]Cadrage macroéconomique '!G6*4.2%</f>
        <v>167.70600000000002</v>
      </c>
      <c r="H10" s="228"/>
      <c r="I10" s="228"/>
      <c r="J10" s="386">
        <f>'[2]Cadrage macroéconomique '!J6*0.046</f>
        <v>191.54399999999998</v>
      </c>
      <c r="K10" s="228"/>
      <c r="L10" s="228"/>
      <c r="M10" s="296" t="s">
        <v>61</v>
      </c>
    </row>
    <row r="11" spans="1:47">
      <c r="A11" s="1" t="s">
        <v>310</v>
      </c>
      <c r="B11" s="356">
        <f>B10/B5</f>
        <v>1.9253183101991418</v>
      </c>
      <c r="C11" s="356"/>
      <c r="D11" s="356"/>
      <c r="E11" s="356"/>
      <c r="F11" s="356">
        <f>F10/F5</f>
        <v>1.9861764278712639</v>
      </c>
      <c r="G11" s="356">
        <f>G10/G5</f>
        <v>1.945060491596029</v>
      </c>
      <c r="H11" s="356"/>
      <c r="I11" s="356"/>
      <c r="J11" s="356">
        <f>J10/J5</f>
        <v>2.4087770351843987</v>
      </c>
      <c r="K11" s="228"/>
      <c r="L11" s="228"/>
      <c r="M11" s="295" t="s">
        <v>311</v>
      </c>
      <c r="Q11" s="35"/>
    </row>
    <row r="12" spans="1:47">
      <c r="A12" s="1" t="s">
        <v>312</v>
      </c>
      <c r="B12" s="30"/>
      <c r="C12" s="30"/>
      <c r="D12" s="30"/>
      <c r="E12" s="39">
        <f>'Bilan d''énergie SDES historique'!D254</f>
        <v>56.238355849154239</v>
      </c>
      <c r="F12" s="39">
        <f>'Bilan d''énergie SDES historique'!D222</f>
        <v>56.215611545266093</v>
      </c>
      <c r="G12" s="39">
        <f>'Bilan d''énergie SDES historique'!D190</f>
        <v>54.877525491674454</v>
      </c>
      <c r="H12" s="39">
        <f>'Bilan d''énergie SDES historique'!D158</f>
        <v>56.911259134639486</v>
      </c>
      <c r="I12" s="39">
        <f>'Bilan d''énergie SDES historique'!D126</f>
        <v>59.020361929064443</v>
      </c>
      <c r="J12" s="39">
        <f>'Bilan d''énergie SDES historique'!D94</f>
        <v>61.207627017999997</v>
      </c>
      <c r="K12" s="39">
        <f>'Bilan d''énergie SDES historique'!D62</f>
        <v>64.653666666666666</v>
      </c>
      <c r="L12" s="139">
        <f>'Bilan d''énergie SDES historique'!D30</f>
        <v>45.036322347189625</v>
      </c>
      <c r="M12" s="295" t="s">
        <v>411</v>
      </c>
      <c r="Q12" s="35"/>
    </row>
    <row r="13" spans="1:47">
      <c r="A13" s="1" t="s">
        <v>313</v>
      </c>
      <c r="B13" s="30"/>
      <c r="C13" s="30"/>
      <c r="D13" s="30"/>
      <c r="E13" s="39">
        <f>'Bilan d''énergie SDES historique'!H254</f>
        <v>1.0506930035066269</v>
      </c>
      <c r="F13" s="39">
        <f>'Bilan d''énergie SDES historique'!H222</f>
        <v>1.0549807102772233</v>
      </c>
      <c r="G13" s="39">
        <f>'Bilan d''énergie SDES historique'!H190</f>
        <v>1.1331342035228085</v>
      </c>
      <c r="H13" s="39">
        <f>'Bilan d''énergie SDES historique'!H158</f>
        <v>0.96052669463628371</v>
      </c>
      <c r="I13" s="39">
        <f>'Bilan d''énergie SDES historique'!H126</f>
        <v>0.87242106984540335</v>
      </c>
      <c r="J13" s="39">
        <f>'Bilan d''énergie SDES historique'!H94</f>
        <v>1.1185442080588599</v>
      </c>
      <c r="K13" s="39">
        <f>'Bilan d''énergie SDES historique'!H62</f>
        <v>0.55405734944624696</v>
      </c>
      <c r="L13" s="139">
        <f>'Bilan d''énergie SDES historique'!H30</f>
        <v>0.68674226270566097</v>
      </c>
      <c r="M13" s="295" t="s">
        <v>411</v>
      </c>
      <c r="Q13" s="35"/>
    </row>
    <row r="14" spans="1:47">
      <c r="M14" s="164"/>
      <c r="N14" s="165"/>
    </row>
    <row r="15" spans="1:47">
      <c r="A15" s="447" t="s">
        <v>147</v>
      </c>
      <c r="B15" s="447"/>
      <c r="C15" s="447"/>
      <c r="D15" s="447"/>
      <c r="E15" s="447"/>
      <c r="F15" s="447"/>
      <c r="G15" s="447"/>
      <c r="H15" s="447"/>
      <c r="I15" s="447"/>
      <c r="J15" s="447"/>
      <c r="K15" s="447"/>
      <c r="L15" s="447"/>
      <c r="M15" s="447"/>
      <c r="AI15" s="447" t="s">
        <v>148</v>
      </c>
      <c r="AJ15" s="447"/>
      <c r="AK15" s="447"/>
      <c r="AL15" s="447"/>
      <c r="AM15" s="447"/>
      <c r="AN15" s="447"/>
      <c r="AO15" s="447"/>
      <c r="AP15" s="447"/>
      <c r="AQ15" s="447"/>
      <c r="AR15" s="447"/>
      <c r="AS15" s="447"/>
      <c r="AT15" s="447"/>
      <c r="AU15" s="447"/>
    </row>
    <row r="17" spans="1:47">
      <c r="A17" s="35"/>
      <c r="B17" s="477">
        <v>2019</v>
      </c>
      <c r="C17" s="477"/>
      <c r="D17" s="477"/>
      <c r="E17" s="476">
        <v>2020</v>
      </c>
      <c r="F17" s="476"/>
      <c r="G17" s="476"/>
      <c r="H17" s="476">
        <v>2025</v>
      </c>
      <c r="I17" s="476"/>
      <c r="J17" s="476"/>
      <c r="K17" s="476">
        <v>2030</v>
      </c>
      <c r="L17" s="476"/>
      <c r="M17" s="476"/>
      <c r="N17" s="476">
        <v>2035</v>
      </c>
      <c r="O17" s="476"/>
      <c r="P17" s="476"/>
      <c r="Q17" s="476">
        <v>2040</v>
      </c>
      <c r="R17" s="476"/>
      <c r="S17" s="476"/>
      <c r="T17" s="476">
        <v>2045</v>
      </c>
      <c r="U17" s="476"/>
      <c r="V17" s="476"/>
      <c r="W17" s="476">
        <v>2050</v>
      </c>
      <c r="X17" s="476"/>
      <c r="Y17" s="476"/>
      <c r="AI17" s="35"/>
      <c r="AJ17" s="477">
        <v>2015</v>
      </c>
      <c r="AK17" s="477"/>
      <c r="AL17" s="477"/>
      <c r="AM17" s="485">
        <v>2017</v>
      </c>
      <c r="AN17" s="485"/>
      <c r="AO17" s="485"/>
      <c r="AP17" s="476">
        <v>2050</v>
      </c>
      <c r="AQ17" s="476"/>
      <c r="AR17" s="476"/>
    </row>
    <row r="18" spans="1:47" ht="28.8">
      <c r="A18" s="35"/>
      <c r="B18" s="41" t="s">
        <v>314</v>
      </c>
      <c r="C18" s="41" t="s">
        <v>315</v>
      </c>
      <c r="D18" s="166" t="s">
        <v>316</v>
      </c>
      <c r="E18" s="167" t="s">
        <v>314</v>
      </c>
      <c r="F18" s="41" t="s">
        <v>315</v>
      </c>
      <c r="G18" s="166" t="s">
        <v>316</v>
      </c>
      <c r="H18" s="167" t="s">
        <v>314</v>
      </c>
      <c r="I18" s="41" t="s">
        <v>315</v>
      </c>
      <c r="J18" s="166" t="s">
        <v>316</v>
      </c>
      <c r="K18" s="167" t="s">
        <v>314</v>
      </c>
      <c r="L18" s="41" t="s">
        <v>315</v>
      </c>
      <c r="M18" s="166" t="s">
        <v>316</v>
      </c>
      <c r="N18" s="167" t="s">
        <v>314</v>
      </c>
      <c r="O18" s="41" t="s">
        <v>315</v>
      </c>
      <c r="P18" s="166" t="s">
        <v>316</v>
      </c>
      <c r="Q18" s="167" t="s">
        <v>314</v>
      </c>
      <c r="R18" s="41" t="s">
        <v>315</v>
      </c>
      <c r="S18" s="166" t="s">
        <v>316</v>
      </c>
      <c r="T18" s="167" t="s">
        <v>314</v>
      </c>
      <c r="U18" s="41" t="s">
        <v>315</v>
      </c>
      <c r="V18" s="166" t="s">
        <v>316</v>
      </c>
      <c r="W18" s="167" t="s">
        <v>314</v>
      </c>
      <c r="X18" s="41" t="s">
        <v>315</v>
      </c>
      <c r="Y18" s="166" t="s">
        <v>316</v>
      </c>
      <c r="AI18" s="35"/>
      <c r="AJ18" s="41" t="s">
        <v>314</v>
      </c>
      <c r="AK18" s="41" t="s">
        <v>315</v>
      </c>
      <c r="AL18" s="166" t="s">
        <v>316</v>
      </c>
      <c r="AM18" s="167" t="s">
        <v>314</v>
      </c>
      <c r="AN18" s="41" t="s">
        <v>315</v>
      </c>
      <c r="AO18" s="166" t="s">
        <v>316</v>
      </c>
      <c r="AP18" s="167" t="s">
        <v>314</v>
      </c>
      <c r="AQ18" s="41" t="s">
        <v>315</v>
      </c>
      <c r="AR18" s="166" t="s">
        <v>316</v>
      </c>
    </row>
    <row r="19" spans="1:47">
      <c r="A19" s="168" t="s">
        <v>302</v>
      </c>
      <c r="B19" s="41">
        <v>1</v>
      </c>
      <c r="C19" s="169">
        <v>1</v>
      </c>
      <c r="D19" s="170">
        <f>K6</f>
        <v>43.805999999999997</v>
      </c>
      <c r="E19" s="171">
        <f>$B19+($W19-$B19)*1/31</f>
        <v>1.0048387096774194</v>
      </c>
      <c r="F19" s="172">
        <f>$C19+($X19-$C19)*1/31</f>
        <v>0.99838709677419357</v>
      </c>
      <c r="G19" s="170">
        <f>$D$19*E19*F19</f>
        <v>43.946967799167538</v>
      </c>
      <c r="H19" s="171">
        <f>$B$19+($W$19-$B$19)*6/31</f>
        <v>1.0290322580645161</v>
      </c>
      <c r="I19" s="172">
        <f>$C$19+($X$19-$C$19)*6/31</f>
        <v>0.99032258064516132</v>
      </c>
      <c r="J19" s="170">
        <f>$D$19*H19*I19</f>
        <v>44.641550447450577</v>
      </c>
      <c r="K19" s="171">
        <f>$B$19+($W$19-$B$19)*11/31</f>
        <v>1.0532258064516129</v>
      </c>
      <c r="L19" s="172">
        <f>$C$19+($X$19-$C$19)*11/31</f>
        <v>0.98225806451612907</v>
      </c>
      <c r="M19" s="170">
        <f>$D$19*K19*L19</f>
        <v>45.319039183142557</v>
      </c>
      <c r="N19" s="171">
        <f>$B$19+($W$19-$B$19)*16/31</f>
        <v>1.0774193548387097</v>
      </c>
      <c r="O19" s="172">
        <f>$C$19+($X$19-$C$19)*16/31</f>
        <v>0.97419354838709671</v>
      </c>
      <c r="P19" s="170">
        <f>$D$19*N19*O19</f>
        <v>45.979434006243487</v>
      </c>
      <c r="Q19" s="171">
        <f>$B$19+($W$19-$B$19)*21/31</f>
        <v>1.1016129032258064</v>
      </c>
      <c r="R19" s="172">
        <f>$C$19+($X$19-$C$19)*21/31</f>
        <v>0.96612903225806446</v>
      </c>
      <c r="S19" s="170">
        <f>$D$19*Q19*R19</f>
        <v>46.622734916753373</v>
      </c>
      <c r="T19" s="171">
        <f>$B$19+($W$19-$B$19)*26/31</f>
        <v>1.1258064516129032</v>
      </c>
      <c r="U19" s="172">
        <f>$C$19+($X$19-$C$19)*26/31</f>
        <v>0.95806451612903221</v>
      </c>
      <c r="V19" s="170">
        <f>$D$19*T19*U19</f>
        <v>47.248941914672208</v>
      </c>
      <c r="W19" s="173">
        <v>1.1499999999999999</v>
      </c>
      <c r="X19" s="174">
        <v>0.95</v>
      </c>
      <c r="Y19" s="40">
        <f>D19*X19*W19</f>
        <v>47.858054999999993</v>
      </c>
      <c r="AI19" s="168" t="s">
        <v>326</v>
      </c>
      <c r="AJ19" s="383">
        <v>4.5</v>
      </c>
      <c r="AK19" s="396">
        <v>0.95</v>
      </c>
      <c r="AL19" s="397">
        <v>146.69999999999999</v>
      </c>
      <c r="AM19" s="167"/>
      <c r="AN19" s="180"/>
      <c r="AO19" s="201"/>
      <c r="AP19" s="398"/>
      <c r="AQ19" s="299"/>
      <c r="AR19" s="399">
        <v>641.25</v>
      </c>
    </row>
    <row r="20" spans="1:47">
      <c r="A20" s="168" t="s">
        <v>304</v>
      </c>
      <c r="B20" s="41">
        <v>1</v>
      </c>
      <c r="C20" s="169">
        <v>1</v>
      </c>
      <c r="D20" s="170">
        <f>K7</f>
        <v>35.325000000000003</v>
      </c>
      <c r="E20" s="171">
        <f>$B20+($W20-$B20)*1/31</f>
        <v>1.0048387096774194</v>
      </c>
      <c r="F20" s="172">
        <f>$C20+($X20-$C20)*1/31</f>
        <v>1</v>
      </c>
      <c r="G20" s="170">
        <f>$D$20*E20*F20</f>
        <v>35.495927419354842</v>
      </c>
      <c r="H20" s="171">
        <f>$B$20+($W$20-$B$20)*6/31</f>
        <v>1.0290322580645161</v>
      </c>
      <c r="I20" s="172">
        <f>$C$20+($X$20-$C$20)*6/31</f>
        <v>1</v>
      </c>
      <c r="J20" s="170">
        <f>$D$20*H20*I20</f>
        <v>36.350564516129033</v>
      </c>
      <c r="K20" s="171">
        <f>$B$20+($W$20-$B$20)*11/31</f>
        <v>1.0532258064516129</v>
      </c>
      <c r="L20" s="172">
        <f>$C$20+($X$20-$C$20)*11/31</f>
        <v>1</v>
      </c>
      <c r="M20" s="170">
        <f>$D$20*K20*L20</f>
        <v>37.205201612903231</v>
      </c>
      <c r="N20" s="171">
        <f>$B$20+($W$20-$B$20)*16/31</f>
        <v>1.0774193548387097</v>
      </c>
      <c r="O20" s="172">
        <f>$C$20+($X$20-$C$20)*16/31</f>
        <v>1</v>
      </c>
      <c r="P20" s="170">
        <f>$D$20*N20*O20</f>
        <v>38.059838709677422</v>
      </c>
      <c r="Q20" s="171">
        <f>$B$20+($W$20-$B$20)*21/31</f>
        <v>1.1016129032258064</v>
      </c>
      <c r="R20" s="172">
        <f>$C$20+($X$20-$C$20)*21/31</f>
        <v>1</v>
      </c>
      <c r="S20" s="170">
        <f>$D$20*Q20*R20</f>
        <v>38.914475806451613</v>
      </c>
      <c r="T20" s="171">
        <f>$B$20+($W$20-$B$20)*26/31</f>
        <v>1.1258064516129032</v>
      </c>
      <c r="U20" s="172">
        <f>$C$20+($X$20-$C$20)*26/31</f>
        <v>1</v>
      </c>
      <c r="V20" s="170">
        <f>$D$20*T20*U20</f>
        <v>39.76911290322581</v>
      </c>
      <c r="W20" s="173">
        <v>1.1499999999999999</v>
      </c>
      <c r="X20" s="174">
        <v>1</v>
      </c>
      <c r="Y20" s="40">
        <f>D20*X20*W20</f>
        <v>40.623750000000001</v>
      </c>
      <c r="AI20" s="168" t="s">
        <v>327</v>
      </c>
      <c r="AJ20" s="383">
        <v>4.5</v>
      </c>
      <c r="AK20" s="396">
        <v>1</v>
      </c>
      <c r="AL20" s="397">
        <v>1647</v>
      </c>
      <c r="AM20" s="167"/>
      <c r="AN20" s="180"/>
      <c r="AO20" s="201"/>
      <c r="AP20" s="398"/>
      <c r="AQ20" s="299"/>
      <c r="AR20" s="399">
        <v>7744.5</v>
      </c>
    </row>
    <row r="21" spans="1:47">
      <c r="A21" s="168" t="s">
        <v>306</v>
      </c>
      <c r="B21" s="41"/>
      <c r="C21" s="169"/>
      <c r="D21" s="170">
        <f>K8</f>
        <v>79.131</v>
      </c>
      <c r="E21" s="175"/>
      <c r="F21" s="176"/>
      <c r="G21" s="170">
        <f>SUM(G19:G20)</f>
        <v>79.442895218522381</v>
      </c>
      <c r="H21" s="175"/>
      <c r="I21" s="176"/>
      <c r="J21" s="170">
        <f>SUM(J19:J20)</f>
        <v>80.99211496357961</v>
      </c>
      <c r="K21" s="175"/>
      <c r="L21" s="176"/>
      <c r="M21" s="170">
        <f>SUM(M19:M20)</f>
        <v>82.524240796045788</v>
      </c>
      <c r="N21" s="175"/>
      <c r="O21" s="176"/>
      <c r="P21" s="170">
        <f>SUM(P19:P20)</f>
        <v>84.039272715920902</v>
      </c>
      <c r="Q21" s="175"/>
      <c r="R21" s="176"/>
      <c r="S21" s="170">
        <f>SUM(S19:S20)</f>
        <v>85.537210723204993</v>
      </c>
      <c r="T21" s="177"/>
      <c r="U21" s="178"/>
      <c r="V21" s="170">
        <f>SUM(V19:V20)</f>
        <v>87.018054817898019</v>
      </c>
      <c r="W21" s="173"/>
      <c r="X21" s="174"/>
      <c r="Y21" s="40">
        <f>SUM(Y19:Y20)</f>
        <v>88.481804999999994</v>
      </c>
      <c r="AI21" s="168" t="s">
        <v>23</v>
      </c>
      <c r="AJ21" s="383"/>
      <c r="AK21" s="396"/>
      <c r="AL21" s="397">
        <v>84.9</v>
      </c>
      <c r="AM21" s="167"/>
      <c r="AN21" s="180"/>
      <c r="AO21" s="201"/>
      <c r="AP21" s="398"/>
      <c r="AQ21" s="299"/>
      <c r="AR21" s="399">
        <v>384.7</v>
      </c>
    </row>
    <row r="22" spans="1:47">
      <c r="A22" s="168" t="s">
        <v>308</v>
      </c>
      <c r="B22" s="41"/>
      <c r="C22" s="169"/>
      <c r="D22" s="170">
        <f>K9</f>
        <v>80.831000000000003</v>
      </c>
      <c r="E22" s="175"/>
      <c r="F22" s="176"/>
      <c r="G22" s="170">
        <f>G21+5.5</f>
        <v>84.942895218522381</v>
      </c>
      <c r="H22" s="175"/>
      <c r="I22" s="176"/>
      <c r="J22" s="170">
        <f>J21+5.5</f>
        <v>86.49211496357961</v>
      </c>
      <c r="K22" s="175"/>
      <c r="L22" s="176"/>
      <c r="M22" s="170">
        <f>M21+5.5</f>
        <v>88.024240796045788</v>
      </c>
      <c r="N22" s="175"/>
      <c r="O22" s="176"/>
      <c r="P22" s="170">
        <f>P21+5.5</f>
        <v>89.539272715920902</v>
      </c>
      <c r="Q22" s="175"/>
      <c r="R22" s="176"/>
      <c r="S22" s="179">
        <f>S21+5.5</f>
        <v>91.037210723204993</v>
      </c>
      <c r="T22" s="177"/>
      <c r="U22" s="178"/>
      <c r="V22" s="179">
        <f>V21+5.5</f>
        <v>92.518054817898019</v>
      </c>
      <c r="W22" s="173"/>
      <c r="X22" s="174"/>
      <c r="Y22" s="40">
        <f>Y21+9</f>
        <v>97.481804999999994</v>
      </c>
      <c r="Z22" s="4"/>
      <c r="AI22" s="168" t="s">
        <v>328</v>
      </c>
      <c r="AJ22" s="383"/>
      <c r="AK22" s="396"/>
      <c r="AL22" s="397">
        <v>88.9</v>
      </c>
      <c r="AM22" s="167"/>
      <c r="AN22" s="180"/>
      <c r="AO22" s="201"/>
      <c r="AP22" s="398"/>
      <c r="AQ22" s="299"/>
      <c r="AR22" s="399">
        <v>388.7</v>
      </c>
    </row>
    <row r="23" spans="1:47">
      <c r="A23" s="448" t="s">
        <v>509</v>
      </c>
      <c r="B23" s="449"/>
      <c r="C23" s="449"/>
      <c r="D23" s="449"/>
      <c r="E23" s="449"/>
      <c r="F23" s="449"/>
      <c r="G23" s="449"/>
      <c r="H23" s="449"/>
      <c r="I23" s="449"/>
      <c r="J23" s="449"/>
      <c r="K23" s="449"/>
      <c r="L23" s="449"/>
      <c r="M23" s="449"/>
      <c r="N23" s="449"/>
      <c r="O23" s="449"/>
      <c r="P23" s="449"/>
      <c r="Q23" s="449"/>
      <c r="R23" s="449"/>
      <c r="S23" s="449"/>
      <c r="T23" s="449"/>
      <c r="U23" s="449"/>
      <c r="V23" s="449"/>
      <c r="W23" s="449"/>
      <c r="X23" s="449"/>
      <c r="Y23" s="449"/>
      <c r="AI23" s="168"/>
      <c r="AJ23" s="180"/>
      <c r="AK23" s="180"/>
      <c r="AL23" s="180"/>
      <c r="AM23" s="180"/>
      <c r="AN23" s="180"/>
      <c r="AO23" s="180"/>
      <c r="AP23" s="180"/>
      <c r="AQ23" s="180"/>
      <c r="AR23" s="180"/>
      <c r="AS23" s="202"/>
      <c r="AT23" s="202"/>
      <c r="AU23" s="202"/>
    </row>
    <row r="24" spans="1:47">
      <c r="A24" s="478" t="s">
        <v>317</v>
      </c>
      <c r="B24" s="478"/>
      <c r="C24" s="478"/>
      <c r="D24" s="478"/>
      <c r="E24" s="478"/>
      <c r="F24" s="478"/>
      <c r="G24" s="478"/>
      <c r="H24" s="478"/>
      <c r="I24" s="478"/>
      <c r="J24" s="478"/>
      <c r="K24" s="478"/>
      <c r="L24" s="478"/>
      <c r="M24" s="478"/>
      <c r="N24" s="478"/>
      <c r="O24" s="478"/>
      <c r="P24" s="478"/>
      <c r="Q24" s="478"/>
      <c r="R24" s="478"/>
      <c r="S24" s="478"/>
      <c r="T24" s="478"/>
      <c r="U24" s="478"/>
      <c r="V24" s="478"/>
      <c r="W24" s="478"/>
      <c r="X24" s="478"/>
      <c r="Y24" s="478"/>
      <c r="AI24" s="486" t="s">
        <v>317</v>
      </c>
      <c r="AJ24" s="486"/>
      <c r="AK24" s="486"/>
      <c r="AL24" s="486"/>
      <c r="AM24" s="486"/>
      <c r="AN24" s="486"/>
      <c r="AO24" s="486"/>
      <c r="AP24" s="486"/>
      <c r="AQ24" s="486"/>
      <c r="AR24" s="486"/>
      <c r="AS24" s="76"/>
      <c r="AT24" s="76"/>
      <c r="AU24" s="76"/>
    </row>
    <row r="25" spans="1:47">
      <c r="A25" s="76"/>
      <c r="B25" s="477">
        <v>2019</v>
      </c>
      <c r="C25" s="477"/>
      <c r="D25" s="477"/>
      <c r="E25" s="476">
        <v>2020</v>
      </c>
      <c r="F25" s="476"/>
      <c r="G25" s="476"/>
      <c r="H25" s="476">
        <v>2025</v>
      </c>
      <c r="I25" s="476"/>
      <c r="J25" s="476"/>
      <c r="K25" s="476">
        <v>2030</v>
      </c>
      <c r="L25" s="476"/>
      <c r="M25" s="476"/>
      <c r="N25" s="476">
        <v>2035</v>
      </c>
      <c r="O25" s="476"/>
      <c r="P25" s="476"/>
      <c r="Q25" s="476">
        <v>2040</v>
      </c>
      <c r="R25" s="476"/>
      <c r="S25" s="476"/>
      <c r="T25" s="476">
        <v>2045</v>
      </c>
      <c r="U25" s="476"/>
      <c r="V25" s="476"/>
      <c r="W25" s="476">
        <v>2050</v>
      </c>
      <c r="X25" s="476"/>
      <c r="Y25" s="476"/>
      <c r="AI25" s="76"/>
      <c r="AJ25" s="477">
        <v>2015</v>
      </c>
      <c r="AK25" s="477"/>
      <c r="AL25" s="477"/>
      <c r="AM25" s="485">
        <v>2018</v>
      </c>
      <c r="AN25" s="485"/>
      <c r="AO25" s="485"/>
      <c r="AP25" s="476">
        <v>2050</v>
      </c>
      <c r="AQ25" s="476"/>
      <c r="AR25" s="476"/>
    </row>
    <row r="26" spans="1:47" ht="43.2">
      <c r="A26" s="76"/>
      <c r="B26" s="41" t="s">
        <v>314</v>
      </c>
      <c r="C26" s="41" t="s">
        <v>318</v>
      </c>
      <c r="D26" s="166" t="s">
        <v>319</v>
      </c>
      <c r="E26" s="167" t="s">
        <v>314</v>
      </c>
      <c r="F26" s="41" t="s">
        <v>318</v>
      </c>
      <c r="G26" s="166" t="s">
        <v>319</v>
      </c>
      <c r="H26" s="167" t="s">
        <v>314</v>
      </c>
      <c r="I26" s="41" t="s">
        <v>318</v>
      </c>
      <c r="J26" s="166" t="s">
        <v>319</v>
      </c>
      <c r="K26" s="167" t="s">
        <v>314</v>
      </c>
      <c r="L26" s="41" t="s">
        <v>318</v>
      </c>
      <c r="M26" s="166" t="s">
        <v>319</v>
      </c>
      <c r="N26" s="167" t="s">
        <v>314</v>
      </c>
      <c r="O26" s="41" t="s">
        <v>318</v>
      </c>
      <c r="P26" s="166" t="s">
        <v>319</v>
      </c>
      <c r="Q26" s="167" t="s">
        <v>314</v>
      </c>
      <c r="R26" s="41" t="s">
        <v>318</v>
      </c>
      <c r="S26" s="166" t="s">
        <v>319</v>
      </c>
      <c r="T26" s="167" t="s">
        <v>314</v>
      </c>
      <c r="U26" s="41" t="s">
        <v>318</v>
      </c>
      <c r="V26" s="166" t="s">
        <v>319</v>
      </c>
      <c r="W26" s="167" t="s">
        <v>314</v>
      </c>
      <c r="X26" s="41" t="s">
        <v>318</v>
      </c>
      <c r="Y26" s="166" t="s">
        <v>319</v>
      </c>
      <c r="AI26" s="76"/>
      <c r="AJ26" s="41" t="s">
        <v>314</v>
      </c>
      <c r="AK26" s="41" t="s">
        <v>318</v>
      </c>
      <c r="AL26" s="166" t="s">
        <v>319</v>
      </c>
      <c r="AM26" s="167" t="s">
        <v>314</v>
      </c>
      <c r="AN26" s="41" t="s">
        <v>318</v>
      </c>
      <c r="AO26" s="166" t="s">
        <v>319</v>
      </c>
      <c r="AP26" s="167" t="s">
        <v>314</v>
      </c>
      <c r="AQ26" s="41" t="s">
        <v>318</v>
      </c>
      <c r="AR26" s="166" t="s">
        <v>319</v>
      </c>
    </row>
    <row r="27" spans="1:47">
      <c r="A27" s="30" t="s">
        <v>320</v>
      </c>
      <c r="B27" s="36">
        <v>1</v>
      </c>
      <c r="C27" s="181">
        <v>1</v>
      </c>
      <c r="D27" s="182">
        <f>K12</f>
        <v>64.653666666666666</v>
      </c>
      <c r="E27" s="171">
        <f>$B27+($W27-$B27)*1/31</f>
        <v>1.0048387096774194</v>
      </c>
      <c r="F27" s="172">
        <f>$C27+($X27-$C27)*1/31</f>
        <v>0.99838709677419357</v>
      </c>
      <c r="G27" s="183">
        <v>84</v>
      </c>
      <c r="H27" s="171">
        <f>$B27+($W27-$B27)*6/31</f>
        <v>1.0290322580645161</v>
      </c>
      <c r="I27" s="172">
        <f>$C27+($X27-$C27)*6/31</f>
        <v>0.99032258064516132</v>
      </c>
      <c r="J27" s="183">
        <f>$D$27*H27*I27</f>
        <v>65.88686303503296</v>
      </c>
      <c r="K27" s="171">
        <f>$B27+($W27-$B27)*11/31</f>
        <v>1.0532258064516129</v>
      </c>
      <c r="L27" s="172">
        <f>$C27+($X27-$C27)*11/31</f>
        <v>0.98225806451612907</v>
      </c>
      <c r="M27" s="183">
        <f>$D$27*K27*L27</f>
        <v>66.886774711238289</v>
      </c>
      <c r="N27" s="171">
        <f>$B27+($W27-$B27)*16/31</f>
        <v>1.0774193548387097</v>
      </c>
      <c r="O27" s="172">
        <f>$C27+($X27-$C27)*16/31</f>
        <v>0.97419354838709671</v>
      </c>
      <c r="P27" s="183">
        <f>$D$27*N27*O27</f>
        <v>67.861457329171003</v>
      </c>
      <c r="Q27" s="171">
        <f>$B27+($W27-$B27)*21/31</f>
        <v>1.1016129032258064</v>
      </c>
      <c r="R27" s="172">
        <f>$C27+($X27-$C27)*21/31</f>
        <v>0.96612903225806446</v>
      </c>
      <c r="S27" s="183">
        <f>$D$27*Q27*R27</f>
        <v>68.810910888831074</v>
      </c>
      <c r="T27" s="171">
        <f>$B27+($W27-$B27)*26/31</f>
        <v>1.1258064516129032</v>
      </c>
      <c r="U27" s="172">
        <f>$C27+($X27-$C27)*26/31</f>
        <v>0.95806451612903221</v>
      </c>
      <c r="V27" s="183">
        <f>$D$27*T27*U27</f>
        <v>69.735135390218517</v>
      </c>
      <c r="W27" s="184">
        <v>1.1499999999999999</v>
      </c>
      <c r="X27" s="185">
        <v>0.95</v>
      </c>
      <c r="Y27" s="186">
        <f>D27*W27*X27</f>
        <v>70.63413083333333</v>
      </c>
      <c r="AI27" s="36" t="s">
        <v>320</v>
      </c>
      <c r="AJ27" s="36"/>
      <c r="AK27" s="181"/>
      <c r="AL27" s="203"/>
      <c r="AM27" s="400">
        <v>4.5</v>
      </c>
      <c r="AN27" s="401">
        <v>0.9</v>
      </c>
      <c r="AO27" s="402">
        <v>5.2629999999999999</v>
      </c>
      <c r="AP27" s="400">
        <v>4.5</v>
      </c>
      <c r="AQ27" s="401">
        <v>0.9</v>
      </c>
      <c r="AR27" s="402">
        <v>21.315149999999999</v>
      </c>
    </row>
    <row r="28" spans="1:47">
      <c r="A28" s="30" t="s">
        <v>321</v>
      </c>
      <c r="B28" s="30">
        <v>1</v>
      </c>
      <c r="C28" s="30">
        <v>1</v>
      </c>
      <c r="D28" s="179">
        <f>K13</f>
        <v>0.55405734944624696</v>
      </c>
      <c r="E28" s="171">
        <f>$B28+($W28-$B28)*1/31</f>
        <v>1.0048387096774194</v>
      </c>
      <c r="F28" s="172">
        <f>$C28+($X28-$C28)*1/31</f>
        <v>0.99838709677419357</v>
      </c>
      <c r="G28" s="183">
        <v>20</v>
      </c>
      <c r="H28" s="171">
        <f>$B28+($W28-$B28)*6/31</f>
        <v>1.0290322580645161</v>
      </c>
      <c r="I28" s="172">
        <f>$C28+($X28-$C28)*6/31</f>
        <v>0.99032258064516132</v>
      </c>
      <c r="J28" s="183">
        <f>$D$28*H28*I28</f>
        <v>0.56462537360373888</v>
      </c>
      <c r="K28" s="171">
        <f>$B28+($W28-$B28)*11/31</f>
        <v>1.0532258064516129</v>
      </c>
      <c r="L28" s="172">
        <f>$C28+($X28-$C28)*11/31</f>
        <v>0.98225806451612907</v>
      </c>
      <c r="M28" s="183">
        <f>$D$28*K28*L28</f>
        <v>0.5731942366174172</v>
      </c>
      <c r="N28" s="171">
        <f>$B28+($W28-$B28)*16/31</f>
        <v>1.0774193548387097</v>
      </c>
      <c r="O28" s="172">
        <f>$C28+($X28-$C28)*16/31</f>
        <v>0.97419354838709671</v>
      </c>
      <c r="P28" s="183">
        <f>$D$28*N28*O28</f>
        <v>0.58154689619088484</v>
      </c>
      <c r="Q28" s="171">
        <f>$B28+($W28-$B28)*21/31</f>
        <v>1.1016129032258064</v>
      </c>
      <c r="R28" s="172">
        <f>$C28+($X28-$C28)*21/31</f>
        <v>0.96612903225806446</v>
      </c>
      <c r="S28" s="183">
        <f>$D$28*Q28*R28</f>
        <v>0.58968335232414204</v>
      </c>
      <c r="T28" s="171">
        <f>$B28+($W28-$B28)*26/31</f>
        <v>1.1258064516129032</v>
      </c>
      <c r="U28" s="172">
        <f>$C28+($X28-$C28)*26/31</f>
        <v>0.95806451612903221</v>
      </c>
      <c r="V28" s="183">
        <f>$D$28*T28*U28</f>
        <v>0.59760360501718868</v>
      </c>
      <c r="W28" s="30">
        <v>1.1499999999999999</v>
      </c>
      <c r="X28" s="30">
        <v>0.95</v>
      </c>
      <c r="Y28" s="186">
        <f>D28*W28*X28</f>
        <v>0.60530765427002464</v>
      </c>
      <c r="AI28" s="30" t="s">
        <v>321</v>
      </c>
      <c r="AJ28" s="30"/>
      <c r="AK28" s="30"/>
      <c r="AL28" s="37"/>
      <c r="AM28" s="339"/>
      <c r="AN28" s="228"/>
      <c r="AO28" s="399"/>
      <c r="AP28" s="228"/>
      <c r="AQ28" s="228"/>
      <c r="AR28" s="399"/>
    </row>
    <row r="29" spans="1:47">
      <c r="A29" s="30" t="s">
        <v>23</v>
      </c>
      <c r="B29" s="30"/>
      <c r="C29" s="30"/>
      <c r="D29" s="179">
        <f>SUM(D27:D28)</f>
        <v>65.20772401611292</v>
      </c>
      <c r="E29" s="187"/>
      <c r="F29" s="1"/>
      <c r="G29" s="179">
        <f>SUM(G27:G28)</f>
        <v>104</v>
      </c>
      <c r="H29" s="1"/>
      <c r="I29" s="1"/>
      <c r="J29" s="179">
        <f>SUM(J27:J28)</f>
        <v>66.451488408636692</v>
      </c>
      <c r="K29" s="1"/>
      <c r="L29" s="1"/>
      <c r="M29" s="179">
        <f>SUM(M27:M28)</f>
        <v>67.4599689478557</v>
      </c>
      <c r="N29" s="1"/>
      <c r="O29" s="1"/>
      <c r="P29" s="179">
        <f>SUM(P27:P28)</f>
        <v>68.443004225361889</v>
      </c>
      <c r="Q29" s="1"/>
      <c r="R29" s="1"/>
      <c r="S29" s="179">
        <f>SUM(S27:S28)</f>
        <v>69.400594241155218</v>
      </c>
      <c r="T29" s="1"/>
      <c r="U29" s="1"/>
      <c r="V29" s="179">
        <f>SUM(V27:V28)</f>
        <v>70.332738995235701</v>
      </c>
      <c r="W29" s="30"/>
      <c r="X29" s="30"/>
      <c r="Y29" s="40">
        <f>SUM(Y27:Y28)</f>
        <v>71.239438487603351</v>
      </c>
      <c r="AI29" s="35" t="s">
        <v>23</v>
      </c>
      <c r="AJ29" s="30"/>
      <c r="AK29" s="30"/>
      <c r="AL29" s="37"/>
      <c r="AM29" s="339"/>
      <c r="AN29" s="228"/>
      <c r="AO29" s="399"/>
      <c r="AP29" s="228"/>
      <c r="AQ29" s="228"/>
      <c r="AR29" s="399"/>
    </row>
    <row r="30" spans="1:47">
      <c r="A30" s="453" t="s">
        <v>451</v>
      </c>
      <c r="B30" s="453"/>
      <c r="C30" s="453"/>
      <c r="D30" s="453"/>
      <c r="E30" s="453"/>
      <c r="F30" s="453"/>
      <c r="G30" s="453"/>
      <c r="H30" s="453"/>
      <c r="I30" s="453"/>
      <c r="J30" s="453"/>
      <c r="K30" s="453"/>
      <c r="L30" s="453"/>
      <c r="M30" s="453"/>
      <c r="N30" s="453"/>
      <c r="O30" s="453"/>
      <c r="P30" s="453"/>
      <c r="Q30" s="453"/>
      <c r="R30" s="453"/>
      <c r="S30" s="453"/>
      <c r="T30" s="453"/>
      <c r="U30" s="453"/>
      <c r="V30" s="453"/>
      <c r="W30" s="453"/>
      <c r="X30" s="453"/>
      <c r="Y30" s="453"/>
      <c r="AI30" s="35"/>
      <c r="AJ30" s="35"/>
      <c r="AK30" s="35"/>
      <c r="AL30" s="35"/>
      <c r="AM30" s="35"/>
      <c r="AN30" s="35"/>
      <c r="AO30" s="35"/>
      <c r="AP30" s="35"/>
      <c r="AQ30" s="35"/>
      <c r="AR30" s="35"/>
      <c r="AS30" s="35"/>
      <c r="AT30" s="35"/>
      <c r="AU30" s="35"/>
    </row>
    <row r="31" spans="1:47">
      <c r="A31" s="447" t="s">
        <v>150</v>
      </c>
      <c r="B31" s="447"/>
      <c r="C31" s="447"/>
      <c r="D31" s="447"/>
      <c r="E31" s="447"/>
      <c r="F31" s="447"/>
      <c r="G31" s="447"/>
      <c r="H31" s="447"/>
      <c r="I31" s="447"/>
      <c r="J31" s="447"/>
      <c r="K31" s="447"/>
      <c r="L31" s="447"/>
      <c r="M31" s="447"/>
    </row>
    <row r="32" spans="1:47">
      <c r="AI32" s="447" t="s">
        <v>151</v>
      </c>
      <c r="AJ32" s="447"/>
      <c r="AK32" s="447"/>
      <c r="AL32" s="447"/>
      <c r="AM32" s="447"/>
      <c r="AN32" s="447"/>
      <c r="AO32" s="447"/>
      <c r="AP32" s="447"/>
      <c r="AQ32" s="447"/>
      <c r="AR32" s="447"/>
      <c r="AS32" s="447"/>
      <c r="AT32" s="447"/>
      <c r="AU32" s="447"/>
    </row>
    <row r="33" spans="1:41">
      <c r="A33" s="35"/>
      <c r="B33" s="477">
        <v>2019</v>
      </c>
      <c r="C33" s="477"/>
      <c r="D33" s="477"/>
      <c r="E33" s="476">
        <v>2020</v>
      </c>
      <c r="F33" s="476"/>
      <c r="G33" s="476"/>
      <c r="H33" s="476">
        <v>2025</v>
      </c>
      <c r="I33" s="476"/>
      <c r="J33" s="476"/>
      <c r="K33" s="476">
        <v>2030</v>
      </c>
      <c r="L33" s="476"/>
      <c r="M33" s="476"/>
      <c r="N33" s="476">
        <v>2035</v>
      </c>
      <c r="O33" s="476"/>
      <c r="P33" s="476"/>
      <c r="Q33" s="476">
        <v>2040</v>
      </c>
      <c r="R33" s="476"/>
      <c r="S33" s="476"/>
      <c r="T33" s="476">
        <v>2045</v>
      </c>
      <c r="U33" s="476"/>
      <c r="V33" s="476"/>
      <c r="W33" s="476">
        <v>2050</v>
      </c>
      <c r="X33" s="476"/>
      <c r="Y33" s="476"/>
    </row>
    <row r="34" spans="1:41" ht="28.8">
      <c r="A34" s="35"/>
      <c r="B34" s="41" t="s">
        <v>314</v>
      </c>
      <c r="C34" s="41" t="s">
        <v>315</v>
      </c>
      <c r="D34" s="166" t="s">
        <v>316</v>
      </c>
      <c r="E34" s="167" t="s">
        <v>314</v>
      </c>
      <c r="F34" s="41" t="s">
        <v>315</v>
      </c>
      <c r="G34" s="166" t="s">
        <v>316</v>
      </c>
      <c r="H34" s="167" t="s">
        <v>314</v>
      </c>
      <c r="I34" s="41" t="s">
        <v>315</v>
      </c>
      <c r="J34" s="166" t="s">
        <v>316</v>
      </c>
      <c r="K34" s="167" t="s">
        <v>314</v>
      </c>
      <c r="L34" s="41" t="s">
        <v>315</v>
      </c>
      <c r="M34" s="166" t="s">
        <v>316</v>
      </c>
      <c r="N34" s="167" t="s">
        <v>314</v>
      </c>
      <c r="O34" s="41" t="s">
        <v>315</v>
      </c>
      <c r="P34" s="166" t="s">
        <v>316</v>
      </c>
      <c r="Q34" s="167" t="s">
        <v>314</v>
      </c>
      <c r="R34" s="41" t="s">
        <v>315</v>
      </c>
      <c r="S34" s="166" t="s">
        <v>316</v>
      </c>
      <c r="T34" s="167" t="s">
        <v>314</v>
      </c>
      <c r="U34" s="41" t="s">
        <v>315</v>
      </c>
      <c r="V34" s="166" t="s">
        <v>316</v>
      </c>
      <c r="W34" s="167" t="s">
        <v>314</v>
      </c>
      <c r="X34" s="41" t="s">
        <v>315</v>
      </c>
      <c r="Y34" s="166" t="s">
        <v>316</v>
      </c>
      <c r="AI34" s="35"/>
      <c r="AJ34" s="477">
        <v>2015</v>
      </c>
      <c r="AK34" s="477"/>
      <c r="AL34" s="477"/>
      <c r="AM34" s="476">
        <v>2050</v>
      </c>
      <c r="AN34" s="476"/>
      <c r="AO34" s="476"/>
    </row>
    <row r="35" spans="1:41" ht="28.8">
      <c r="A35" s="168" t="s">
        <v>302</v>
      </c>
      <c r="B35" s="41">
        <v>1</v>
      </c>
      <c r="C35" s="169">
        <v>1</v>
      </c>
      <c r="D35" s="162">
        <f>D19</f>
        <v>43.805999999999997</v>
      </c>
      <c r="E35" s="171">
        <f>$B35+($W35-$B35)*1/31</f>
        <v>1.1129032258064515</v>
      </c>
      <c r="F35" s="172">
        <f>$C35+($X35-$C35)*1/31</f>
        <v>0.98774193548387101</v>
      </c>
      <c r="G35" s="170">
        <f>D35*E35*F35</f>
        <v>48.154235525494272</v>
      </c>
      <c r="H35" s="171">
        <f>$B35+($W35-$B35)*6/31</f>
        <v>1.6774193548387095</v>
      </c>
      <c r="I35" s="172">
        <f>$C35+($X35-$C35)*6/31</f>
        <v>0.92645161290322575</v>
      </c>
      <c r="J35" s="170">
        <f>$D$35*H35*I35</f>
        <v>68.076620853277817</v>
      </c>
      <c r="K35" s="171">
        <f>$B35+($W35-$B35)*11/31</f>
        <v>2.241935483870968</v>
      </c>
      <c r="L35" s="172">
        <f>$C35+($X35-$C35)*11/31</f>
        <v>0.86516129032258071</v>
      </c>
      <c r="M35" s="170">
        <f>$D$35*K35*L35</f>
        <v>84.967685681581699</v>
      </c>
      <c r="N35" s="171">
        <f>$B35+($W35-$B35)*16/31</f>
        <v>2.806451612903226</v>
      </c>
      <c r="O35" s="172">
        <f>$C35+($X35-$C35)*16/31</f>
        <v>0.80387096774193545</v>
      </c>
      <c r="P35" s="170">
        <f>$D$35*N35*O35</f>
        <v>98.82743001040582</v>
      </c>
      <c r="Q35" s="171">
        <f>$B35+($W35-$B35)*21/31</f>
        <v>3.370967741935484</v>
      </c>
      <c r="R35" s="172">
        <f>$C35+($X35-$C35)*21/31</f>
        <v>0.7425806451612903</v>
      </c>
      <c r="S35" s="170">
        <f>$D$35*Q35*R35</f>
        <v>109.65585383975025</v>
      </c>
      <c r="T35" s="171">
        <f>$B35+($W35-$B35)*26/31</f>
        <v>3.935483870967742</v>
      </c>
      <c r="U35" s="172">
        <f>$C35+($X35-$C35)*26/31</f>
        <v>0.68129032258064515</v>
      </c>
      <c r="V35" s="170">
        <f>$D$35*T35*U35</f>
        <v>117.45295716961498</v>
      </c>
      <c r="W35" s="173">
        <v>4.5</v>
      </c>
      <c r="X35" s="174">
        <v>0.62</v>
      </c>
      <c r="Y35" s="40">
        <f>D35*W35*X35</f>
        <v>122.21873999999998</v>
      </c>
      <c r="AI35" s="35"/>
      <c r="AJ35" s="41" t="s">
        <v>314</v>
      </c>
      <c r="AK35" s="41" t="s">
        <v>315</v>
      </c>
      <c r="AL35" s="166" t="s">
        <v>316</v>
      </c>
      <c r="AM35" s="167" t="s">
        <v>314</v>
      </c>
      <c r="AN35" s="41" t="s">
        <v>315</v>
      </c>
      <c r="AO35" s="166" t="s">
        <v>316</v>
      </c>
    </row>
    <row r="36" spans="1:41">
      <c r="A36" s="168" t="s">
        <v>304</v>
      </c>
      <c r="B36" s="41">
        <v>1</v>
      </c>
      <c r="C36" s="169">
        <v>1</v>
      </c>
      <c r="D36" s="162">
        <f t="shared" ref="D36:D38" si="1">D20</f>
        <v>35.325000000000003</v>
      </c>
      <c r="E36" s="171">
        <f>$B36+($W36-$B36)*1/31</f>
        <v>1.1129032258064515</v>
      </c>
      <c r="F36" s="172">
        <f>$C36+($X36-$C36)*1/31</f>
        <v>0.99838709677419357</v>
      </c>
      <c r="G36" s="170">
        <f>$D$36*E36*F36</f>
        <v>39.24989789281998</v>
      </c>
      <c r="H36" s="171">
        <f>$B36+($W36-$B36)*6/31</f>
        <v>1.6774193548387095</v>
      </c>
      <c r="I36" s="172">
        <f>$C36+($X36-$C36)*6/31</f>
        <v>0.99032258064516132</v>
      </c>
      <c r="J36" s="170">
        <f>$D$36*H36*I36</f>
        <v>58.681404786680545</v>
      </c>
      <c r="K36" s="171">
        <f>$B36+($W36-$B36)*11/31</f>
        <v>2.241935483870968</v>
      </c>
      <c r="L36" s="172">
        <f>$C36+($X36-$C36)*11/31</f>
        <v>0.98225806451612907</v>
      </c>
      <c r="M36" s="170">
        <f>$D$36*K36*L36</f>
        <v>77.791274063475569</v>
      </c>
      <c r="N36" s="171">
        <f>$B36+($W36-$B36)*16/31</f>
        <v>2.806451612903226</v>
      </c>
      <c r="O36" s="172">
        <f>$C36+($X36-$C36)*16/31</f>
        <v>0.97419354838709671</v>
      </c>
      <c r="P36" s="170">
        <f>$D$36*N36*O36</f>
        <v>96.579505723205003</v>
      </c>
      <c r="Q36" s="171">
        <f>$B36+($W36-$B36)*21/31</f>
        <v>3.370967741935484</v>
      </c>
      <c r="R36" s="172">
        <f>$C36+($X36-$C36)*21/31</f>
        <v>0.96612903225806446</v>
      </c>
      <c r="S36" s="170">
        <f>$D$36*Q36*R36</f>
        <v>115.04609976586889</v>
      </c>
      <c r="T36" s="171">
        <f>$B36+($W36-$B36)*26/31</f>
        <v>3.935483870967742</v>
      </c>
      <c r="U36" s="172">
        <f>$C36+($X36-$C36)*26/31</f>
        <v>0.95806451612903221</v>
      </c>
      <c r="V36" s="170">
        <f>$D$36*T36*U36</f>
        <v>133.19105619146723</v>
      </c>
      <c r="W36" s="173">
        <v>4.5</v>
      </c>
      <c r="X36" s="174">
        <v>0.95</v>
      </c>
      <c r="Y36" s="40">
        <f>D36*W36*X36</f>
        <v>151.014375</v>
      </c>
      <c r="AI36" s="168" t="s">
        <v>326</v>
      </c>
      <c r="AJ36" s="398">
        <v>4.5</v>
      </c>
      <c r="AK36" s="299">
        <v>0.62</v>
      </c>
      <c r="AL36" s="397">
        <v>90</v>
      </c>
      <c r="AM36" s="398">
        <v>4.5</v>
      </c>
      <c r="AN36" s="299">
        <v>0.62</v>
      </c>
      <c r="AO36" s="399">
        <v>251.1</v>
      </c>
    </row>
    <row r="37" spans="1:41">
      <c r="A37" s="168" t="s">
        <v>306</v>
      </c>
      <c r="B37" s="41"/>
      <c r="C37" s="169"/>
      <c r="D37" s="162">
        <f t="shared" si="1"/>
        <v>79.131</v>
      </c>
      <c r="E37" s="175"/>
      <c r="F37" s="176"/>
      <c r="G37" s="170">
        <f>SUM(G35:G36)</f>
        <v>87.404133418314245</v>
      </c>
      <c r="H37" s="175"/>
      <c r="I37" s="176"/>
      <c r="J37" s="170">
        <f>SUM(J35:J36)</f>
        <v>126.75802563995836</v>
      </c>
      <c r="K37" s="175"/>
      <c r="L37" s="176"/>
      <c r="M37" s="170">
        <f>SUM(M35:M36)</f>
        <v>162.75895974505727</v>
      </c>
      <c r="N37" s="175"/>
      <c r="O37" s="176"/>
      <c r="P37" s="170">
        <f>SUM(P35:P36)</f>
        <v>195.40693573361082</v>
      </c>
      <c r="Q37" s="175"/>
      <c r="R37" s="176"/>
      <c r="S37" s="170">
        <f>SUM(S35:S36)</f>
        <v>224.70195360561914</v>
      </c>
      <c r="T37" s="177"/>
      <c r="U37" s="178"/>
      <c r="V37" s="170">
        <f>SUM(V35:V36)</f>
        <v>250.64401336108222</v>
      </c>
      <c r="W37" s="173"/>
      <c r="X37" s="174"/>
      <c r="Y37" s="40">
        <f>SUM(Y35:Y36)</f>
        <v>273.233115</v>
      </c>
      <c r="AI37" s="168" t="s">
        <v>327</v>
      </c>
      <c r="AJ37" s="398">
        <v>4.5</v>
      </c>
      <c r="AK37" s="299">
        <v>0.95</v>
      </c>
      <c r="AL37" s="397">
        <v>1900</v>
      </c>
      <c r="AM37" s="398">
        <v>4.5</v>
      </c>
      <c r="AN37" s="299">
        <v>0.95</v>
      </c>
      <c r="AO37" s="399">
        <v>8122.5</v>
      </c>
    </row>
    <row r="38" spans="1:41">
      <c r="A38" s="168" t="s">
        <v>308</v>
      </c>
      <c r="B38" s="41"/>
      <c r="C38" s="169"/>
      <c r="D38" s="162">
        <f t="shared" si="1"/>
        <v>80.831000000000003</v>
      </c>
      <c r="E38" s="175"/>
      <c r="F38" s="176"/>
      <c r="G38" s="170">
        <f>G37+$K$9-$K$8</f>
        <v>89.104133418314262</v>
      </c>
      <c r="H38" s="175"/>
      <c r="I38" s="176"/>
      <c r="J38" s="170">
        <f>J37+$K$9-$K$8</f>
        <v>128.45802563995838</v>
      </c>
      <c r="K38" s="175"/>
      <c r="L38" s="176"/>
      <c r="M38" s="170">
        <f>M37+$K$9-$K$8</f>
        <v>164.45895974505729</v>
      </c>
      <c r="N38" s="175"/>
      <c r="O38" s="176"/>
      <c r="P38" s="170">
        <f>P37+$K$9-$K$8</f>
        <v>197.10693573361081</v>
      </c>
      <c r="Q38" s="175"/>
      <c r="R38" s="176"/>
      <c r="S38" s="179">
        <f>S37+$K$9-$K$8</f>
        <v>226.40195360561913</v>
      </c>
      <c r="T38" s="177"/>
      <c r="U38" s="178"/>
      <c r="V38" s="179">
        <f>V37+$K$9-$K$8</f>
        <v>252.34401336108223</v>
      </c>
      <c r="W38" s="173"/>
      <c r="X38" s="174"/>
      <c r="Y38" s="40">
        <f>Y37+$K$9-$K$8</f>
        <v>274.93311500000004</v>
      </c>
      <c r="Z38" s="4"/>
      <c r="AI38" s="168" t="s">
        <v>23</v>
      </c>
      <c r="AJ38" s="398"/>
      <c r="AK38" s="299"/>
      <c r="AL38" s="397">
        <v>74.319999999999993</v>
      </c>
      <c r="AM38" s="398"/>
      <c r="AN38" s="299"/>
      <c r="AO38" s="399">
        <v>277.89030000000002</v>
      </c>
    </row>
    <row r="39" spans="1:41">
      <c r="A39" s="448" t="s">
        <v>401</v>
      </c>
      <c r="B39" s="449"/>
      <c r="C39" s="449"/>
      <c r="D39" s="449"/>
      <c r="E39" s="449"/>
      <c r="F39" s="449"/>
      <c r="G39" s="449"/>
      <c r="H39" s="449"/>
      <c r="I39" s="449"/>
      <c r="J39" s="449"/>
      <c r="K39" s="449"/>
      <c r="L39" s="449"/>
      <c r="M39" s="449"/>
      <c r="N39" s="449"/>
      <c r="O39" s="449"/>
      <c r="P39" s="449"/>
      <c r="Q39" s="449"/>
      <c r="R39" s="449"/>
      <c r="S39" s="449"/>
      <c r="T39" s="449"/>
      <c r="U39" s="449"/>
      <c r="V39" s="449"/>
      <c r="W39" s="449"/>
      <c r="X39" s="449"/>
      <c r="Y39" s="449"/>
      <c r="AI39" s="168" t="s">
        <v>328</v>
      </c>
      <c r="AJ39" s="398"/>
      <c r="AK39" s="299"/>
      <c r="AL39" s="397">
        <v>80.319999999999993</v>
      </c>
      <c r="AM39" s="398"/>
      <c r="AN39" s="299"/>
      <c r="AO39" s="399">
        <v>283.89030000000002</v>
      </c>
    </row>
    <row r="40" spans="1:41">
      <c r="A40" s="478" t="s">
        <v>317</v>
      </c>
      <c r="B40" s="478"/>
      <c r="C40" s="478"/>
      <c r="D40" s="478"/>
      <c r="E40" s="478"/>
      <c r="F40" s="478"/>
      <c r="G40" s="478"/>
      <c r="H40" s="478"/>
      <c r="I40" s="478"/>
      <c r="J40" s="478"/>
      <c r="K40" s="478"/>
      <c r="L40" s="478"/>
      <c r="M40" s="478"/>
      <c r="N40" s="478"/>
      <c r="O40" s="478"/>
      <c r="P40" s="478"/>
      <c r="Q40" s="478"/>
      <c r="R40" s="478"/>
      <c r="S40" s="478"/>
      <c r="T40" s="478"/>
      <c r="U40" s="478"/>
      <c r="V40" s="478"/>
      <c r="W40" s="478"/>
      <c r="X40" s="478"/>
      <c r="Y40" s="478"/>
    </row>
    <row r="41" spans="1:41">
      <c r="A41" s="188"/>
      <c r="B41" s="479">
        <v>2019</v>
      </c>
      <c r="C41" s="479"/>
      <c r="D41" s="479"/>
      <c r="E41" s="479"/>
      <c r="F41" s="480">
        <v>2020</v>
      </c>
      <c r="G41" s="480"/>
      <c r="H41" s="480"/>
      <c r="I41" s="480"/>
      <c r="J41" s="480">
        <v>2025</v>
      </c>
      <c r="K41" s="480"/>
      <c r="L41" s="480"/>
      <c r="M41" s="480"/>
      <c r="N41" s="480">
        <v>2030</v>
      </c>
      <c r="O41" s="480"/>
      <c r="P41" s="480"/>
      <c r="Q41" s="480"/>
      <c r="R41" s="481">
        <v>2035</v>
      </c>
      <c r="S41" s="481"/>
      <c r="T41" s="481"/>
      <c r="U41" s="481"/>
      <c r="V41" s="482">
        <v>2040</v>
      </c>
      <c r="W41" s="482"/>
      <c r="X41" s="482"/>
      <c r="Y41" s="482"/>
      <c r="Z41" s="483">
        <v>2045</v>
      </c>
      <c r="AA41" s="483"/>
      <c r="AB41" s="483"/>
      <c r="AC41" s="483"/>
      <c r="AD41" s="484">
        <v>2050</v>
      </c>
      <c r="AE41" s="484"/>
      <c r="AF41" s="484"/>
      <c r="AG41" s="484"/>
      <c r="AH41" s="189"/>
    </row>
    <row r="42" spans="1:41" ht="43.2">
      <c r="A42" s="188"/>
      <c r="B42" s="115" t="s">
        <v>314</v>
      </c>
      <c r="C42" s="190" t="s">
        <v>322</v>
      </c>
      <c r="D42" s="115" t="s">
        <v>318</v>
      </c>
      <c r="E42" s="191" t="s">
        <v>323</v>
      </c>
      <c r="F42" s="175" t="s">
        <v>314</v>
      </c>
      <c r="G42" s="190" t="s">
        <v>322</v>
      </c>
      <c r="H42" s="115" t="s">
        <v>318</v>
      </c>
      <c r="I42" s="191" t="s">
        <v>319</v>
      </c>
      <c r="J42" s="175" t="s">
        <v>314</v>
      </c>
      <c r="K42" s="190" t="s">
        <v>322</v>
      </c>
      <c r="L42" s="115" t="s">
        <v>318</v>
      </c>
      <c r="M42" s="191" t="s">
        <v>319</v>
      </c>
      <c r="N42" s="175" t="s">
        <v>314</v>
      </c>
      <c r="O42" s="190" t="s">
        <v>322</v>
      </c>
      <c r="P42" s="115" t="s">
        <v>318</v>
      </c>
      <c r="Q42" s="191" t="s">
        <v>319</v>
      </c>
      <c r="R42" s="175" t="s">
        <v>314</v>
      </c>
      <c r="S42" s="190" t="s">
        <v>322</v>
      </c>
      <c r="T42" s="115" t="s">
        <v>318</v>
      </c>
      <c r="U42" s="191" t="s">
        <v>319</v>
      </c>
      <c r="V42" s="175" t="s">
        <v>314</v>
      </c>
      <c r="W42" s="190" t="s">
        <v>322</v>
      </c>
      <c r="X42" s="115" t="s">
        <v>318</v>
      </c>
      <c r="Y42" s="191" t="s">
        <v>319</v>
      </c>
      <c r="Z42" s="175" t="s">
        <v>314</v>
      </c>
      <c r="AA42" s="190" t="s">
        <v>322</v>
      </c>
      <c r="AB42" s="115" t="s">
        <v>318</v>
      </c>
      <c r="AC42" s="191" t="s">
        <v>319</v>
      </c>
      <c r="AD42" s="175" t="s">
        <v>314</v>
      </c>
      <c r="AE42" s="192" t="s">
        <v>322</v>
      </c>
      <c r="AF42" s="115" t="s">
        <v>318</v>
      </c>
      <c r="AG42" s="191" t="s">
        <v>319</v>
      </c>
      <c r="AH42" s="4"/>
    </row>
    <row r="43" spans="1:41">
      <c r="A43" s="193" t="s">
        <v>324</v>
      </c>
      <c r="B43" s="193">
        <v>1</v>
      </c>
      <c r="C43" s="193">
        <v>0.98</v>
      </c>
      <c r="D43" s="193">
        <v>1</v>
      </c>
      <c r="E43" s="183">
        <f>D27</f>
        <v>64.653666666666666</v>
      </c>
      <c r="F43" s="194">
        <f>$B43+($AD43-$B43)*1/31</f>
        <v>1.0048387096774194</v>
      </c>
      <c r="G43" s="195">
        <f>$C43+($AE43-$C43)*1/31</f>
        <v>0.94838709677419353</v>
      </c>
      <c r="H43" s="153">
        <f>$D43+($AF43-$D43)*1/31</f>
        <v>0.99677419354838714</v>
      </c>
      <c r="I43" s="196">
        <f>$E43+($AG43-$E43)*1/31</f>
        <v>62.568064516129034</v>
      </c>
      <c r="J43" s="194">
        <f>$B43+($AD43-$B43)*6/31</f>
        <v>1.0290322580645161</v>
      </c>
      <c r="K43" s="195">
        <f>$C43+($AE43-$C43)*6/31</f>
        <v>0.79032258064516125</v>
      </c>
      <c r="L43" s="153">
        <f>$D43+($AF43-$D43)*6/31</f>
        <v>0.98064516129032253</v>
      </c>
      <c r="M43" s="196">
        <f>$E43+($AG43-$E43)*6/31</f>
        <v>52.140053763440861</v>
      </c>
      <c r="N43" s="194">
        <f>$B43+($AD43-$B43)*11/31</f>
        <v>1.0532258064516129</v>
      </c>
      <c r="O43" s="195">
        <f>$C43+($AE43-$C43)*11/31</f>
        <v>0.63225806451612909</v>
      </c>
      <c r="P43" s="153">
        <f>$D43+($AF43-$D43)*11/31</f>
        <v>0.96451612903225803</v>
      </c>
      <c r="Q43" s="196">
        <f>$E43+($AG43-$E43)*11/31</f>
        <v>41.712043010752687</v>
      </c>
      <c r="R43" s="194">
        <f>$B43+($AD43-$B43)*16/31</f>
        <v>1.0774193548387097</v>
      </c>
      <c r="S43" s="195">
        <f>$C43+($AE43-$C43)*16/31</f>
        <v>0.47419354838709682</v>
      </c>
      <c r="T43" s="153">
        <f>$D43+($AF43-$D43)*16/31</f>
        <v>0.94838709677419353</v>
      </c>
      <c r="U43" s="196">
        <f>$E43+($AG43-$E43)*16/31</f>
        <v>31.284032258064514</v>
      </c>
      <c r="V43" s="194">
        <f>$B43+($AD43-$B43)*21/31</f>
        <v>1.1016129032258064</v>
      </c>
      <c r="W43" s="195">
        <f>$C43+($AE43-$C43)*21/31</f>
        <v>0.31612903225806455</v>
      </c>
      <c r="X43" s="153">
        <f>$D43+($AF43-$D43)*21/31</f>
        <v>0.93225806451612903</v>
      </c>
      <c r="Y43" s="196">
        <f>$E43+($AG43-$E43)*21/31</f>
        <v>20.85602150537634</v>
      </c>
      <c r="Z43" s="194">
        <f>$B43+($AD43-$B43)*26/31</f>
        <v>1.1258064516129032</v>
      </c>
      <c r="AA43" s="195">
        <f>$C43+($AE43-$C43)*26/31</f>
        <v>0.15806451612903227</v>
      </c>
      <c r="AB43" s="153">
        <f>$D43+($AF43-$D43)*26/31</f>
        <v>0.91612903225806452</v>
      </c>
      <c r="AC43" s="196">
        <f>$E43+($AG43-$E43)*26/31</f>
        <v>10.428010752688174</v>
      </c>
      <c r="AD43" s="177">
        <v>1.1499999999999999</v>
      </c>
      <c r="AE43" s="197">
        <v>0</v>
      </c>
      <c r="AF43" s="198">
        <v>0.9</v>
      </c>
      <c r="AG43" s="199">
        <f>E43*AD43*AE43*AF43</f>
        <v>0</v>
      </c>
      <c r="AH43" s="4"/>
    </row>
    <row r="44" spans="1:41">
      <c r="A44" s="1" t="s">
        <v>321</v>
      </c>
      <c r="B44" s="193">
        <v>1</v>
      </c>
      <c r="C44" s="193">
        <v>0.02</v>
      </c>
      <c r="D44" s="193">
        <v>1</v>
      </c>
      <c r="E44" s="186">
        <f>D28</f>
        <v>0.55405734944624696</v>
      </c>
      <c r="F44" s="194">
        <f>$B44+($AD44-$B44)*1/31</f>
        <v>1.0048387096774194</v>
      </c>
      <c r="G44" s="195">
        <f>$C44+($AE44-$C44)*1/31</f>
        <v>2.2580645161290325E-2</v>
      </c>
      <c r="H44" s="153">
        <f>$D44+($AF44-$D44)*1/31</f>
        <v>0.99677419354838714</v>
      </c>
      <c r="I44" s="196">
        <f>$E44+($AG44-$E44)*1/31</f>
        <v>0.538034368356616</v>
      </c>
      <c r="J44" s="194">
        <f>$B44+($AD44-$B44)*6/31</f>
        <v>1.0290322580645161</v>
      </c>
      <c r="K44" s="195">
        <f>$C44+($AE44-$C44)*6/31</f>
        <v>3.5483870967741936E-2</v>
      </c>
      <c r="L44" s="153">
        <f>$D44+($AF44-$D44)*6/31</f>
        <v>0.98064516129032253</v>
      </c>
      <c r="M44" s="196">
        <f>$E44+($AG44-$E44)*6/31</f>
        <v>0.45791946290846108</v>
      </c>
      <c r="N44" s="194">
        <f>$B44+($AD44-$B44)*11/31</f>
        <v>1.0532258064516129</v>
      </c>
      <c r="O44" s="195">
        <f>$C44+($AE44-$C44)*11/31</f>
        <v>4.8387096774193547E-2</v>
      </c>
      <c r="P44" s="153">
        <f>$D44+($AF44-$D44)*11/31</f>
        <v>0.96451612903225803</v>
      </c>
      <c r="Q44" s="196">
        <f>$E44+($AG44-$E44)*11/31</f>
        <v>0.37780455746030617</v>
      </c>
      <c r="R44" s="194">
        <f>$B44+($AD44-$B44)*16/31</f>
        <v>1.0774193548387097</v>
      </c>
      <c r="S44" s="195">
        <f>$C44+($AE44-$C44)*16/31</f>
        <v>6.1290322580645165E-2</v>
      </c>
      <c r="T44" s="153">
        <f>$D44+($AF44-$D44)*16/31</f>
        <v>0.94838709677419353</v>
      </c>
      <c r="U44" s="196">
        <f>$E44+($AG44-$E44)*16/31</f>
        <v>0.29768965201215125</v>
      </c>
      <c r="V44" s="194">
        <f>$B44+($AD44-$B44)*21/31</f>
        <v>1.1016129032258064</v>
      </c>
      <c r="W44" s="195">
        <f>$C44+($AE44-$C44)*21/31</f>
        <v>7.4193548387096769E-2</v>
      </c>
      <c r="X44" s="153">
        <f>$D44+($AF44-$D44)*21/31</f>
        <v>0.93225806451612903</v>
      </c>
      <c r="Y44" s="196">
        <f>$E44+($AG44-$E44)*21/31</f>
        <v>0.21757474656399634</v>
      </c>
      <c r="Z44" s="194">
        <f>$B44+($AD44-$B44)*26/31</f>
        <v>1.1258064516129032</v>
      </c>
      <c r="AA44" s="195">
        <f>$C44+($AE44-$C44)*26/31</f>
        <v>8.7096774193548387E-2</v>
      </c>
      <c r="AB44" s="153">
        <f>$D44+($AF44-$D44)*26/31</f>
        <v>0.91612903225806452</v>
      </c>
      <c r="AC44" s="196">
        <f>$E44+($AG44-$E44)*26/31</f>
        <v>0.13745984111584147</v>
      </c>
      <c r="AD44" s="177">
        <v>1.1499999999999999</v>
      </c>
      <c r="AE44" s="197">
        <v>0.1</v>
      </c>
      <c r="AF44" s="1">
        <v>0.9</v>
      </c>
      <c r="AG44" s="200">
        <f>AD44*AE44*E44*AF44</f>
        <v>5.7344935667686552E-2</v>
      </c>
      <c r="AH44" s="4"/>
    </row>
    <row r="45" spans="1:41">
      <c r="A45" s="150" t="s">
        <v>325</v>
      </c>
      <c r="B45" s="193">
        <v>1</v>
      </c>
      <c r="C45" s="193">
        <v>0</v>
      </c>
      <c r="D45" s="193">
        <v>1</v>
      </c>
      <c r="E45" s="179">
        <v>0</v>
      </c>
      <c r="F45" s="194">
        <f>$B45+($AD45-$B45)*1/31</f>
        <v>1.0048387096774194</v>
      </c>
      <c r="G45" s="195">
        <f>$C45+($AE45-$C45)*1/31</f>
        <v>2.903225806451613E-2</v>
      </c>
      <c r="H45" s="153">
        <f>$D45+($AF45-$D45)*1/31</f>
        <v>0.99677419354838714</v>
      </c>
      <c r="I45" s="196">
        <f>$E45+($AG45-$E45)*1/31</f>
        <v>1.9427384032258064</v>
      </c>
      <c r="J45" s="194">
        <f>$B45+($AD45-$B45)*6/31</f>
        <v>1.0290322580645161</v>
      </c>
      <c r="K45" s="195">
        <f>$C45+($AE45-$C45)*6/31</f>
        <v>0.17419354838709677</v>
      </c>
      <c r="L45" s="153">
        <f>$D45+($AF45-$D45)*6/31</f>
        <v>0.98064516129032253</v>
      </c>
      <c r="M45" s="196">
        <f>$E45+($AG45-$E45)*6/31</f>
        <v>11.656430419354837</v>
      </c>
      <c r="N45" s="194">
        <f>$B45+($AD45-$B45)*11/31</f>
        <v>1.0532258064516129</v>
      </c>
      <c r="O45" s="195">
        <f>$C45+($AE45-$C45)*11/31</f>
        <v>0.31935483870967746</v>
      </c>
      <c r="P45" s="153">
        <f>$D45+($AF45-$D45)*11/31</f>
        <v>0.96451612903225803</v>
      </c>
      <c r="Q45" s="196">
        <f>$E45+($AG45-$E45)*11/31</f>
        <v>21.370122435483871</v>
      </c>
      <c r="R45" s="194">
        <f>$B45+($AD45-$B45)*16/31</f>
        <v>1.0774193548387097</v>
      </c>
      <c r="S45" s="195">
        <f>$C45+($AE45-$C45)*16/31</f>
        <v>0.46451612903225808</v>
      </c>
      <c r="T45" s="153">
        <f>$D45+($AF45-$D45)*16/31</f>
        <v>0.94838709677419353</v>
      </c>
      <c r="U45" s="196">
        <f>$E45+($AG45-$E45)*16/31</f>
        <v>31.083814451612902</v>
      </c>
      <c r="V45" s="194">
        <f>$B45+($AD45-$B45)*21/31</f>
        <v>1.1016129032258064</v>
      </c>
      <c r="W45" s="195">
        <f>$C45+($AE45-$C45)*21/31</f>
        <v>0.60967741935483877</v>
      </c>
      <c r="X45" s="153">
        <f>$D45+($AF45-$D45)*21/31</f>
        <v>0.93225806451612903</v>
      </c>
      <c r="Y45" s="196">
        <f>$E45+($AG45-$E45)*21/31</f>
        <v>40.797506467741933</v>
      </c>
      <c r="Z45" s="194">
        <f>$B45+($AD45-$B45)*26/31</f>
        <v>1.1258064516129032</v>
      </c>
      <c r="AA45" s="195">
        <f>$C45+($AE45-$C45)*26/31</f>
        <v>0.75483870967741939</v>
      </c>
      <c r="AB45" s="153">
        <f>$D45+($AF45-$D45)*26/31</f>
        <v>0.91612903225806452</v>
      </c>
      <c r="AC45" s="196">
        <f>$E45+($AG45-$E45)*26/31</f>
        <v>50.511198483870963</v>
      </c>
      <c r="AD45" s="177">
        <v>1.1499999999999999</v>
      </c>
      <c r="AE45" s="197">
        <v>0.9</v>
      </c>
      <c r="AF45" s="1">
        <v>0.9</v>
      </c>
      <c r="AG45" s="179">
        <f>AD45*AE45*E43*AF45</f>
        <v>60.224890500000001</v>
      </c>
      <c r="AH45" s="4"/>
    </row>
    <row r="46" spans="1:41">
      <c r="A46" s="150" t="s">
        <v>23</v>
      </c>
      <c r="B46" s="207"/>
      <c r="C46" s="207">
        <v>1</v>
      </c>
      <c r="D46" s="207">
        <v>1</v>
      </c>
      <c r="E46" s="394">
        <f>SUM(E43:E44)</f>
        <v>65.20772401611292</v>
      </c>
      <c r="F46" s="395"/>
      <c r="G46" s="395">
        <v>1</v>
      </c>
      <c r="H46" s="206"/>
      <c r="I46" s="394">
        <f>SUM(I43:I45)</f>
        <v>65.04883728771145</v>
      </c>
      <c r="J46" s="206"/>
      <c r="K46" s="206">
        <v>1</v>
      </c>
      <c r="L46" s="206"/>
      <c r="M46" s="394">
        <f>SUM(M43:M45)</f>
        <v>64.254403645704159</v>
      </c>
      <c r="N46" s="206"/>
      <c r="O46" s="206">
        <v>1</v>
      </c>
      <c r="P46" s="206"/>
      <c r="Q46" s="394">
        <f>SUM(Q43:Q45)</f>
        <v>63.459970003696867</v>
      </c>
      <c r="R46" s="206"/>
      <c r="S46" s="206">
        <v>1</v>
      </c>
      <c r="T46" s="206"/>
      <c r="U46" s="394">
        <f>SUM(U43:U45)</f>
        <v>62.665536361689568</v>
      </c>
      <c r="V46" s="206"/>
      <c r="W46" s="206">
        <v>1</v>
      </c>
      <c r="X46" s="206"/>
      <c r="Y46" s="394">
        <f>SUM(Y43:Y45)</f>
        <v>61.87110271968227</v>
      </c>
      <c r="Z46" s="206"/>
      <c r="AA46" s="206">
        <v>1</v>
      </c>
      <c r="AB46" s="206"/>
      <c r="AC46" s="394">
        <f>SUM(AC43:AC45)</f>
        <v>61.076669077674978</v>
      </c>
      <c r="AD46" s="206"/>
      <c r="AE46" s="206">
        <v>1</v>
      </c>
      <c r="AF46" s="206"/>
      <c r="AG46" s="394">
        <f>SUM(AG43:AG45)</f>
        <v>60.282235435667687</v>
      </c>
      <c r="AH46" s="4"/>
    </row>
    <row r="47" spans="1:41">
      <c r="A47" s="475" t="s">
        <v>402</v>
      </c>
      <c r="B47" s="475"/>
      <c r="C47" s="475"/>
      <c r="D47" s="475"/>
      <c r="E47" s="475"/>
      <c r="F47" s="475"/>
      <c r="G47" s="475"/>
      <c r="H47" s="475"/>
      <c r="I47" s="475"/>
      <c r="J47" s="475"/>
      <c r="K47" s="475"/>
      <c r="L47" s="475"/>
      <c r="M47" s="475"/>
      <c r="N47" s="475"/>
      <c r="O47" s="475"/>
      <c r="P47" s="475"/>
      <c r="Q47" s="475"/>
      <c r="R47" s="475"/>
      <c r="S47" s="475"/>
      <c r="T47" s="475"/>
      <c r="U47" s="475"/>
      <c r="V47" s="475"/>
      <c r="W47" s="475"/>
      <c r="X47" s="475"/>
      <c r="Y47" s="475"/>
      <c r="Z47" s="475"/>
      <c r="AA47" s="475"/>
      <c r="AB47" s="475"/>
      <c r="AC47" s="475"/>
      <c r="AD47" s="475"/>
      <c r="AE47" s="475"/>
      <c r="AF47" s="475"/>
      <c r="AG47" s="475"/>
    </row>
    <row r="56" spans="14:25">
      <c r="N56" s="202"/>
      <c r="O56" s="202"/>
      <c r="P56" s="202"/>
      <c r="Q56" s="202"/>
      <c r="R56" s="202"/>
      <c r="S56" s="35"/>
      <c r="T56" s="35"/>
      <c r="U56" s="35"/>
      <c r="V56" s="35"/>
      <c r="W56" s="35"/>
      <c r="X56" s="35"/>
      <c r="Y56" s="35"/>
    </row>
    <row r="57" spans="14:25">
      <c r="N57" s="76"/>
      <c r="O57" s="76"/>
      <c r="P57" s="76"/>
      <c r="Q57" s="76"/>
      <c r="R57" s="76"/>
      <c r="S57" s="76"/>
      <c r="T57" s="76"/>
      <c r="U57" s="76"/>
      <c r="V57" s="76"/>
      <c r="W57" s="76"/>
      <c r="X57" s="76"/>
      <c r="Y57" s="76"/>
    </row>
    <row r="63" spans="14:25">
      <c r="N63" s="35"/>
      <c r="O63" s="35"/>
      <c r="P63" s="35"/>
      <c r="Q63" s="35"/>
      <c r="R63" s="35"/>
      <c r="S63" s="35"/>
      <c r="T63" s="35"/>
      <c r="U63" s="35"/>
      <c r="V63" s="35"/>
      <c r="W63" s="35"/>
      <c r="X63" s="35"/>
      <c r="Y63" s="35"/>
    </row>
  </sheetData>
  <mergeCells count="52">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 ref="A40:Y40"/>
    <mergeCell ref="B41:E41"/>
    <mergeCell ref="F41:I41"/>
    <mergeCell ref="J41:M41"/>
    <mergeCell ref="N41:Q41"/>
    <mergeCell ref="R41:U41"/>
    <mergeCell ref="V41:Y41"/>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Pour Enerdata</vt:lpstr>
      <vt:lpstr>DESCRIPTION</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2023-02-17T14:07:03Z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