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ml.chartshapes+xml"/>
  <Override PartName="/xl/charts/chart11.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PTOM\"/>
    </mc:Choice>
  </mc:AlternateContent>
  <bookViews>
    <workbookView xWindow="0" yWindow="0" windowWidth="23040" windowHeight="8616" tabRatio="884" firstSheet="3" activeTab="4"/>
  </bookViews>
  <sheets>
    <sheet name="Pour Enerdata" sheetId="1" state="hidden" r:id="rId1"/>
    <sheet name="DESCRIPTION" sheetId="13" r:id="rId2"/>
    <sheet name="Hypothèses" sheetId="14" r:id="rId3"/>
    <sheet name="Estimation GES" sheetId="19" r:id="rId4"/>
    <sheet name="Bilan d'énergie" sheetId="12" r:id="rId5"/>
    <sheet name="Cadrage macroéconomique " sheetId="2" r:id="rId6"/>
    <sheet name="Nickel" sheetId="17" r:id="rId7"/>
    <sheet name="Prod Energie" sheetId="4" r:id="rId8"/>
    <sheet name="Transports" sheetId="5" r:id="rId9"/>
    <sheet name="Industrie" sheetId="6" r:id="rId10"/>
    <sheet name="Résidentiel-tertiaire" sheetId="7" r:id="rId11"/>
    <sheet name="Agriculture" sheetId="8" r:id="rId12"/>
    <sheet name="UTCATF" sheetId="9" r:id="rId13"/>
    <sheet name="Déchets" sheetId="10" r:id="rId14"/>
    <sheet name="GES" sheetId="3" r:id="rId15"/>
    <sheet name="Bilan d'énergie SDES historique" sheetId="18" r:id="rId16"/>
    <sheet name="Bilans d'énergie 2010-2020" sheetId="16" r:id="rId17"/>
    <sheet name="Calculs" sheetId="15" r:id="rId18"/>
    <sheet name="HFC" sheetId="20" r:id="rId19"/>
  </sheets>
  <externalReferences>
    <externalReference r:id="rId20"/>
    <externalReference r:id="rId21"/>
    <externalReference r:id="rId22"/>
  </externalReferences>
  <definedNames>
    <definedName name="_Order1" hidden="1">255</definedName>
    <definedName name="_Order2" hidden="1">255</definedName>
    <definedName name="CRF_CountryName">[1]Sheet1!$C$4</definedName>
    <definedName name="CRF_InventoryYear">[1]Sheet1!$C$6</definedName>
    <definedName name="CRF_Submission">[1]Sheet1!$C$30</definedName>
    <definedName name="Périmètre">[2]générique!#REF!</definedName>
  </definedNames>
  <calcPr calcId="162913"/>
</workbook>
</file>

<file path=xl/calcChain.xml><?xml version="1.0" encoding="utf-8"?>
<calcChain xmlns="http://schemas.openxmlformats.org/spreadsheetml/2006/main">
  <c r="I55" i="6" l="1"/>
  <c r="C87" i="6"/>
  <c r="D87" i="6"/>
  <c r="E87" i="6"/>
  <c r="F87" i="6"/>
  <c r="G87" i="6"/>
  <c r="H87" i="6"/>
  <c r="I87" i="6"/>
  <c r="B87" i="6"/>
  <c r="AI296" i="12" l="1"/>
  <c r="AI255" i="12"/>
  <c r="AI214" i="12"/>
  <c r="AI173" i="12"/>
  <c r="AI132" i="12"/>
  <c r="AI91" i="12"/>
  <c r="AE296" i="12"/>
  <c r="AE255" i="12"/>
  <c r="AE214" i="12"/>
  <c r="AE173" i="12"/>
  <c r="AE132" i="12"/>
  <c r="Y296" i="12"/>
  <c r="Y255" i="12"/>
  <c r="Y214" i="12"/>
  <c r="Y173" i="12"/>
  <c r="Y132" i="12"/>
  <c r="AE277" i="12"/>
  <c r="AE276" i="12"/>
  <c r="Y277" i="12"/>
  <c r="Y276" i="12"/>
  <c r="AE236" i="12"/>
  <c r="AE235" i="12"/>
  <c r="Y236" i="12"/>
  <c r="Y235" i="12"/>
  <c r="AE195" i="12"/>
  <c r="AE194" i="12"/>
  <c r="Y195" i="12"/>
  <c r="Y194" i="12"/>
  <c r="AE154" i="12"/>
  <c r="AE153" i="12"/>
  <c r="Y154" i="12"/>
  <c r="Y153" i="12"/>
  <c r="AE113" i="12"/>
  <c r="AE112" i="12"/>
  <c r="Y113" i="12"/>
  <c r="Y112" i="12"/>
  <c r="AE72" i="12"/>
  <c r="Y72" i="12"/>
  <c r="AE71" i="12"/>
  <c r="Y71" i="12"/>
  <c r="AE91" i="12" l="1"/>
  <c r="Y91" i="12"/>
  <c r="C232" i="5"/>
  <c r="D232" i="5"/>
  <c r="E232" i="5"/>
  <c r="F232" i="5"/>
  <c r="G232" i="5"/>
  <c r="H232" i="5"/>
  <c r="I232" i="5"/>
  <c r="C233" i="5"/>
  <c r="D233" i="5"/>
  <c r="E233" i="5"/>
  <c r="F233" i="5"/>
  <c r="G233" i="5"/>
  <c r="H233" i="5"/>
  <c r="I233" i="5"/>
  <c r="C234" i="5"/>
  <c r="D234" i="5"/>
  <c r="E234" i="5"/>
  <c r="F234" i="5"/>
  <c r="G234" i="5"/>
  <c r="H234" i="5"/>
  <c r="I234" i="5"/>
  <c r="B234" i="5"/>
  <c r="B233" i="5"/>
  <c r="B232" i="5"/>
  <c r="O245" i="5"/>
  <c r="P245" i="5"/>
  <c r="Q245" i="5"/>
  <c r="R245" i="5"/>
  <c r="S245" i="5"/>
  <c r="T245" i="5"/>
  <c r="U245" i="5"/>
  <c r="V245" i="5"/>
  <c r="O246" i="5"/>
  <c r="P246" i="5"/>
  <c r="Q246" i="5"/>
  <c r="R246" i="5"/>
  <c r="S246" i="5"/>
  <c r="T246" i="5"/>
  <c r="U246" i="5"/>
  <c r="V246" i="5"/>
  <c r="O247" i="5"/>
  <c r="P247" i="5"/>
  <c r="Q247" i="5"/>
  <c r="R247" i="5"/>
  <c r="S247" i="5"/>
  <c r="T247" i="5"/>
  <c r="U247" i="5"/>
  <c r="V247" i="5"/>
  <c r="N247" i="5"/>
  <c r="N246" i="5"/>
  <c r="N245" i="5"/>
  <c r="C236" i="5"/>
  <c r="D236" i="5"/>
  <c r="E236" i="5"/>
  <c r="F236" i="5"/>
  <c r="G236" i="5"/>
  <c r="H236" i="5"/>
  <c r="I236" i="5"/>
  <c r="C237" i="5"/>
  <c r="D237" i="5"/>
  <c r="E237" i="5"/>
  <c r="F237" i="5"/>
  <c r="G237" i="5"/>
  <c r="H237" i="5"/>
  <c r="I237" i="5"/>
  <c r="C238" i="5"/>
  <c r="D238" i="5"/>
  <c r="E238" i="5"/>
  <c r="F238" i="5"/>
  <c r="G238" i="5"/>
  <c r="H238" i="5"/>
  <c r="I238" i="5"/>
  <c r="B238" i="5"/>
  <c r="B237" i="5"/>
  <c r="B236" i="5"/>
  <c r="N230" i="5"/>
  <c r="O230" i="5"/>
  <c r="P230" i="5"/>
  <c r="N231" i="5"/>
  <c r="O231" i="5"/>
  <c r="P231" i="5"/>
  <c r="N233" i="5"/>
  <c r="O233" i="5"/>
  <c r="P233" i="5"/>
  <c r="R233" i="5"/>
  <c r="S233" i="5"/>
  <c r="T233" i="5"/>
  <c r="U233" i="5"/>
  <c r="V233" i="5"/>
  <c r="Q233" i="5"/>
  <c r="R231" i="5"/>
  <c r="S231" i="5"/>
  <c r="T231" i="5"/>
  <c r="U231" i="5"/>
  <c r="V231" i="5"/>
  <c r="Q231" i="5"/>
  <c r="R230" i="5"/>
  <c r="S230" i="5"/>
  <c r="T230" i="5"/>
  <c r="U230" i="5"/>
  <c r="V230" i="5"/>
  <c r="Q230" i="5"/>
  <c r="E220" i="5"/>
  <c r="D235" i="5" s="1"/>
  <c r="F220" i="5"/>
  <c r="E235" i="5" s="1"/>
  <c r="G220" i="5"/>
  <c r="H220" i="5"/>
  <c r="I220" i="5"/>
  <c r="J220" i="5"/>
  <c r="D220" i="5"/>
  <c r="E227" i="5"/>
  <c r="F227" i="5"/>
  <c r="E231" i="5" s="1"/>
  <c r="G227" i="5"/>
  <c r="H227" i="5"/>
  <c r="I227" i="5"/>
  <c r="J227" i="5"/>
  <c r="D227" i="5"/>
  <c r="I231" i="5"/>
  <c r="H231" i="5"/>
  <c r="G231" i="5"/>
  <c r="F231" i="5"/>
  <c r="B231" i="5"/>
  <c r="D231" i="5"/>
  <c r="I235" i="5"/>
  <c r="H235" i="5"/>
  <c r="G235" i="5"/>
  <c r="F235" i="5"/>
  <c r="H213" i="5"/>
  <c r="G213" i="5"/>
  <c r="C231" i="5" s="1"/>
  <c r="E213" i="5"/>
  <c r="D213" i="5"/>
  <c r="C213" i="5"/>
  <c r="B213" i="5"/>
  <c r="H212" i="5"/>
  <c r="G212" i="5"/>
  <c r="C235" i="5" s="1"/>
  <c r="F212" i="5"/>
  <c r="B235" i="5" s="1"/>
  <c r="E212" i="5"/>
  <c r="D212" i="5"/>
  <c r="C212" i="5"/>
  <c r="B212" i="5"/>
  <c r="B135" i="5"/>
  <c r="M163" i="5" l="1"/>
  <c r="L163" i="5"/>
  <c r="K163" i="5"/>
  <c r="J163" i="5"/>
  <c r="I163" i="5"/>
  <c r="H163" i="5"/>
  <c r="G163" i="5"/>
  <c r="F163" i="5"/>
  <c r="E163" i="5"/>
  <c r="D163" i="5"/>
  <c r="C163" i="5"/>
  <c r="B163" i="5"/>
  <c r="B164" i="5" s="1"/>
  <c r="M162" i="5"/>
  <c r="M164" i="5" s="1"/>
  <c r="L162" i="5"/>
  <c r="L164" i="5" s="1"/>
  <c r="K162" i="5"/>
  <c r="K164" i="5" s="1"/>
  <c r="J162" i="5"/>
  <c r="J164" i="5" s="1"/>
  <c r="I162" i="5"/>
  <c r="I164" i="5" s="1"/>
  <c r="H162" i="5"/>
  <c r="H164" i="5" s="1"/>
  <c r="C162" i="5"/>
  <c r="D162" i="5" s="1"/>
  <c r="B161" i="5"/>
  <c r="M161" i="5"/>
  <c r="L161" i="5"/>
  <c r="K161" i="5"/>
  <c r="J161" i="5"/>
  <c r="I161" i="5"/>
  <c r="H161" i="5"/>
  <c r="G160" i="5"/>
  <c r="G161" i="5" s="1"/>
  <c r="C160" i="5"/>
  <c r="D160" i="5" s="1"/>
  <c r="E160" i="5" s="1"/>
  <c r="F160" i="5" s="1"/>
  <c r="C159" i="5"/>
  <c r="D159" i="5" s="1"/>
  <c r="C145" i="5"/>
  <c r="D145" i="5" s="1"/>
  <c r="E145" i="5" s="1"/>
  <c r="F145" i="5" s="1"/>
  <c r="C144" i="5"/>
  <c r="D144" i="5" s="1"/>
  <c r="E144" i="5" s="1"/>
  <c r="F144" i="5" s="1"/>
  <c r="F143" i="5"/>
  <c r="E143" i="5"/>
  <c r="D143" i="5"/>
  <c r="C143" i="5"/>
  <c r="B143" i="5"/>
  <c r="E162" i="5" l="1"/>
  <c r="D164" i="5"/>
  <c r="D161" i="5"/>
  <c r="E159" i="5"/>
  <c r="C164" i="5"/>
  <c r="C161" i="5"/>
  <c r="E161" i="5" l="1"/>
  <c r="F159" i="5"/>
  <c r="F161" i="5" s="1"/>
  <c r="F162" i="5"/>
  <c r="E164" i="5"/>
  <c r="F164" i="5" l="1"/>
  <c r="G162" i="5"/>
  <c r="G164" i="5" s="1"/>
  <c r="K129" i="7" l="1"/>
  <c r="K90" i="7"/>
  <c r="K88" i="7"/>
  <c r="K91" i="7"/>
  <c r="K89" i="7"/>
  <c r="C91" i="7"/>
  <c r="B91" i="7"/>
  <c r="H64" i="4"/>
  <c r="H69" i="4" s="1"/>
  <c r="I64" i="4"/>
  <c r="I70" i="4" s="1"/>
  <c r="G64" i="4"/>
  <c r="G69" i="4" s="1"/>
  <c r="F64" i="4"/>
  <c r="F69" i="4" s="1"/>
  <c r="E59" i="4"/>
  <c r="E69" i="4" s="1"/>
  <c r="C70" i="4"/>
  <c r="D70" i="4"/>
  <c r="E70" i="4"/>
  <c r="C93" i="6" s="1"/>
  <c r="H70" i="4"/>
  <c r="B70" i="4"/>
  <c r="E62" i="4"/>
  <c r="E64" i="4"/>
  <c r="E68" i="4"/>
  <c r="C58" i="4"/>
  <c r="C59" i="4"/>
  <c r="C60" i="4"/>
  <c r="C61" i="4"/>
  <c r="C62" i="4"/>
  <c r="C63" i="4"/>
  <c r="C64" i="4"/>
  <c r="C65" i="4"/>
  <c r="C66" i="4"/>
  <c r="C67" i="4"/>
  <c r="C68" i="4"/>
  <c r="B59" i="4"/>
  <c r="B60" i="4"/>
  <c r="B61" i="4"/>
  <c r="B62" i="4"/>
  <c r="B63" i="4"/>
  <c r="B64" i="4"/>
  <c r="B65" i="4"/>
  <c r="B66" i="4"/>
  <c r="B67" i="4"/>
  <c r="B68" i="4"/>
  <c r="B58" i="4"/>
  <c r="I91" i="7" l="1"/>
  <c r="I69" i="4"/>
  <c r="G70" i="4"/>
  <c r="F70" i="4"/>
  <c r="F91" i="7" l="1"/>
  <c r="G91" i="7"/>
  <c r="E91" i="7"/>
  <c r="D91" i="7"/>
  <c r="H91" i="7"/>
  <c r="Y38" i="8"/>
  <c r="V38" i="8"/>
  <c r="S38" i="8"/>
  <c r="P38" i="8"/>
  <c r="M38" i="8"/>
  <c r="J38" i="8"/>
  <c r="G38" i="8"/>
  <c r="E60" i="6" l="1"/>
  <c r="F60" i="6"/>
  <c r="G60" i="6"/>
  <c r="H60" i="6"/>
  <c r="I60" i="6"/>
  <c r="M11" i="19" l="1"/>
  <c r="L11" i="19"/>
  <c r="N11" i="19" s="1"/>
  <c r="K11" i="19"/>
  <c r="B104" i="7" l="1"/>
  <c r="B102" i="7"/>
  <c r="B103" i="7"/>
  <c r="J110" i="7"/>
  <c r="B44" i="6"/>
  <c r="B42" i="6"/>
  <c r="B43" i="6"/>
  <c r="C45" i="6"/>
  <c r="C75" i="6" s="1"/>
  <c r="B45" i="6"/>
  <c r="B75" i="6" s="1"/>
  <c r="B74" i="6" l="1"/>
  <c r="B78" i="6"/>
  <c r="C42" i="6"/>
  <c r="C72" i="6" s="1"/>
  <c r="B72" i="6"/>
  <c r="C43" i="6"/>
  <c r="C73" i="6" s="1"/>
  <c r="B73" i="6"/>
  <c r="C44" i="6"/>
  <c r="C74" i="6" s="1"/>
  <c r="F44" i="17"/>
  <c r="C17" i="2"/>
  <c r="D17" i="2"/>
  <c r="E17" i="2"/>
  <c r="F17" i="2"/>
  <c r="G17" i="2"/>
  <c r="H17" i="2"/>
  <c r="C16" i="2"/>
  <c r="D16" i="2"/>
  <c r="E16" i="2"/>
  <c r="F16" i="2"/>
  <c r="G16" i="2"/>
  <c r="H16" i="2"/>
  <c r="C78" i="6" l="1"/>
  <c r="D39" i="17"/>
  <c r="F37" i="17"/>
  <c r="D44" i="17"/>
  <c r="D37" i="17"/>
  <c r="H27" i="17"/>
  <c r="H28" i="17"/>
  <c r="H29" i="17"/>
  <c r="H30" i="17"/>
  <c r="H31" i="17"/>
  <c r="H32" i="17"/>
  <c r="H33" i="17"/>
  <c r="H34" i="17"/>
  <c r="H35" i="17"/>
  <c r="H26" i="17"/>
  <c r="K22" i="6" l="1"/>
  <c r="B50" i="6" s="1"/>
  <c r="B82" i="6" s="1"/>
  <c r="K21" i="6"/>
  <c r="N77" i="12"/>
  <c r="C82" i="6" l="1"/>
  <c r="C50" i="6"/>
  <c r="K19" i="7"/>
  <c r="K18" i="7"/>
  <c r="K16" i="7"/>
  <c r="G28" i="8"/>
  <c r="G27" i="8"/>
  <c r="C173" i="7"/>
  <c r="B174" i="7"/>
  <c r="C174" i="7" s="1"/>
  <c r="B172" i="7"/>
  <c r="C172" i="7" s="1"/>
  <c r="B110" i="7"/>
  <c r="B105" i="7"/>
  <c r="B75" i="7"/>
  <c r="B166" i="7" s="1"/>
  <c r="B115" i="7"/>
  <c r="B171" i="7" s="1"/>
  <c r="B31" i="6"/>
  <c r="B18" i="6"/>
  <c r="C18" i="6"/>
  <c r="D18" i="6"/>
  <c r="E18" i="6"/>
  <c r="F18" i="6"/>
  <c r="G18" i="6"/>
  <c r="H18" i="6"/>
  <c r="I18" i="6"/>
  <c r="J18" i="6"/>
  <c r="L6" i="6"/>
  <c r="K6" i="6"/>
  <c r="J6" i="6"/>
  <c r="I6" i="6"/>
  <c r="H6" i="6"/>
  <c r="G6" i="6"/>
  <c r="B6" i="6"/>
  <c r="C37" i="17"/>
  <c r="H105" i="4"/>
  <c r="E105" i="4"/>
  <c r="C105" i="4"/>
  <c r="D105" i="4"/>
  <c r="J90" i="4"/>
  <c r="H102" i="4"/>
  <c r="H103" i="4"/>
  <c r="H104" i="4"/>
  <c r="H101" i="4"/>
  <c r="G104" i="4"/>
  <c r="G102" i="4"/>
  <c r="G101" i="4"/>
  <c r="F104" i="4"/>
  <c r="F102" i="4"/>
  <c r="F101" i="4"/>
  <c r="E104" i="4"/>
  <c r="E102" i="4"/>
  <c r="E101" i="4"/>
  <c r="D104" i="4"/>
  <c r="D102" i="4"/>
  <c r="D101" i="4"/>
  <c r="C104" i="4"/>
  <c r="M81" i="4"/>
  <c r="K81" i="4"/>
  <c r="C103" i="4"/>
  <c r="C102" i="4"/>
  <c r="C101" i="4"/>
  <c r="M85" i="4"/>
  <c r="L83" i="4"/>
  <c r="M80" i="4"/>
  <c r="M79" i="4"/>
  <c r="K80" i="4"/>
  <c r="K79" i="4"/>
  <c r="E89" i="4"/>
  <c r="E94" i="4"/>
  <c r="E91" i="4"/>
  <c r="E93" i="4"/>
  <c r="C33" i="4"/>
  <c r="C34" i="4"/>
  <c r="C49" i="4" s="1"/>
  <c r="D94" i="4"/>
  <c r="F94" i="4"/>
  <c r="F93" i="4"/>
  <c r="D93" i="4"/>
  <c r="F88" i="4"/>
  <c r="G88" i="4"/>
  <c r="E88" i="4"/>
  <c r="F87" i="4"/>
  <c r="G87" i="4"/>
  <c r="E87" i="4"/>
  <c r="F86" i="4"/>
  <c r="G86" i="4"/>
  <c r="E86" i="4"/>
  <c r="F85" i="4"/>
  <c r="G85" i="4"/>
  <c r="E85" i="4"/>
  <c r="D85" i="4"/>
  <c r="G79" i="4"/>
  <c r="F79" i="4"/>
  <c r="D79" i="4"/>
  <c r="B114" i="7" l="1"/>
  <c r="C114" i="7" s="1"/>
  <c r="B112" i="7"/>
  <c r="B113" i="7"/>
  <c r="B111" i="7"/>
  <c r="C31" i="6"/>
  <c r="B60" i="6"/>
  <c r="B71" i="7"/>
  <c r="C115" i="7"/>
  <c r="C171" i="7" s="1"/>
  <c r="B70" i="7"/>
  <c r="B69" i="7"/>
  <c r="B73" i="7"/>
  <c r="B74" i="7"/>
  <c r="B72" i="7"/>
  <c r="C75" i="7"/>
  <c r="C60" i="6" l="1"/>
  <c r="D31" i="6"/>
  <c r="D60" i="6" s="1"/>
  <c r="C166" i="7"/>
  <c r="C69" i="7"/>
  <c r="C70" i="7"/>
  <c r="C71" i="7"/>
  <c r="C72" i="7"/>
  <c r="C73" i="7"/>
  <c r="C74" i="7"/>
  <c r="F183" i="5" l="1"/>
  <c r="C4" i="5"/>
  <c r="C3" i="5"/>
  <c r="B91" i="5" s="1"/>
  <c r="B93" i="5" s="1"/>
  <c r="B92" i="5" s="1"/>
  <c r="Y22" i="8"/>
  <c r="V22" i="8"/>
  <c r="S22" i="8"/>
  <c r="P22" i="8"/>
  <c r="M22" i="8"/>
  <c r="J22" i="8"/>
  <c r="G22" i="8"/>
  <c r="C2" i="5"/>
  <c r="J198" i="5"/>
  <c r="I198" i="5"/>
  <c r="H198" i="5"/>
  <c r="G198" i="5"/>
  <c r="F198" i="5"/>
  <c r="E198" i="5"/>
  <c r="D198" i="5"/>
  <c r="D191" i="5"/>
  <c r="J190" i="5"/>
  <c r="J191" i="5" s="1"/>
  <c r="I190" i="5"/>
  <c r="I191" i="5" s="1"/>
  <c r="H190" i="5"/>
  <c r="H191" i="5" s="1"/>
  <c r="G190" i="5"/>
  <c r="G191" i="5" s="1"/>
  <c r="F190" i="5"/>
  <c r="F191" i="5" s="1"/>
  <c r="E190" i="5"/>
  <c r="E191" i="5" s="1"/>
  <c r="H184" i="5"/>
  <c r="G184" i="5"/>
  <c r="C202" i="5" s="1"/>
  <c r="B202" i="5"/>
  <c r="E184" i="5"/>
  <c r="D184" i="5"/>
  <c r="C184" i="5"/>
  <c r="B184" i="5"/>
  <c r="H183" i="5"/>
  <c r="G183" i="5"/>
  <c r="C203" i="5" s="1"/>
  <c r="B203" i="5"/>
  <c r="E183" i="5"/>
  <c r="D183" i="5"/>
  <c r="C183" i="5"/>
  <c r="B183" i="5"/>
  <c r="M119" i="5"/>
  <c r="L119" i="5"/>
  <c r="K119" i="5"/>
  <c r="J119" i="5"/>
  <c r="I119" i="5"/>
  <c r="H119" i="5"/>
  <c r="G119" i="5"/>
  <c r="F119" i="5"/>
  <c r="E119" i="5"/>
  <c r="D119" i="5"/>
  <c r="C119" i="5"/>
  <c r="B119" i="5"/>
  <c r="B120" i="5" s="1"/>
  <c r="M118" i="5"/>
  <c r="M120" i="5" s="1"/>
  <c r="L118" i="5"/>
  <c r="L120" i="5" s="1"/>
  <c r="K118" i="5"/>
  <c r="K120" i="5" s="1"/>
  <c r="J118" i="5"/>
  <c r="J120" i="5" s="1"/>
  <c r="I118" i="5"/>
  <c r="I120" i="5" s="1"/>
  <c r="H118" i="5"/>
  <c r="H120" i="5" s="1"/>
  <c r="C118" i="5"/>
  <c r="D118" i="5" s="1"/>
  <c r="B117" i="5"/>
  <c r="M116" i="5"/>
  <c r="M117" i="5" s="1"/>
  <c r="L116" i="5"/>
  <c r="L117" i="5" s="1"/>
  <c r="K116" i="5"/>
  <c r="K117" i="5" s="1"/>
  <c r="J116" i="5"/>
  <c r="J117" i="5" s="1"/>
  <c r="I116" i="5"/>
  <c r="I117" i="5" s="1"/>
  <c r="H116" i="5"/>
  <c r="H117" i="5" s="1"/>
  <c r="G116" i="5"/>
  <c r="G117" i="5" s="1"/>
  <c r="C116" i="5"/>
  <c r="D116" i="5" s="1"/>
  <c r="E116" i="5" s="1"/>
  <c r="F116" i="5" s="1"/>
  <c r="C115" i="5"/>
  <c r="D115" i="5" s="1"/>
  <c r="L101" i="5"/>
  <c r="K101" i="5"/>
  <c r="J101" i="5"/>
  <c r="H101" i="5"/>
  <c r="C101" i="5"/>
  <c r="D101" i="5" s="1"/>
  <c r="E101" i="5" s="1"/>
  <c r="F101" i="5" s="1"/>
  <c r="L100" i="5"/>
  <c r="K100" i="5"/>
  <c r="J100" i="5"/>
  <c r="H100" i="5"/>
  <c r="C100" i="5"/>
  <c r="D100" i="5" s="1"/>
  <c r="E100" i="5" s="1"/>
  <c r="F100" i="5" s="1"/>
  <c r="J99" i="5"/>
  <c r="K99" i="5" s="1"/>
  <c r="L99" i="5" s="1"/>
  <c r="M99" i="5" s="1"/>
  <c r="F99" i="5"/>
  <c r="E99" i="5"/>
  <c r="D99" i="5"/>
  <c r="C99" i="5"/>
  <c r="B99" i="5"/>
  <c r="C5" i="5"/>
  <c r="E115" i="5" l="1"/>
  <c r="D117" i="5"/>
  <c r="E202" i="5"/>
  <c r="E113" i="12" s="1"/>
  <c r="D202" i="5"/>
  <c r="E72" i="12" s="1"/>
  <c r="G202" i="5"/>
  <c r="E195" i="12" s="1"/>
  <c r="F202" i="5"/>
  <c r="E154" i="12" s="1"/>
  <c r="I202" i="5"/>
  <c r="E277" i="12" s="1"/>
  <c r="H202" i="5"/>
  <c r="E236" i="12" s="1"/>
  <c r="E118" i="5"/>
  <c r="D120" i="5"/>
  <c r="C92" i="5"/>
  <c r="D92" i="5" s="1"/>
  <c r="E92" i="5" s="1"/>
  <c r="F92" i="5" s="1"/>
  <c r="G92" i="5" s="1"/>
  <c r="H92" i="5" s="1"/>
  <c r="I92" i="5" s="1"/>
  <c r="C93" i="5"/>
  <c r="D93" i="5" s="1"/>
  <c r="E93" i="5" s="1"/>
  <c r="F93" i="5" s="1"/>
  <c r="G93" i="5" s="1"/>
  <c r="H93" i="5" s="1"/>
  <c r="I93" i="5" s="1"/>
  <c r="I203" i="5"/>
  <c r="H203" i="5"/>
  <c r="G203" i="5"/>
  <c r="F203" i="5"/>
  <c r="E203" i="5"/>
  <c r="D203" i="5"/>
  <c r="C120" i="5"/>
  <c r="C117" i="5"/>
  <c r="B105" i="5"/>
  <c r="B106" i="5" l="1"/>
  <c r="F118" i="5"/>
  <c r="E120" i="5"/>
  <c r="B125" i="5"/>
  <c r="F115" i="5"/>
  <c r="F117" i="5" s="1"/>
  <c r="E117" i="5"/>
  <c r="I169" i="5" l="1"/>
  <c r="H169" i="5"/>
  <c r="G169" i="5"/>
  <c r="F169" i="5"/>
  <c r="E169" i="5"/>
  <c r="D169" i="5"/>
  <c r="C169" i="5"/>
  <c r="B126" i="5"/>
  <c r="I125" i="5"/>
  <c r="E276" i="12" s="1"/>
  <c r="H125" i="5"/>
  <c r="E235" i="12" s="1"/>
  <c r="G125" i="5"/>
  <c r="E194" i="12" s="1"/>
  <c r="B127" i="5"/>
  <c r="F125" i="5"/>
  <c r="E153" i="12" s="1"/>
  <c r="E125" i="5"/>
  <c r="E112" i="12" s="1"/>
  <c r="D125" i="5"/>
  <c r="E71" i="12" s="1"/>
  <c r="C125" i="5"/>
  <c r="G118" i="5"/>
  <c r="G120" i="5" s="1"/>
  <c r="F120" i="5"/>
  <c r="B128" i="5" s="1"/>
  <c r="D171" i="5" l="1"/>
  <c r="D170" i="5"/>
  <c r="D172" i="5"/>
  <c r="C171" i="5"/>
  <c r="C172" i="5"/>
  <c r="C170" i="5"/>
  <c r="H172" i="5"/>
  <c r="H170" i="5"/>
  <c r="H171" i="5"/>
  <c r="E171" i="5"/>
  <c r="E172" i="5"/>
  <c r="E170" i="5"/>
  <c r="F172" i="5"/>
  <c r="F170" i="5"/>
  <c r="F171" i="5"/>
  <c r="G172" i="5"/>
  <c r="G170" i="5"/>
  <c r="G171" i="5"/>
  <c r="I172" i="5"/>
  <c r="I170" i="5"/>
  <c r="I171" i="5"/>
  <c r="D127" i="5"/>
  <c r="D128" i="5"/>
  <c r="D126" i="5"/>
  <c r="C126" i="5"/>
  <c r="C128" i="5"/>
  <c r="C127" i="5"/>
  <c r="F127" i="5"/>
  <c r="F128" i="5"/>
  <c r="F126" i="5"/>
  <c r="E127" i="5"/>
  <c r="E126" i="5"/>
  <c r="E128" i="5"/>
  <c r="G127" i="5"/>
  <c r="G128" i="5"/>
  <c r="G126" i="5"/>
  <c r="H128" i="5"/>
  <c r="H127" i="5"/>
  <c r="H126" i="5"/>
  <c r="I128" i="5"/>
  <c r="I127" i="5"/>
  <c r="I126" i="5"/>
  <c r="B21" i="6" l="1"/>
  <c r="C21" i="6"/>
  <c r="D21" i="6"/>
  <c r="E21" i="6"/>
  <c r="F21" i="6"/>
  <c r="G21" i="6"/>
  <c r="H21" i="6"/>
  <c r="I21" i="6"/>
  <c r="J21" i="6"/>
  <c r="L21" i="6"/>
  <c r="B17" i="6"/>
  <c r="B19" i="6" s="1"/>
  <c r="C17" i="6"/>
  <c r="C19" i="6" s="1"/>
  <c r="D17" i="6"/>
  <c r="D19" i="6" s="1"/>
  <c r="E17" i="6"/>
  <c r="E19" i="6" s="1"/>
  <c r="F17" i="6"/>
  <c r="F19" i="6" s="1"/>
  <c r="G17" i="6"/>
  <c r="G19" i="6" s="1"/>
  <c r="H17" i="6"/>
  <c r="H19" i="6" s="1"/>
  <c r="I17" i="6"/>
  <c r="I19" i="6" s="1"/>
  <c r="J17" i="6"/>
  <c r="J19" i="6" s="1"/>
  <c r="K17" i="6"/>
  <c r="L17" i="6"/>
  <c r="B16" i="6"/>
  <c r="C16" i="6"/>
  <c r="D16" i="6"/>
  <c r="E16" i="6"/>
  <c r="F16" i="6"/>
  <c r="G16" i="6"/>
  <c r="H16" i="6"/>
  <c r="I16" i="6"/>
  <c r="J16" i="6"/>
  <c r="K16" i="6"/>
  <c r="L16" i="6"/>
  <c r="L8" i="6"/>
  <c r="G11" i="6"/>
  <c r="K19" i="6" l="1"/>
  <c r="B48" i="6" s="1"/>
  <c r="C32" i="6"/>
  <c r="L10" i="6"/>
  <c r="L12" i="6"/>
  <c r="L9" i="6"/>
  <c r="B7" i="8"/>
  <c r="C7" i="8"/>
  <c r="D7" i="8"/>
  <c r="E7" i="8"/>
  <c r="F7" i="8"/>
  <c r="G7" i="8"/>
  <c r="H7" i="8"/>
  <c r="I7" i="8"/>
  <c r="J7" i="8"/>
  <c r="K7" i="8"/>
  <c r="K6" i="8"/>
  <c r="J6" i="8"/>
  <c r="I6" i="8"/>
  <c r="H6" i="8"/>
  <c r="G6" i="8"/>
  <c r="F6" i="8"/>
  <c r="E6" i="8"/>
  <c r="D6" i="8"/>
  <c r="C6" i="8"/>
  <c r="B6" i="8"/>
  <c r="L19" i="7"/>
  <c r="J19" i="7"/>
  <c r="I19" i="7"/>
  <c r="H19" i="7"/>
  <c r="G19" i="7"/>
  <c r="F19" i="7"/>
  <c r="E19" i="7"/>
  <c r="D19" i="7"/>
  <c r="C19" i="7"/>
  <c r="B19" i="7"/>
  <c r="L18" i="7"/>
  <c r="J18" i="7"/>
  <c r="I18" i="7"/>
  <c r="H18" i="7"/>
  <c r="G18" i="7"/>
  <c r="F18" i="7"/>
  <c r="E18" i="7"/>
  <c r="D18" i="7"/>
  <c r="C18" i="7"/>
  <c r="B18" i="7"/>
  <c r="L16" i="7"/>
  <c r="J16" i="7"/>
  <c r="I16" i="7"/>
  <c r="H16" i="7"/>
  <c r="G16" i="7"/>
  <c r="F16" i="7"/>
  <c r="E16" i="7"/>
  <c r="D16" i="7"/>
  <c r="C16" i="7"/>
  <c r="B16" i="7"/>
  <c r="L12" i="8"/>
  <c r="K12" i="8"/>
  <c r="J12" i="8"/>
  <c r="I12" i="8"/>
  <c r="H12" i="8"/>
  <c r="G12" i="8"/>
  <c r="F12" i="8"/>
  <c r="E12" i="8"/>
  <c r="D12" i="8"/>
  <c r="C12" i="8"/>
  <c r="B12" i="8"/>
  <c r="D37" i="10"/>
  <c r="E37" i="10"/>
  <c r="F37" i="10"/>
  <c r="G37" i="10"/>
  <c r="H37" i="10"/>
  <c r="I37" i="10"/>
  <c r="C37" i="10"/>
  <c r="I34" i="10"/>
  <c r="K18" i="6" l="1"/>
  <c r="B47" i="6" s="1"/>
  <c r="B77" i="6" s="1"/>
  <c r="L15" i="6"/>
  <c r="C34" i="6"/>
  <c r="D30" i="10"/>
  <c r="E30" i="10"/>
  <c r="F30" i="10"/>
  <c r="G30" i="10"/>
  <c r="H30" i="10"/>
  <c r="I30" i="10"/>
  <c r="C30" i="10"/>
  <c r="B30" i="10"/>
  <c r="C77" i="6" l="1"/>
  <c r="I20" i="10"/>
  <c r="I21" i="10" s="1"/>
  <c r="H20" i="10"/>
  <c r="H21" i="10" s="1"/>
  <c r="G20" i="10"/>
  <c r="G21" i="10" s="1"/>
  <c r="F20" i="10"/>
  <c r="F21" i="10" s="1"/>
  <c r="E20" i="10"/>
  <c r="E21" i="10" s="1"/>
  <c r="D20" i="10"/>
  <c r="D21" i="10" s="1"/>
  <c r="C20" i="10"/>
  <c r="C21" i="10" s="1"/>
  <c r="G6" i="10" l="1"/>
  <c r="H6" i="10"/>
  <c r="I6" i="10"/>
  <c r="J6" i="10"/>
  <c r="K6" i="10"/>
  <c r="K8" i="10"/>
  <c r="K9" i="10"/>
  <c r="D9" i="10"/>
  <c r="E9" i="10"/>
  <c r="F9" i="10"/>
  <c r="G9" i="10"/>
  <c r="I9" i="10"/>
  <c r="J9" i="10"/>
  <c r="C9" i="10"/>
  <c r="O4" i="10"/>
  <c r="J8" i="7"/>
  <c r="I8" i="7"/>
  <c r="H8" i="7"/>
  <c r="G8" i="7"/>
  <c r="E8" i="7"/>
  <c r="D8" i="7"/>
  <c r="C8" i="7"/>
  <c r="G10" i="7"/>
  <c r="H10" i="7"/>
  <c r="I10" i="7"/>
  <c r="J10" i="7"/>
  <c r="C10" i="7"/>
  <c r="D10" i="7"/>
  <c r="E10" i="7"/>
  <c r="C28" i="7"/>
  <c r="C27" i="7"/>
  <c r="C26" i="7"/>
  <c r="C39" i="17" l="1"/>
  <c r="C40" i="17" s="1"/>
  <c r="J26" i="4"/>
  <c r="I26" i="4"/>
  <c r="H26" i="4"/>
  <c r="G26" i="4"/>
  <c r="F26" i="4"/>
  <c r="E26" i="4"/>
  <c r="D26" i="4"/>
  <c r="C26" i="4"/>
  <c r="B26" i="4"/>
  <c r="M10" i="17" l="1"/>
  <c r="M11" i="17"/>
  <c r="M9" i="17"/>
  <c r="C37" i="4" l="1"/>
  <c r="C38" i="4"/>
  <c r="C39" i="4"/>
  <c r="C40" i="4"/>
  <c r="C41" i="4"/>
  <c r="C42" i="4"/>
  <c r="C43" i="4"/>
  <c r="C44" i="4"/>
  <c r="C45" i="4"/>
  <c r="C46" i="4"/>
  <c r="C36" i="4"/>
  <c r="C48" i="4" l="1"/>
  <c r="C22" i="5"/>
  <c r="C21" i="5"/>
  <c r="D22" i="5"/>
  <c r="D21" i="5"/>
  <c r="I18" i="5"/>
  <c r="H18" i="5"/>
  <c r="G18" i="5"/>
  <c r="F18" i="5"/>
  <c r="E18" i="5"/>
  <c r="D18" i="5"/>
  <c r="C18" i="5"/>
  <c r="B10" i="10" l="1"/>
  <c r="L9" i="10"/>
  <c r="I8" i="8" l="1"/>
  <c r="I9" i="8" s="1"/>
  <c r="G8" i="8"/>
  <c r="G9" i="8" s="1"/>
  <c r="B37" i="4"/>
  <c r="B38" i="4"/>
  <c r="B39" i="4"/>
  <c r="B40" i="4"/>
  <c r="B41" i="4"/>
  <c r="B42" i="4"/>
  <c r="B43" i="4"/>
  <c r="B44" i="4"/>
  <c r="B45" i="4"/>
  <c r="B46" i="4"/>
  <c r="B36" i="4"/>
  <c r="L22" i="4"/>
  <c r="H22" i="4"/>
  <c r="I22" i="4"/>
  <c r="J22" i="4"/>
  <c r="K22" i="4"/>
  <c r="G22" i="4"/>
  <c r="L21" i="4"/>
  <c r="B8" i="8" l="1"/>
  <c r="B9" i="8" s="1"/>
  <c r="K8" i="8"/>
  <c r="K9" i="8" s="1"/>
  <c r="H8" i="8"/>
  <c r="H9" i="8" s="1"/>
  <c r="F8" i="8"/>
  <c r="F9" i="8" s="1"/>
  <c r="C8" i="8"/>
  <c r="C9" i="8" s="1"/>
  <c r="D8" i="8"/>
  <c r="D9" i="8" s="1"/>
  <c r="E8" i="8"/>
  <c r="E9" i="8" s="1"/>
  <c r="J8" i="8"/>
  <c r="J9" i="8" s="1"/>
  <c r="C120" i="7"/>
  <c r="B120" i="7"/>
  <c r="C80" i="7"/>
  <c r="B80" i="7"/>
  <c r="E44" i="8" l="1"/>
  <c r="E43" i="8"/>
  <c r="S5" i="15" l="1"/>
  <c r="R5" i="15"/>
  <c r="Q5" i="15"/>
  <c r="P5" i="15"/>
  <c r="O5" i="15"/>
  <c r="N5" i="15"/>
  <c r="C47" i="4"/>
  <c r="C32" i="7" l="1"/>
  <c r="B35" i="6"/>
  <c r="B64" i="6" s="1"/>
  <c r="B30" i="6"/>
  <c r="B59" i="6" s="1"/>
  <c r="B15" i="2" l="1"/>
  <c r="B16" i="2"/>
  <c r="B17" i="2"/>
  <c r="C41" i="7"/>
  <c r="C47" i="7"/>
  <c r="B44" i="7"/>
  <c r="B45" i="7"/>
  <c r="B34" i="7"/>
  <c r="B49" i="7" s="1"/>
  <c r="B32" i="7"/>
  <c r="B47" i="7" s="1"/>
  <c r="I29" i="7" l="1"/>
  <c r="I30" i="7"/>
  <c r="I32" i="10"/>
  <c r="H32" i="10"/>
  <c r="G32" i="10"/>
  <c r="F32" i="10"/>
  <c r="E32" i="10"/>
  <c r="D32" i="10"/>
  <c r="C32" i="10"/>
  <c r="C8" i="6"/>
  <c r="C10" i="6" s="1"/>
  <c r="D8" i="6"/>
  <c r="D10" i="6" s="1"/>
  <c r="E8" i="6"/>
  <c r="E10" i="6" s="1"/>
  <c r="F8" i="6"/>
  <c r="F10" i="6" s="1"/>
  <c r="G8" i="6"/>
  <c r="G10" i="6" s="1"/>
  <c r="H8" i="6"/>
  <c r="H10" i="6" s="1"/>
  <c r="I8" i="6"/>
  <c r="I10" i="6" s="1"/>
  <c r="J8" i="6"/>
  <c r="J10" i="6" s="1"/>
  <c r="K8" i="6"/>
  <c r="B8" i="6"/>
  <c r="B10" i="6" s="1"/>
  <c r="B32" i="6" l="1"/>
  <c r="K10" i="6"/>
  <c r="C21" i="4"/>
  <c r="D21" i="4"/>
  <c r="E21" i="4"/>
  <c r="F21" i="4"/>
  <c r="G21" i="4"/>
  <c r="H21" i="4"/>
  <c r="I21" i="4"/>
  <c r="J21" i="4"/>
  <c r="K21" i="4"/>
  <c r="B21" i="4"/>
  <c r="B61" i="6" l="1"/>
  <c r="B34" i="6"/>
  <c r="I40" i="7"/>
  <c r="H40" i="7"/>
  <c r="G40" i="7"/>
  <c r="F40" i="7"/>
  <c r="E40" i="7"/>
  <c r="D40" i="7"/>
  <c r="I25" i="7"/>
  <c r="H25" i="7"/>
  <c r="G25" i="7"/>
  <c r="F25" i="7"/>
  <c r="E25" i="7"/>
  <c r="D25" i="7"/>
  <c r="K31" i="5"/>
  <c r="J31" i="5"/>
  <c r="I31" i="5"/>
  <c r="H31" i="5"/>
  <c r="G31" i="5"/>
  <c r="F31" i="5"/>
  <c r="E31" i="5"/>
  <c r="D31" i="5"/>
  <c r="C31" i="5"/>
  <c r="B31" i="5"/>
  <c r="C105" i="5" l="1"/>
  <c r="C106" i="5" s="1"/>
  <c r="F105" i="5"/>
  <c r="G105" i="5"/>
  <c r="D105" i="5"/>
  <c r="E105" i="5"/>
  <c r="I105" i="5"/>
  <c r="H105" i="5"/>
  <c r="B65" i="6"/>
  <c r="B63" i="6"/>
  <c r="B62" i="6"/>
  <c r="E58" i="5"/>
  <c r="F58" i="5"/>
  <c r="D58" i="5"/>
  <c r="G58" i="5"/>
  <c r="H58" i="5"/>
  <c r="C58" i="5"/>
  <c r="C34" i="5"/>
  <c r="C33" i="5"/>
  <c r="I58" i="5"/>
  <c r="B58" i="5"/>
  <c r="J58" i="5"/>
  <c r="K58" i="5"/>
  <c r="Y298" i="12"/>
  <c r="Y297" i="12"/>
  <c r="AB303" i="12"/>
  <c r="AK301" i="12"/>
  <c r="AK303" i="12" s="1"/>
  <c r="AB301" i="12"/>
  <c r="AA301" i="12"/>
  <c r="AA303" i="12" s="1"/>
  <c r="Z301" i="12"/>
  <c r="Z303" i="12" s="1"/>
  <c r="X301" i="12"/>
  <c r="X303" i="12" s="1"/>
  <c r="AL300" i="12"/>
  <c r="AK293" i="12"/>
  <c r="AA293" i="12"/>
  <c r="Z293" i="12"/>
  <c r="X293" i="12"/>
  <c r="AL290" i="12"/>
  <c r="AL289" i="12"/>
  <c r="AL288" i="12"/>
  <c r="AL287" i="12"/>
  <c r="AL286" i="12"/>
  <c r="AL285" i="12"/>
  <c r="AL284" i="12"/>
  <c r="AL281" i="12"/>
  <c r="AK279" i="12"/>
  <c r="AJ279" i="12"/>
  <c r="AI279" i="12"/>
  <c r="AG279" i="12"/>
  <c r="AA279" i="12"/>
  <c r="Z279" i="12"/>
  <c r="AL278" i="12"/>
  <c r="AL277" i="12"/>
  <c r="AL276" i="12"/>
  <c r="AL275" i="12"/>
  <c r="AB262" i="12"/>
  <c r="AA262" i="12"/>
  <c r="AK260" i="12"/>
  <c r="AK262" i="12" s="1"/>
  <c r="AB260" i="12"/>
  <c r="AA260" i="12"/>
  <c r="Z260" i="12"/>
  <c r="Z262" i="12" s="1"/>
  <c r="X260" i="12"/>
  <c r="X262" i="12" s="1"/>
  <c r="AL259" i="12"/>
  <c r="AK252" i="12"/>
  <c r="AA252" i="12"/>
  <c r="Z252" i="12"/>
  <c r="X252" i="12"/>
  <c r="AL249" i="12"/>
  <c r="AL248" i="12"/>
  <c r="AL247" i="12"/>
  <c r="AL246" i="12"/>
  <c r="AL245" i="12"/>
  <c r="AL244" i="12"/>
  <c r="AL243" i="12"/>
  <c r="AL240" i="12"/>
  <c r="AK238" i="12"/>
  <c r="AJ238" i="12"/>
  <c r="AI238" i="12"/>
  <c r="AG238" i="12"/>
  <c r="AA238" i="12"/>
  <c r="Z238" i="12"/>
  <c r="AL237" i="12"/>
  <c r="AL236" i="12"/>
  <c r="AL235" i="12"/>
  <c r="AL234" i="12"/>
  <c r="AB221" i="12"/>
  <c r="AA221" i="12"/>
  <c r="AK219" i="12"/>
  <c r="AK221" i="12" s="1"/>
  <c r="AB219" i="12"/>
  <c r="AA219" i="12"/>
  <c r="Z219" i="12"/>
  <c r="Z221" i="12" s="1"/>
  <c r="X219" i="12"/>
  <c r="X221" i="12" s="1"/>
  <c r="AL218" i="12"/>
  <c r="AK211" i="12"/>
  <c r="AA211" i="12"/>
  <c r="Z211" i="12"/>
  <c r="X211" i="12"/>
  <c r="AL208" i="12"/>
  <c r="AL207" i="12"/>
  <c r="AL206" i="12"/>
  <c r="AL205" i="12"/>
  <c r="AL204" i="12"/>
  <c r="AL203" i="12"/>
  <c r="AL202" i="12"/>
  <c r="AL199" i="12"/>
  <c r="AK197" i="12"/>
  <c r="AJ197" i="12"/>
  <c r="AI197" i="12"/>
  <c r="AG197" i="12"/>
  <c r="AA197" i="12"/>
  <c r="Z197" i="12"/>
  <c r="AL196" i="12"/>
  <c r="AL195" i="12"/>
  <c r="AL194" i="12"/>
  <c r="AL193" i="12"/>
  <c r="AA180" i="12"/>
  <c r="AK178" i="12"/>
  <c r="AK180" i="12" s="1"/>
  <c r="AB178" i="12"/>
  <c r="AB180" i="12" s="1"/>
  <c r="AA178" i="12"/>
  <c r="Z178" i="12"/>
  <c r="Z180" i="12" s="1"/>
  <c r="X178" i="12"/>
  <c r="X180" i="12" s="1"/>
  <c r="AL177" i="12"/>
  <c r="AK170" i="12"/>
  <c r="AA170" i="12"/>
  <c r="Z170" i="12"/>
  <c r="X170" i="12"/>
  <c r="AL167" i="12"/>
  <c r="AL166" i="12"/>
  <c r="AL165" i="12"/>
  <c r="AL164" i="12"/>
  <c r="AL163" i="12"/>
  <c r="AL162" i="12"/>
  <c r="AL161" i="12"/>
  <c r="AL158" i="12"/>
  <c r="AK156" i="12"/>
  <c r="AJ156" i="12"/>
  <c r="AI156" i="12"/>
  <c r="AG156" i="12"/>
  <c r="AA156" i="12"/>
  <c r="Z156" i="12"/>
  <c r="AL155" i="12"/>
  <c r="AL154" i="12"/>
  <c r="AL153" i="12"/>
  <c r="AL152" i="12"/>
  <c r="AB139" i="12"/>
  <c r="AA139" i="12"/>
  <c r="AK137" i="12"/>
  <c r="AK139" i="12" s="1"/>
  <c r="AB137" i="12"/>
  <c r="AA137" i="12"/>
  <c r="Z137" i="12"/>
  <c r="Z139" i="12" s="1"/>
  <c r="X137" i="12"/>
  <c r="X139" i="12" s="1"/>
  <c r="AL136" i="12"/>
  <c r="AK129" i="12"/>
  <c r="AA129" i="12"/>
  <c r="Z129" i="12"/>
  <c r="X129" i="12"/>
  <c r="AL126" i="12"/>
  <c r="AL125" i="12"/>
  <c r="AL124" i="12"/>
  <c r="AL123" i="12"/>
  <c r="AL122" i="12"/>
  <c r="AL121" i="12"/>
  <c r="AL120" i="12"/>
  <c r="AL117" i="12"/>
  <c r="AK115" i="12"/>
  <c r="AJ115" i="12"/>
  <c r="AI115" i="12"/>
  <c r="AG115" i="12"/>
  <c r="AA115" i="12"/>
  <c r="Z115" i="12"/>
  <c r="AL114" i="12"/>
  <c r="AL113" i="12"/>
  <c r="AL112" i="12"/>
  <c r="AL111" i="12"/>
  <c r="B68" i="6" l="1"/>
  <c r="C91" i="5"/>
  <c r="C107" i="5"/>
  <c r="H107" i="5"/>
  <c r="H106" i="5"/>
  <c r="H91" i="5"/>
  <c r="I107" i="5"/>
  <c r="I106" i="5"/>
  <c r="I91" i="5"/>
  <c r="E106" i="5"/>
  <c r="E107" i="5"/>
  <c r="E91" i="5"/>
  <c r="D106" i="5"/>
  <c r="D107" i="5"/>
  <c r="D91" i="5"/>
  <c r="G107" i="5"/>
  <c r="G91" i="5"/>
  <c r="G106" i="5"/>
  <c r="F107" i="5"/>
  <c r="F106" i="5"/>
  <c r="F91" i="5"/>
  <c r="X115" i="12"/>
  <c r="X110" i="12" s="1"/>
  <c r="X279" i="12"/>
  <c r="X274" i="12" s="1"/>
  <c r="X238" i="12"/>
  <c r="X233" i="12" s="1"/>
  <c r="X156" i="12"/>
  <c r="X151" i="12" s="1"/>
  <c r="X197" i="12"/>
  <c r="X192" i="12" s="1"/>
  <c r="Q301" i="12"/>
  <c r="Q303" i="12" s="1"/>
  <c r="H301" i="12"/>
  <c r="H303" i="12" s="1"/>
  <c r="G301" i="12"/>
  <c r="G303" i="12" s="1"/>
  <c r="F301" i="12"/>
  <c r="F303" i="12" s="1"/>
  <c r="D301" i="12"/>
  <c r="D303" i="12" s="1"/>
  <c r="D279" i="12" s="1"/>
  <c r="D274" i="12" s="1"/>
  <c r="R300" i="12"/>
  <c r="Q293" i="12"/>
  <c r="G293" i="12"/>
  <c r="F293" i="12"/>
  <c r="D293" i="12"/>
  <c r="R290" i="12"/>
  <c r="R289" i="12"/>
  <c r="R288" i="12"/>
  <c r="R287" i="12"/>
  <c r="R286" i="12"/>
  <c r="R285" i="12"/>
  <c r="R284" i="12"/>
  <c r="N282" i="12"/>
  <c r="R281" i="12"/>
  <c r="Q279" i="12"/>
  <c r="P279" i="12"/>
  <c r="O279" i="12"/>
  <c r="M279" i="12"/>
  <c r="J279" i="12"/>
  <c r="G279" i="12"/>
  <c r="F279" i="12"/>
  <c r="R278" i="12"/>
  <c r="R277" i="12"/>
  <c r="R276" i="12"/>
  <c r="R275" i="12"/>
  <c r="Q260" i="12"/>
  <c r="Q262" i="12" s="1"/>
  <c r="H260" i="12"/>
  <c r="H262" i="12" s="1"/>
  <c r="G260" i="12"/>
  <c r="G262" i="12" s="1"/>
  <c r="F260" i="12"/>
  <c r="F262" i="12" s="1"/>
  <c r="D260" i="12"/>
  <c r="D262" i="12" s="1"/>
  <c r="R259" i="12"/>
  <c r="Q252" i="12"/>
  <c r="G252" i="12"/>
  <c r="F252" i="12"/>
  <c r="D252" i="12"/>
  <c r="R249" i="12"/>
  <c r="R248" i="12"/>
  <c r="R247" i="12"/>
  <c r="R246" i="12"/>
  <c r="R245" i="12"/>
  <c r="R244" i="12"/>
  <c r="R243" i="12"/>
  <c r="N241" i="12"/>
  <c r="R240" i="12"/>
  <c r="Q238" i="12"/>
  <c r="P238" i="12"/>
  <c r="O238" i="12"/>
  <c r="M238" i="12"/>
  <c r="J238" i="12"/>
  <c r="G238" i="12"/>
  <c r="F238" i="12"/>
  <c r="R237" i="12"/>
  <c r="R236" i="12"/>
  <c r="R235" i="12"/>
  <c r="R234" i="12"/>
  <c r="H221" i="12"/>
  <c r="Q219" i="12"/>
  <c r="Q221" i="12" s="1"/>
  <c r="H219" i="12"/>
  <c r="G219" i="12"/>
  <c r="G221" i="12" s="1"/>
  <c r="F219" i="12"/>
  <c r="F221" i="12" s="1"/>
  <c r="D219" i="12"/>
  <c r="D221" i="12" s="1"/>
  <c r="R218" i="12"/>
  <c r="Q211" i="12"/>
  <c r="G211" i="12"/>
  <c r="F211" i="12"/>
  <c r="D211" i="12"/>
  <c r="R208" i="12"/>
  <c r="R207" i="12"/>
  <c r="R206" i="12"/>
  <c r="R205" i="12"/>
  <c r="R204" i="12"/>
  <c r="R203" i="12"/>
  <c r="R202" i="12"/>
  <c r="N200" i="12"/>
  <c r="R199" i="12"/>
  <c r="Q197" i="12"/>
  <c r="P197" i="12"/>
  <c r="O197" i="12"/>
  <c r="M197" i="12"/>
  <c r="J197" i="12"/>
  <c r="G197" i="12"/>
  <c r="F197" i="12"/>
  <c r="R196" i="12"/>
  <c r="R195" i="12"/>
  <c r="R194" i="12"/>
  <c r="R193" i="12"/>
  <c r="H180" i="12"/>
  <c r="G180" i="12"/>
  <c r="Q178" i="12"/>
  <c r="Q180" i="12" s="1"/>
  <c r="H178" i="12"/>
  <c r="G178" i="12"/>
  <c r="F178" i="12"/>
  <c r="F180" i="12" s="1"/>
  <c r="D178" i="12"/>
  <c r="D180" i="12" s="1"/>
  <c r="R177" i="12"/>
  <c r="Q170" i="12"/>
  <c r="G170" i="12"/>
  <c r="F170" i="12"/>
  <c r="D170" i="12"/>
  <c r="R167" i="12"/>
  <c r="R166" i="12"/>
  <c r="R165" i="12"/>
  <c r="R164" i="12"/>
  <c r="R163" i="12"/>
  <c r="R162" i="12"/>
  <c r="R161" i="12"/>
  <c r="N159" i="12"/>
  <c r="R158" i="12"/>
  <c r="Q156" i="12"/>
  <c r="P156" i="12"/>
  <c r="O156" i="12"/>
  <c r="M156" i="12"/>
  <c r="J156" i="12"/>
  <c r="G156" i="12"/>
  <c r="F156" i="12"/>
  <c r="R155" i="12"/>
  <c r="R154" i="12"/>
  <c r="R153" i="12"/>
  <c r="R152" i="12"/>
  <c r="G139" i="12"/>
  <c r="Q137" i="12"/>
  <c r="Q139" i="12" s="1"/>
  <c r="H137" i="12"/>
  <c r="H139" i="12" s="1"/>
  <c r="G137" i="12"/>
  <c r="F137" i="12"/>
  <c r="F139" i="12" s="1"/>
  <c r="D137" i="12"/>
  <c r="D139" i="12" s="1"/>
  <c r="R136" i="12"/>
  <c r="Q129" i="12"/>
  <c r="G129" i="12"/>
  <c r="F129" i="12"/>
  <c r="D129" i="12"/>
  <c r="R126" i="12"/>
  <c r="R125" i="12"/>
  <c r="R124" i="12"/>
  <c r="R123" i="12"/>
  <c r="R122" i="12"/>
  <c r="R121" i="12"/>
  <c r="R120" i="12"/>
  <c r="N118" i="12"/>
  <c r="R117" i="12"/>
  <c r="Q115" i="12"/>
  <c r="P115" i="12"/>
  <c r="O115" i="12"/>
  <c r="M115" i="12"/>
  <c r="J115" i="12"/>
  <c r="G115" i="12"/>
  <c r="F115" i="12"/>
  <c r="R114" i="12"/>
  <c r="R113" i="12"/>
  <c r="R112" i="12"/>
  <c r="R111" i="12"/>
  <c r="D197" i="12" l="1"/>
  <c r="D192" i="12" s="1"/>
  <c r="D115" i="12"/>
  <c r="D110" i="12" s="1"/>
  <c r="D238" i="12"/>
  <c r="D233" i="12" s="1"/>
  <c r="D156" i="12"/>
  <c r="D151" i="12" s="1"/>
  <c r="AK96" i="12"/>
  <c r="AK98" i="12" s="1"/>
  <c r="AB96" i="12"/>
  <c r="AB98" i="12" s="1"/>
  <c r="AA96" i="12"/>
  <c r="AA98" i="12" s="1"/>
  <c r="Z96" i="12"/>
  <c r="Z98" i="12" s="1"/>
  <c r="X96" i="12"/>
  <c r="X98" i="12" s="1"/>
  <c r="AL95" i="12"/>
  <c r="AK88" i="12"/>
  <c r="AA88" i="12"/>
  <c r="Z88" i="12"/>
  <c r="X88" i="12"/>
  <c r="AL85" i="12"/>
  <c r="AL84" i="12"/>
  <c r="AL83" i="12"/>
  <c r="AL82" i="12"/>
  <c r="AL81" i="12"/>
  <c r="AL80" i="12"/>
  <c r="AL79" i="12"/>
  <c r="AL76" i="12"/>
  <c r="AK74" i="12"/>
  <c r="AJ74" i="12"/>
  <c r="AI74" i="12"/>
  <c r="AG74" i="12"/>
  <c r="AA74" i="12"/>
  <c r="Z74" i="12"/>
  <c r="AL73" i="12"/>
  <c r="AL72" i="12"/>
  <c r="AL71" i="12"/>
  <c r="AL70" i="12"/>
  <c r="R70" i="12"/>
  <c r="R71" i="12"/>
  <c r="R72" i="12"/>
  <c r="R73" i="12"/>
  <c r="F74" i="12"/>
  <c r="G74" i="12"/>
  <c r="J74" i="12"/>
  <c r="M74" i="12"/>
  <c r="O74" i="12"/>
  <c r="P74" i="12"/>
  <c r="Q74" i="12"/>
  <c r="Q98" i="12"/>
  <c r="F98" i="12"/>
  <c r="D98" i="12"/>
  <c r="R18" i="12"/>
  <c r="R17" i="12"/>
  <c r="AD10" i="12"/>
  <c r="J10" i="12"/>
  <c r="R79" i="12"/>
  <c r="R80" i="12"/>
  <c r="R81" i="12"/>
  <c r="R82" i="12"/>
  <c r="R83" i="12"/>
  <c r="R84" i="12"/>
  <c r="R85" i="12"/>
  <c r="R76" i="12"/>
  <c r="R95" i="12"/>
  <c r="D88" i="12"/>
  <c r="D74" i="12" s="1"/>
  <c r="D69" i="12" s="1"/>
  <c r="F88" i="12"/>
  <c r="G88" i="12"/>
  <c r="Q88" i="12"/>
  <c r="D96" i="12"/>
  <c r="F96" i="12"/>
  <c r="G96" i="12"/>
  <c r="G98" i="12" s="1"/>
  <c r="H96" i="12"/>
  <c r="H98" i="12" s="1"/>
  <c r="Q96" i="12"/>
  <c r="X74" i="12" l="1"/>
  <c r="X69" i="12" s="1"/>
  <c r="J19" i="12"/>
  <c r="L19" i="12" s="1"/>
  <c r="L18" i="12"/>
  <c r="D18" i="12"/>
  <c r="F18" i="12" s="1"/>
  <c r="J17" i="12"/>
  <c r="L17" i="12" s="1"/>
  <c r="D17" i="12"/>
  <c r="F17" i="12" s="1"/>
  <c r="AE245" i="1" l="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X46" i="1" l="1"/>
  <c r="S46" i="1"/>
  <c r="D46" i="1"/>
  <c r="B63" i="7" l="1"/>
  <c r="W108" i="1"/>
  <c r="V108" i="1"/>
  <c r="W106" i="1"/>
  <c r="V106" i="1"/>
  <c r="Z170" i="1"/>
  <c r="Z172" i="1" s="1"/>
  <c r="Y170" i="1"/>
  <c r="Y172" i="1" s="1"/>
  <c r="D100" i="1"/>
  <c r="U34" i="10" l="1"/>
  <c r="N34" i="10"/>
  <c r="H33" i="10"/>
  <c r="G33" i="10"/>
  <c r="F33" i="10"/>
  <c r="E33" i="10"/>
  <c r="D33" i="10"/>
  <c r="C33" i="10"/>
  <c r="K12" i="10"/>
  <c r="J12" i="10"/>
  <c r="I12" i="10"/>
  <c r="H12" i="10"/>
  <c r="G12" i="10"/>
  <c r="F12" i="10"/>
  <c r="E12" i="10"/>
  <c r="D12" i="10"/>
  <c r="C12" i="10"/>
  <c r="C13" i="10" s="1"/>
  <c r="B12" i="10"/>
  <c r="I11" i="10"/>
  <c r="I5" i="10" s="1"/>
  <c r="H11" i="10"/>
  <c r="H5" i="10" s="1"/>
  <c r="B11" i="10"/>
  <c r="B21" i="10"/>
  <c r="J11" i="10"/>
  <c r="J5" i="10" s="1"/>
  <c r="G11" i="10"/>
  <c r="G5" i="10" s="1"/>
  <c r="F11" i="10"/>
  <c r="E11" i="10"/>
  <c r="D11" i="10"/>
  <c r="C11" i="10"/>
  <c r="B37" i="10"/>
  <c r="B20" i="10"/>
  <c r="B32" i="10" s="1"/>
  <c r="K5" i="9"/>
  <c r="B16" i="9" s="1"/>
  <c r="J5" i="9"/>
  <c r="I5" i="9"/>
  <c r="H5" i="9"/>
  <c r="G5" i="9"/>
  <c r="F5" i="9"/>
  <c r="E5" i="9"/>
  <c r="D5" i="9"/>
  <c r="C5" i="9"/>
  <c r="B5" i="9"/>
  <c r="E46" i="8"/>
  <c r="AG45" i="8"/>
  <c r="AA265" i="1" s="1"/>
  <c r="AB45" i="8"/>
  <c r="AA45" i="8"/>
  <c r="Z45" i="8"/>
  <c r="X45" i="8"/>
  <c r="W45" i="8"/>
  <c r="V45" i="8"/>
  <c r="T45" i="8"/>
  <c r="S45" i="8"/>
  <c r="R45" i="8"/>
  <c r="P45" i="8"/>
  <c r="O45" i="8"/>
  <c r="N45" i="8"/>
  <c r="L45" i="8"/>
  <c r="K45" i="8"/>
  <c r="J45" i="8"/>
  <c r="H45" i="8"/>
  <c r="G45" i="8"/>
  <c r="F45" i="8"/>
  <c r="AG44" i="8"/>
  <c r="AI299" i="12" s="1"/>
  <c r="AB44" i="8"/>
  <c r="AA44" i="8"/>
  <c r="Z44" i="8"/>
  <c r="X44" i="8"/>
  <c r="W44" i="8"/>
  <c r="V44" i="8"/>
  <c r="T44" i="8"/>
  <c r="S44" i="8"/>
  <c r="R44" i="8"/>
  <c r="P44" i="8"/>
  <c r="O44" i="8"/>
  <c r="N44" i="8"/>
  <c r="L44" i="8"/>
  <c r="K44" i="8"/>
  <c r="J44" i="8"/>
  <c r="H44" i="8"/>
  <c r="G44" i="8"/>
  <c r="F44" i="8"/>
  <c r="AG43" i="8"/>
  <c r="Y43" i="8" s="1"/>
  <c r="AB43" i="8"/>
  <c r="AA43" i="8"/>
  <c r="Z43" i="8"/>
  <c r="X43" i="8"/>
  <c r="W43" i="8"/>
  <c r="V43" i="8"/>
  <c r="T43" i="8"/>
  <c r="S43" i="8"/>
  <c r="R43" i="8"/>
  <c r="P43" i="8"/>
  <c r="O43" i="8"/>
  <c r="N43" i="8"/>
  <c r="L43" i="8"/>
  <c r="K43" i="8"/>
  <c r="J43" i="8"/>
  <c r="H43" i="8"/>
  <c r="G43" i="8"/>
  <c r="F43" i="8"/>
  <c r="U36" i="8"/>
  <c r="T36" i="8"/>
  <c r="R36" i="8"/>
  <c r="Q36" i="8"/>
  <c r="O36" i="8"/>
  <c r="N36" i="8"/>
  <c r="L36" i="8"/>
  <c r="K36" i="8"/>
  <c r="I36" i="8"/>
  <c r="H36" i="8"/>
  <c r="F36" i="8"/>
  <c r="E36" i="8"/>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D28" i="8"/>
  <c r="D27" i="8"/>
  <c r="Y27" i="8" s="1"/>
  <c r="E299" i="12" s="1"/>
  <c r="D19" i="8"/>
  <c r="K5" i="8"/>
  <c r="K11" i="8" s="1"/>
  <c r="J5" i="8"/>
  <c r="J11" i="8" s="1"/>
  <c r="I5" i="8"/>
  <c r="I11" i="8" s="1"/>
  <c r="H5" i="8"/>
  <c r="G5" i="8"/>
  <c r="F5" i="8"/>
  <c r="E5" i="8"/>
  <c r="D5" i="8"/>
  <c r="C5" i="8"/>
  <c r="B5" i="8"/>
  <c r="B188" i="7"/>
  <c r="C187" i="7"/>
  <c r="C186" i="7"/>
  <c r="B186" i="7"/>
  <c r="J126" i="7"/>
  <c r="C103" i="7"/>
  <c r="C92" i="7"/>
  <c r="B64" i="7"/>
  <c r="C34" i="7"/>
  <c r="C49" i="7" s="1"/>
  <c r="C30" i="7"/>
  <c r="C45" i="7" s="1"/>
  <c r="C29" i="7"/>
  <c r="C44" i="7" s="1"/>
  <c r="C43" i="7"/>
  <c r="B168" i="7"/>
  <c r="C167" i="7"/>
  <c r="K17" i="7"/>
  <c r="J17" i="7"/>
  <c r="I17" i="7"/>
  <c r="H17" i="7"/>
  <c r="G17" i="7"/>
  <c r="F17" i="7"/>
  <c r="E17" i="7"/>
  <c r="D17" i="7"/>
  <c r="C17" i="7"/>
  <c r="B17" i="7"/>
  <c r="B169" i="7"/>
  <c r="C169" i="7" s="1"/>
  <c r="J15" i="7"/>
  <c r="I15" i="7"/>
  <c r="H15" i="7"/>
  <c r="F15" i="7"/>
  <c r="E15" i="7"/>
  <c r="D15" i="7"/>
  <c r="C15" i="7"/>
  <c r="B15" i="7"/>
  <c r="B28" i="7"/>
  <c r="B43" i="7" s="1"/>
  <c r="B26" i="7"/>
  <c r="B41" i="7" s="1"/>
  <c r="L7" i="7"/>
  <c r="K7" i="7"/>
  <c r="C25" i="7" s="1"/>
  <c r="J7" i="7"/>
  <c r="J9" i="7" s="1"/>
  <c r="I7" i="7"/>
  <c r="I9" i="7" s="1"/>
  <c r="H7" i="7"/>
  <c r="H9" i="7" s="1"/>
  <c r="G7" i="7"/>
  <c r="F7" i="7"/>
  <c r="E7" i="7"/>
  <c r="E9" i="7" s="1"/>
  <c r="D7" i="7"/>
  <c r="D9" i="7" s="1"/>
  <c r="C7" i="7"/>
  <c r="C9" i="7" s="1"/>
  <c r="B7" i="7"/>
  <c r="B9" i="7" s="1"/>
  <c r="D81" i="6"/>
  <c r="H70" i="6"/>
  <c r="G70" i="6"/>
  <c r="F70" i="6"/>
  <c r="D70" i="6"/>
  <c r="C70" i="6"/>
  <c r="H69" i="6"/>
  <c r="G69" i="6"/>
  <c r="F69" i="6"/>
  <c r="E69" i="6"/>
  <c r="D69" i="6"/>
  <c r="C69" i="6"/>
  <c r="H40" i="6"/>
  <c r="G40" i="6"/>
  <c r="F40" i="6"/>
  <c r="E40" i="6"/>
  <c r="D40" i="6"/>
  <c r="C40" i="6"/>
  <c r="C52" i="6"/>
  <c r="C85" i="6"/>
  <c r="B85" i="6"/>
  <c r="K20" i="6"/>
  <c r="B79" i="6" s="1"/>
  <c r="H79" i="6" s="1"/>
  <c r="J20" i="6"/>
  <c r="I20" i="6"/>
  <c r="H20" i="6"/>
  <c r="G20" i="6"/>
  <c r="F20" i="6"/>
  <c r="E20" i="6"/>
  <c r="D20" i="6"/>
  <c r="C20" i="6"/>
  <c r="B20" i="6"/>
  <c r="C76" i="6"/>
  <c r="D89" i="6" s="1"/>
  <c r="B76" i="6"/>
  <c r="H12" i="6"/>
  <c r="G12" i="6"/>
  <c r="F12" i="6"/>
  <c r="E12" i="6"/>
  <c r="C12" i="6"/>
  <c r="B12" i="6"/>
  <c r="C35" i="6"/>
  <c r="C36" i="6" s="1"/>
  <c r="J12" i="6"/>
  <c r="I12" i="6"/>
  <c r="D12" i="6"/>
  <c r="H9" i="6"/>
  <c r="G9" i="6"/>
  <c r="F9" i="6"/>
  <c r="E9" i="6"/>
  <c r="B9" i="6"/>
  <c r="E75" i="5"/>
  <c r="D75" i="5"/>
  <c r="C75" i="5"/>
  <c r="B75" i="5"/>
  <c r="F73" i="5"/>
  <c r="G73" i="5" s="1"/>
  <c r="H73" i="5" s="1"/>
  <c r="I73" i="5" s="1"/>
  <c r="J73" i="5" s="1"/>
  <c r="K73" i="5" s="1"/>
  <c r="E71" i="5"/>
  <c r="D71" i="5"/>
  <c r="C71" i="5"/>
  <c r="B71" i="5"/>
  <c r="K70" i="5"/>
  <c r="J70" i="5"/>
  <c r="I70" i="5"/>
  <c r="H70" i="5"/>
  <c r="G70" i="5"/>
  <c r="F70" i="5"/>
  <c r="E70" i="5"/>
  <c r="D70" i="5"/>
  <c r="C70" i="5"/>
  <c r="B70" i="5"/>
  <c r="E69" i="5"/>
  <c r="E77" i="5" s="1"/>
  <c r="D69" i="5"/>
  <c r="D77" i="5" s="1"/>
  <c r="C69" i="5"/>
  <c r="B69" i="5"/>
  <c r="K67" i="5"/>
  <c r="J67" i="5"/>
  <c r="I67" i="5"/>
  <c r="H67" i="5"/>
  <c r="G67" i="5"/>
  <c r="F67" i="5"/>
  <c r="E67" i="5"/>
  <c r="E65" i="5"/>
  <c r="D65" i="5"/>
  <c r="C65" i="5"/>
  <c r="B65" i="5"/>
  <c r="K64" i="5"/>
  <c r="J64" i="5"/>
  <c r="I64" i="5"/>
  <c r="H64" i="5"/>
  <c r="G64" i="5"/>
  <c r="F64" i="5"/>
  <c r="E64" i="5"/>
  <c r="D64" i="5"/>
  <c r="C64" i="5"/>
  <c r="B64" i="5"/>
  <c r="E51" i="5"/>
  <c r="D51" i="5"/>
  <c r="C51" i="5"/>
  <c r="B51" i="5"/>
  <c r="E48" i="5"/>
  <c r="D48" i="5"/>
  <c r="C48" i="5"/>
  <c r="B48" i="5"/>
  <c r="F46" i="5"/>
  <c r="G46" i="5" s="1"/>
  <c r="H46" i="5" s="1"/>
  <c r="I46" i="5" s="1"/>
  <c r="J46" i="5" s="1"/>
  <c r="K46" i="5" s="1"/>
  <c r="E44" i="5"/>
  <c r="D44" i="5"/>
  <c r="C44" i="5"/>
  <c r="B44" i="5"/>
  <c r="K43" i="5"/>
  <c r="J43" i="5"/>
  <c r="I43" i="5"/>
  <c r="H43" i="5"/>
  <c r="G43" i="5"/>
  <c r="F43" i="5"/>
  <c r="E43" i="5"/>
  <c r="D43" i="5"/>
  <c r="C43" i="5"/>
  <c r="B43" i="5"/>
  <c r="E42" i="5"/>
  <c r="E50" i="5" s="1"/>
  <c r="D42" i="5"/>
  <c r="C42" i="5"/>
  <c r="C50" i="5" s="1"/>
  <c r="B42" i="5"/>
  <c r="E38" i="5"/>
  <c r="D38" i="5"/>
  <c r="C38" i="5"/>
  <c r="B38" i="5"/>
  <c r="J37" i="5"/>
  <c r="I37" i="5"/>
  <c r="H37" i="5"/>
  <c r="E37" i="5"/>
  <c r="D37" i="5"/>
  <c r="F37" i="5" s="1"/>
  <c r="C37" i="5"/>
  <c r="B37" i="5"/>
  <c r="X265" i="1"/>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J10" i="1"/>
  <c r="C7" i="1"/>
  <c r="D50" i="5" l="1"/>
  <c r="B77" i="5"/>
  <c r="B50" i="5"/>
  <c r="G15" i="6"/>
  <c r="H15" i="6"/>
  <c r="B25" i="7"/>
  <c r="G9" i="7"/>
  <c r="F15" i="6"/>
  <c r="E15" i="6"/>
  <c r="B15" i="6"/>
  <c r="C79" i="6"/>
  <c r="D79" i="6"/>
  <c r="E79" i="6"/>
  <c r="F79" i="6"/>
  <c r="C64" i="6"/>
  <c r="D35" i="6"/>
  <c r="E35" i="6" s="1"/>
  <c r="E13" i="10"/>
  <c r="D13" i="10"/>
  <c r="F13" i="10"/>
  <c r="B13" i="10"/>
  <c r="C7" i="12"/>
  <c r="D35" i="8"/>
  <c r="P35" i="8" s="1"/>
  <c r="G79" i="6"/>
  <c r="C61" i="6"/>
  <c r="K15" i="7"/>
  <c r="C31" i="7"/>
  <c r="I31" i="7" s="1"/>
  <c r="G15" i="7"/>
  <c r="B33" i="7" s="1"/>
  <c r="B48" i="7" s="1"/>
  <c r="B31" i="7"/>
  <c r="B46" i="7" s="1"/>
  <c r="Y217" i="12"/>
  <c r="X201" i="1"/>
  <c r="U43" i="8"/>
  <c r="I43" i="8"/>
  <c r="I32" i="7"/>
  <c r="C40" i="7"/>
  <c r="C42" i="7"/>
  <c r="G16" i="9"/>
  <c r="W10" i="12"/>
  <c r="H16" i="9"/>
  <c r="F16" i="9"/>
  <c r="C16" i="9"/>
  <c r="W10" i="1"/>
  <c r="B10" i="9"/>
  <c r="H10" i="9" s="1"/>
  <c r="AC45" i="8"/>
  <c r="AE299" i="12"/>
  <c r="J35" i="8"/>
  <c r="Y7" i="12" s="1"/>
  <c r="M43" i="8"/>
  <c r="Y299" i="12"/>
  <c r="AL299" i="12" s="1"/>
  <c r="G43" i="7"/>
  <c r="C77" i="5"/>
  <c r="V35" i="8"/>
  <c r="AC7" i="12" s="1"/>
  <c r="G35" i="8"/>
  <c r="Y7" i="1"/>
  <c r="AC7" i="1"/>
  <c r="E11" i="8"/>
  <c r="Y19" i="8"/>
  <c r="G28" i="7"/>
  <c r="B27" i="7"/>
  <c r="B42" i="7" s="1"/>
  <c r="D43" i="7"/>
  <c r="B130" i="7"/>
  <c r="B185" i="7" s="1"/>
  <c r="H43" i="7"/>
  <c r="D28" i="7"/>
  <c r="C180" i="7"/>
  <c r="E28" i="7"/>
  <c r="F28" i="7"/>
  <c r="C130" i="7"/>
  <c r="B182" i="7"/>
  <c r="H28" i="7"/>
  <c r="C188" i="7"/>
  <c r="B46" i="6"/>
  <c r="B53" i="6" s="1"/>
  <c r="K12" i="6"/>
  <c r="C46" i="6"/>
  <c r="C86" i="6"/>
  <c r="B36" i="6"/>
  <c r="C48" i="6" s="1"/>
  <c r="B33" i="6"/>
  <c r="B51" i="6"/>
  <c r="C51" i="6"/>
  <c r="C9" i="6"/>
  <c r="C15" i="6" s="1"/>
  <c r="D48" i="1"/>
  <c r="Y164" i="1"/>
  <c r="S160" i="1"/>
  <c r="R237" i="1"/>
  <c r="R239" i="1" s="1"/>
  <c r="P48" i="1"/>
  <c r="AE128" i="1"/>
  <c r="Y231" i="1"/>
  <c r="X48" i="1"/>
  <c r="S227" i="1"/>
  <c r="S128" i="1"/>
  <c r="AE96" i="1"/>
  <c r="Q48" i="1"/>
  <c r="F196" i="1"/>
  <c r="F100" i="1"/>
  <c r="W100" i="1"/>
  <c r="D196" i="1"/>
  <c r="W260" i="1"/>
  <c r="H11" i="8"/>
  <c r="H34" i="7"/>
  <c r="I34" i="7"/>
  <c r="AE94" i="1"/>
  <c r="W231" i="1"/>
  <c r="AC44" i="8"/>
  <c r="Q44" i="8"/>
  <c r="Y44" i="8"/>
  <c r="M44" i="8"/>
  <c r="AB265" i="1"/>
  <c r="AE265" i="1" s="1"/>
  <c r="I44" i="8"/>
  <c r="U44" i="8"/>
  <c r="Y260" i="1"/>
  <c r="E78"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87" i="7"/>
  <c r="F132" i="1"/>
  <c r="AE190" i="1"/>
  <c r="AE193" i="1"/>
  <c r="Z202" i="1"/>
  <c r="Z204" i="1" s="1"/>
  <c r="S190" i="1"/>
  <c r="Y196" i="1"/>
  <c r="AE192" i="1"/>
  <c r="AD202" i="1"/>
  <c r="AD204" i="1" s="1"/>
  <c r="AE257" i="1"/>
  <c r="I32" i="6"/>
  <c r="B41" i="5"/>
  <c r="G237" i="1"/>
  <c r="G239" i="1" s="1"/>
  <c r="C61" i="7"/>
  <c r="C60" i="7"/>
  <c r="C59" i="7"/>
  <c r="C58" i="7"/>
  <c r="C57" i="7"/>
  <c r="G202" i="1"/>
  <c r="G204" i="1" s="1"/>
  <c r="C60" i="5"/>
  <c r="C59" i="5"/>
  <c r="D32" i="5"/>
  <c r="E265" i="1"/>
  <c r="B52" i="6"/>
  <c r="B86" i="6"/>
  <c r="M28" i="8"/>
  <c r="Y28" i="8"/>
  <c r="V28" i="8"/>
  <c r="J28" i="8"/>
  <c r="S28" i="8"/>
  <c r="P28" i="8"/>
  <c r="AE158" i="1"/>
  <c r="AE254" i="1"/>
  <c r="B78" i="5"/>
  <c r="B181" i="7"/>
  <c r="B167" i="7"/>
  <c r="S193" i="1"/>
  <c r="Z266" i="1"/>
  <c r="Z268" i="1" s="1"/>
  <c r="C78" i="5"/>
  <c r="D9" i="6"/>
  <c r="D15" i="6" s="1"/>
  <c r="E81" i="6"/>
  <c r="I22" i="10"/>
  <c r="B183" i="7"/>
  <c r="C183" i="7" s="1"/>
  <c r="V27" i="8"/>
  <c r="E258" i="12" s="1"/>
  <c r="J27" i="8"/>
  <c r="D29" i="8"/>
  <c r="S27" i="8"/>
  <c r="E217" i="12" s="1"/>
  <c r="P27" i="8"/>
  <c r="E176" i="12" s="1"/>
  <c r="M27" i="8"/>
  <c r="E135" i="12" s="1"/>
  <c r="AG46" i="8"/>
  <c r="K9" i="6"/>
  <c r="J9" i="6"/>
  <c r="J15" i="6" s="1"/>
  <c r="I9" i="6"/>
  <c r="I15" i="6" s="1"/>
  <c r="G13" i="10"/>
  <c r="C61" i="5"/>
  <c r="D78" i="5"/>
  <c r="F11" i="8"/>
  <c r="H13" i="10"/>
  <c r="C168" i="7"/>
  <c r="C182" i="7"/>
  <c r="C101" i="7"/>
  <c r="D186" i="7"/>
  <c r="Y93" i="12" s="1"/>
  <c r="D20" i="8"/>
  <c r="G11" i="8"/>
  <c r="I13" i="10"/>
  <c r="C30" i="6"/>
  <c r="C33" i="6" s="1"/>
  <c r="M19" i="8"/>
  <c r="F7" i="12" s="1"/>
  <c r="J13" i="10"/>
  <c r="B49" i="6"/>
  <c r="B80" i="6"/>
  <c r="C102" i="7"/>
  <c r="C100" i="7"/>
  <c r="V19" i="8"/>
  <c r="I7" i="12" s="1"/>
  <c r="J19" i="8"/>
  <c r="E7" i="12" s="1"/>
  <c r="S19" i="8"/>
  <c r="H7" i="12" s="1"/>
  <c r="G19" i="8"/>
  <c r="D7" i="12" s="1"/>
  <c r="P19" i="8"/>
  <c r="G7" i="12" s="1"/>
  <c r="Y45" i="8"/>
  <c r="M45" i="8"/>
  <c r="B36" i="10"/>
  <c r="B23" i="10"/>
  <c r="F10" i="9"/>
  <c r="B34" i="10"/>
  <c r="I45" i="8"/>
  <c r="U45" i="8"/>
  <c r="K11" i="10"/>
  <c r="K5" i="10" s="1"/>
  <c r="B18" i="10" s="1"/>
  <c r="I18" i="10" s="1"/>
  <c r="B24" i="10"/>
  <c r="E43" i="7"/>
  <c r="C181" i="7"/>
  <c r="F43" i="7"/>
  <c r="Q43" i="8"/>
  <c r="Y135" i="12" s="1"/>
  <c r="AC43" i="8"/>
  <c r="Y258" i="12" s="1"/>
  <c r="D16" i="9"/>
  <c r="E16" i="9"/>
  <c r="Q45" i="8"/>
  <c r="C80" i="6" l="1"/>
  <c r="C84" i="6" s="1"/>
  <c r="I46" i="8"/>
  <c r="K112" i="7"/>
  <c r="K113" i="7"/>
  <c r="K114" i="7"/>
  <c r="I114" i="7" s="1"/>
  <c r="C65" i="6"/>
  <c r="C63" i="6"/>
  <c r="C49" i="6"/>
  <c r="C53" i="6" s="1"/>
  <c r="C47" i="6"/>
  <c r="B40" i="7"/>
  <c r="K73" i="7"/>
  <c r="I73" i="7" s="1"/>
  <c r="I61" i="6"/>
  <c r="I34" i="6"/>
  <c r="C39" i="6"/>
  <c r="B39" i="6"/>
  <c r="K15" i="6"/>
  <c r="D34" i="5"/>
  <c r="D61" i="5" s="1"/>
  <c r="D33" i="5"/>
  <c r="D60" i="5" s="1"/>
  <c r="D64" i="6"/>
  <c r="C59" i="6"/>
  <c r="C62" i="6" s="1"/>
  <c r="D30" i="6"/>
  <c r="M35" i="8"/>
  <c r="Z7" i="12" s="1"/>
  <c r="I24" i="10"/>
  <c r="C8" i="12"/>
  <c r="C6" i="12" s="1"/>
  <c r="D36" i="8"/>
  <c r="W7" i="12"/>
  <c r="W7" i="1"/>
  <c r="Y35" i="8"/>
  <c r="S35" i="8"/>
  <c r="AB7" i="12" s="1"/>
  <c r="G10" i="9"/>
  <c r="H10" i="12" s="1"/>
  <c r="I49" i="7"/>
  <c r="I120" i="7"/>
  <c r="H49" i="7"/>
  <c r="H120" i="7"/>
  <c r="H26" i="7"/>
  <c r="H41" i="7" s="1"/>
  <c r="H42" i="7" s="1"/>
  <c r="G26" i="7"/>
  <c r="G41" i="7" s="1"/>
  <c r="G42" i="7" s="1"/>
  <c r="F26" i="7"/>
  <c r="F41" i="7" s="1"/>
  <c r="F42" i="7" s="1"/>
  <c r="I41" i="7"/>
  <c r="I42" i="7" s="1"/>
  <c r="D26" i="7"/>
  <c r="D41" i="7" s="1"/>
  <c r="D42" i="7" s="1"/>
  <c r="E26" i="7"/>
  <c r="E41" i="7" s="1"/>
  <c r="E42" i="7" s="1"/>
  <c r="C33" i="7"/>
  <c r="C48" i="7" s="1"/>
  <c r="C46" i="7"/>
  <c r="I46" i="7" s="1"/>
  <c r="Y176" i="12"/>
  <c r="X169" i="1"/>
  <c r="E31" i="7"/>
  <c r="G31" i="7"/>
  <c r="H31" i="7"/>
  <c r="D31" i="7"/>
  <c r="F31" i="7"/>
  <c r="E32" i="7"/>
  <c r="G32" i="7"/>
  <c r="H32" i="7"/>
  <c r="F32" i="7"/>
  <c r="D32" i="7"/>
  <c r="Y10" i="1"/>
  <c r="Y10" i="12"/>
  <c r="C10" i="9"/>
  <c r="C10" i="12"/>
  <c r="C10" i="1"/>
  <c r="E10" i="9"/>
  <c r="D10" i="9"/>
  <c r="Z10" i="1"/>
  <c r="Z10" i="12"/>
  <c r="G10" i="1"/>
  <c r="G10" i="12"/>
  <c r="I10" i="1"/>
  <c r="I10" i="12"/>
  <c r="X10" i="12"/>
  <c r="X10" i="1"/>
  <c r="AA10" i="12"/>
  <c r="AA10" i="1"/>
  <c r="AC10" i="12"/>
  <c r="AC10" i="1"/>
  <c r="AB10" i="12"/>
  <c r="AB10" i="1"/>
  <c r="C9" i="1"/>
  <c r="C9" i="12"/>
  <c r="W9" i="1"/>
  <c r="W9" i="12"/>
  <c r="E94" i="12"/>
  <c r="E105" i="1"/>
  <c r="P236" i="1"/>
  <c r="O258" i="12"/>
  <c r="R258" i="12" s="1"/>
  <c r="AB201" i="1"/>
  <c r="AI217" i="12"/>
  <c r="P265" i="1"/>
  <c r="S265" i="1" s="1"/>
  <c r="O299" i="12"/>
  <c r="R299" i="12" s="1"/>
  <c r="AB137" i="1"/>
  <c r="AI135" i="12"/>
  <c r="AL135" i="12" s="1"/>
  <c r="AA7" i="1"/>
  <c r="AA7" i="12"/>
  <c r="P137" i="1"/>
  <c r="O135" i="12"/>
  <c r="AB236" i="1"/>
  <c r="AI258" i="12"/>
  <c r="AA137" i="1"/>
  <c r="AE135" i="12"/>
  <c r="X105" i="1"/>
  <c r="Y94" i="12"/>
  <c r="J7" i="1"/>
  <c r="J7" i="12"/>
  <c r="X7" i="1"/>
  <c r="X7" i="12"/>
  <c r="R135" i="12"/>
  <c r="AB169" i="1"/>
  <c r="AI176" i="12"/>
  <c r="AA169" i="1"/>
  <c r="AE176" i="12"/>
  <c r="AA105" i="1"/>
  <c r="AE94" i="12"/>
  <c r="P169" i="1"/>
  <c r="O176" i="12"/>
  <c r="R176" i="12"/>
  <c r="P201" i="1"/>
  <c r="O217" i="12"/>
  <c r="R217" i="12" s="1"/>
  <c r="AA201" i="1"/>
  <c r="AE217" i="12"/>
  <c r="O94" i="12"/>
  <c r="P105" i="1"/>
  <c r="AB105" i="1"/>
  <c r="AI94" i="12"/>
  <c r="AA236" i="1"/>
  <c r="AE258" i="12"/>
  <c r="AL258" i="12" s="1"/>
  <c r="C113" i="7"/>
  <c r="B127" i="7"/>
  <c r="B129" i="7"/>
  <c r="D41" i="5"/>
  <c r="Y29" i="8"/>
  <c r="U46" i="8"/>
  <c r="Z7" i="1"/>
  <c r="Y46" i="8"/>
  <c r="H27" i="7"/>
  <c r="H80" i="7" s="1"/>
  <c r="I27" i="7"/>
  <c r="I47" i="7"/>
  <c r="H22" i="10"/>
  <c r="H32" i="6"/>
  <c r="H34" i="6" s="1"/>
  <c r="H50" i="6" s="1"/>
  <c r="B35" i="10"/>
  <c r="B22" i="10"/>
  <c r="H7" i="1"/>
  <c r="I35" i="10"/>
  <c r="B84" i="6"/>
  <c r="B68" i="5"/>
  <c r="I7" i="1"/>
  <c r="E32" i="5"/>
  <c r="D59" i="5"/>
  <c r="C63" i="7"/>
  <c r="F7" i="1"/>
  <c r="E34" i="7"/>
  <c r="E32" i="6"/>
  <c r="D34" i="7"/>
  <c r="D32" i="6"/>
  <c r="M46" i="8"/>
  <c r="I33" i="7"/>
  <c r="E7" i="1"/>
  <c r="C111" i="7"/>
  <c r="B128" i="7"/>
  <c r="C41" i="5"/>
  <c r="D7" i="1"/>
  <c r="B92" i="7"/>
  <c r="E41" i="5"/>
  <c r="G32" i="6"/>
  <c r="G34" i="7"/>
  <c r="E169" i="1"/>
  <c r="P29" i="8"/>
  <c r="C74" i="5"/>
  <c r="E68" i="5"/>
  <c r="E186" i="7"/>
  <c r="Y134" i="12" s="1"/>
  <c r="X104" i="1"/>
  <c r="C68" i="5"/>
  <c r="C22" i="10"/>
  <c r="G7" i="1"/>
  <c r="D22" i="10"/>
  <c r="F81" i="6"/>
  <c r="K111" i="7"/>
  <c r="K127" i="7"/>
  <c r="K128" i="7"/>
  <c r="K126" i="7"/>
  <c r="K110" i="7"/>
  <c r="C112" i="7"/>
  <c r="C110" i="7"/>
  <c r="C105" i="7"/>
  <c r="B126" i="7"/>
  <c r="M29" i="8"/>
  <c r="E137" i="1"/>
  <c r="S137" i="1" s="1"/>
  <c r="C128" i="7"/>
  <c r="C129" i="7"/>
  <c r="C185" i="7"/>
  <c r="C126" i="7"/>
  <c r="C127" i="7"/>
  <c r="K13" i="10"/>
  <c r="L13" i="10" s="1"/>
  <c r="S29" i="8"/>
  <c r="E201" i="1"/>
  <c r="S201" i="1" s="1"/>
  <c r="E22" i="10"/>
  <c r="D22" i="8"/>
  <c r="D38" i="8" s="1"/>
  <c r="D21" i="8"/>
  <c r="D37" i="8" s="1"/>
  <c r="AC46" i="8"/>
  <c r="X236" i="1"/>
  <c r="F22" i="10"/>
  <c r="P20" i="8"/>
  <c r="M20" i="8"/>
  <c r="Y20" i="8"/>
  <c r="J8" i="12" s="1"/>
  <c r="V20" i="8"/>
  <c r="J20" i="8"/>
  <c r="S20" i="8"/>
  <c r="G20" i="8"/>
  <c r="C8" i="1"/>
  <c r="C6" i="1" s="1"/>
  <c r="F34" i="7"/>
  <c r="F32" i="6"/>
  <c r="D68" i="5"/>
  <c r="J29" i="8"/>
  <c r="Q46" i="8"/>
  <c r="O50" i="8" s="1"/>
  <c r="X137" i="1"/>
  <c r="D181" i="7"/>
  <c r="Y92" i="12" s="1"/>
  <c r="G22" i="10"/>
  <c r="V29" i="8"/>
  <c r="E236" i="1"/>
  <c r="S236" i="1" s="1"/>
  <c r="C68" i="6" l="1"/>
  <c r="D114" i="7"/>
  <c r="F114" i="7"/>
  <c r="G114" i="7"/>
  <c r="H114" i="7"/>
  <c r="E114" i="7"/>
  <c r="I63" i="6"/>
  <c r="H49" i="6"/>
  <c r="I43" i="6"/>
  <c r="I50" i="6"/>
  <c r="I49" i="6"/>
  <c r="H43" i="6"/>
  <c r="I45" i="6"/>
  <c r="C295" i="12" s="1"/>
  <c r="C301" i="12" s="1"/>
  <c r="I47" i="6"/>
  <c r="H45" i="6"/>
  <c r="C254" i="12" s="1"/>
  <c r="C260" i="12" s="1"/>
  <c r="H47" i="6"/>
  <c r="K71" i="7"/>
  <c r="I71" i="7" s="1"/>
  <c r="K74" i="7"/>
  <c r="I74" i="7" s="1"/>
  <c r="K72" i="7"/>
  <c r="I72" i="7" s="1"/>
  <c r="G73" i="7"/>
  <c r="D73" i="7"/>
  <c r="F73" i="7"/>
  <c r="E73" i="7"/>
  <c r="H73" i="7"/>
  <c r="G61" i="6"/>
  <c r="G34" i="6"/>
  <c r="D61" i="6"/>
  <c r="D34" i="6"/>
  <c r="E61" i="6"/>
  <c r="E34" i="6"/>
  <c r="F61" i="6"/>
  <c r="F34" i="6"/>
  <c r="E34" i="5"/>
  <c r="E61" i="5" s="1"/>
  <c r="E33" i="5"/>
  <c r="E60" i="5" s="1"/>
  <c r="F35" i="6"/>
  <c r="F36" i="6" s="1"/>
  <c r="E64" i="6"/>
  <c r="D59" i="6"/>
  <c r="E30" i="6"/>
  <c r="E33" i="6" s="1"/>
  <c r="E19" i="10"/>
  <c r="E18" i="10" s="1"/>
  <c r="E24" i="10" s="1"/>
  <c r="D19" i="10"/>
  <c r="D18" i="10" s="1"/>
  <c r="D24" i="10" s="1"/>
  <c r="C19" i="10"/>
  <c r="C18" i="10" s="1"/>
  <c r="C24" i="10" s="1"/>
  <c r="G19" i="10"/>
  <c r="G18" i="10" s="1"/>
  <c r="G24" i="10" s="1"/>
  <c r="H19" i="10"/>
  <c r="H18" i="10" s="1"/>
  <c r="H24" i="10" s="1"/>
  <c r="F19" i="10"/>
  <c r="F18" i="10" s="1"/>
  <c r="F24" i="10" s="1"/>
  <c r="C31" i="10"/>
  <c r="E31" i="10"/>
  <c r="G31" i="10"/>
  <c r="F31" i="10"/>
  <c r="H31" i="10"/>
  <c r="D31" i="10"/>
  <c r="D27" i="7"/>
  <c r="D80" i="7" s="1"/>
  <c r="F27" i="7"/>
  <c r="F80" i="7" s="1"/>
  <c r="E27" i="7"/>
  <c r="E80" i="7" s="1"/>
  <c r="S105" i="1"/>
  <c r="AB7" i="1"/>
  <c r="H10" i="1"/>
  <c r="AD7" i="12"/>
  <c r="AD7" i="1"/>
  <c r="W8" i="12"/>
  <c r="W6" i="12" s="1"/>
  <c r="W8" i="1"/>
  <c r="W6" i="1" s="1"/>
  <c r="Y36" i="8"/>
  <c r="S36" i="8"/>
  <c r="P36" i="8"/>
  <c r="V36" i="8"/>
  <c r="G36" i="8"/>
  <c r="J36" i="8"/>
  <c r="M36" i="8"/>
  <c r="F49" i="7"/>
  <c r="F120" i="7"/>
  <c r="G49" i="7"/>
  <c r="G120" i="7"/>
  <c r="H61" i="6"/>
  <c r="E49" i="7"/>
  <c r="E120" i="7"/>
  <c r="D49" i="7"/>
  <c r="D120" i="7"/>
  <c r="I80" i="7"/>
  <c r="G27" i="7"/>
  <c r="G80" i="7" s="1"/>
  <c r="I113" i="7"/>
  <c r="H113" i="7" s="1"/>
  <c r="AE201" i="1"/>
  <c r="AE105" i="1"/>
  <c r="AE137" i="1"/>
  <c r="AE236" i="1"/>
  <c r="F33" i="7"/>
  <c r="I127" i="7"/>
  <c r="H127" i="7" s="1"/>
  <c r="F46" i="7"/>
  <c r="G46" i="7"/>
  <c r="D46" i="7"/>
  <c r="H46" i="7"/>
  <c r="E46" i="7"/>
  <c r="E47" i="7"/>
  <c r="F47" i="7"/>
  <c r="G47" i="7"/>
  <c r="H47" i="7"/>
  <c r="D47" i="7"/>
  <c r="K69" i="7"/>
  <c r="I69" i="7" s="1"/>
  <c r="I112" i="7"/>
  <c r="H112" i="7" s="1"/>
  <c r="E10" i="12"/>
  <c r="E10" i="1"/>
  <c r="F10" i="12"/>
  <c r="F10" i="1"/>
  <c r="D10" i="12"/>
  <c r="D10" i="1"/>
  <c r="G34" i="10"/>
  <c r="G35" i="10" s="1"/>
  <c r="G36" i="10" s="1"/>
  <c r="E34" i="10"/>
  <c r="E35" i="10" s="1"/>
  <c r="E36" i="10" s="1"/>
  <c r="F34" i="10"/>
  <c r="F35" i="10" s="1"/>
  <c r="F36" i="10" s="1"/>
  <c r="AF201" i="1"/>
  <c r="D8" i="1"/>
  <c r="D6" i="1" s="1"/>
  <c r="D8" i="12"/>
  <c r="D6" i="12" s="1"/>
  <c r="I8" i="1"/>
  <c r="I6" i="1" s="1"/>
  <c r="I8" i="12"/>
  <c r="I6" i="12" s="1"/>
  <c r="F8" i="1"/>
  <c r="F6" i="1" s="1"/>
  <c r="F8" i="12"/>
  <c r="F6" i="12" s="1"/>
  <c r="J6" i="12"/>
  <c r="AL217" i="12"/>
  <c r="G8" i="1"/>
  <c r="G6" i="1" s="1"/>
  <c r="G8" i="12"/>
  <c r="G6" i="12" s="1"/>
  <c r="H8" i="1"/>
  <c r="H6" i="1" s="1"/>
  <c r="H8" i="12"/>
  <c r="H6" i="12" s="1"/>
  <c r="AL176" i="12"/>
  <c r="AL94" i="12"/>
  <c r="AE169" i="1"/>
  <c r="S169" i="1"/>
  <c r="R94" i="12"/>
  <c r="E8" i="1"/>
  <c r="E6" i="1" s="1"/>
  <c r="E8" i="12"/>
  <c r="E6" i="12" s="1"/>
  <c r="I129" i="7"/>
  <c r="E129" i="7" s="1"/>
  <c r="K70" i="7"/>
  <c r="I70" i="7" s="1"/>
  <c r="H33" i="7"/>
  <c r="H34" i="10"/>
  <c r="H35" i="10" s="1"/>
  <c r="H36" i="10" s="1"/>
  <c r="D33" i="7"/>
  <c r="G21" i="8"/>
  <c r="J21" i="8"/>
  <c r="G33" i="7"/>
  <c r="E33" i="7"/>
  <c r="I48" i="7"/>
  <c r="K87" i="7"/>
  <c r="K86" i="7"/>
  <c r="H23" i="10"/>
  <c r="I23" i="10"/>
  <c r="B74" i="5"/>
  <c r="B76" i="5" s="1"/>
  <c r="D23" i="10"/>
  <c r="C23" i="10"/>
  <c r="I36" i="10"/>
  <c r="P21" i="8"/>
  <c r="C76" i="5"/>
  <c r="E36" i="6"/>
  <c r="F23" i="10"/>
  <c r="D33" i="6"/>
  <c r="D36" i="6"/>
  <c r="I111" i="7"/>
  <c r="H111" i="7" s="1"/>
  <c r="E181" i="7"/>
  <c r="Y133" i="12" s="1"/>
  <c r="X103" i="1"/>
  <c r="S21" i="8"/>
  <c r="E47" i="5"/>
  <c r="E49" i="5" s="1"/>
  <c r="C47" i="5"/>
  <c r="B47" i="5"/>
  <c r="B49" i="5" s="1"/>
  <c r="D47" i="5"/>
  <c r="D74" i="5"/>
  <c r="F186" i="7"/>
  <c r="Y175" i="12" s="1"/>
  <c r="X136" i="1"/>
  <c r="B89" i="7"/>
  <c r="B90" i="7"/>
  <c r="B86" i="7"/>
  <c r="B88" i="7"/>
  <c r="B87" i="7"/>
  <c r="B180" i="7"/>
  <c r="M21" i="8"/>
  <c r="I126" i="7"/>
  <c r="H126" i="7" s="1"/>
  <c r="J8" i="1"/>
  <c r="J6" i="1" s="1"/>
  <c r="Y21" i="8"/>
  <c r="E23" i="10"/>
  <c r="V21" i="8"/>
  <c r="C34" i="10"/>
  <c r="C35" i="10" s="1"/>
  <c r="C36" i="10" s="1"/>
  <c r="F32" i="5"/>
  <c r="E59" i="5"/>
  <c r="G23" i="10"/>
  <c r="I110" i="7"/>
  <c r="G81" i="6"/>
  <c r="E74" i="5"/>
  <c r="E76" i="5" s="1"/>
  <c r="I128" i="7"/>
  <c r="E128" i="7" s="1"/>
  <c r="D34" i="10"/>
  <c r="D35" i="10" s="1"/>
  <c r="D36" i="10" s="1"/>
  <c r="I75" i="6" l="1"/>
  <c r="W295" i="12" s="1"/>
  <c r="W301" i="12" s="1"/>
  <c r="I82" i="6"/>
  <c r="W302" i="12" s="1"/>
  <c r="C49" i="5"/>
  <c r="D65" i="6"/>
  <c r="D63" i="6"/>
  <c r="D82" i="6" s="1"/>
  <c r="W97" i="12" s="1"/>
  <c r="G63" i="6"/>
  <c r="D62" i="6"/>
  <c r="E65" i="6"/>
  <c r="E63" i="6"/>
  <c r="F63" i="6"/>
  <c r="H63" i="6"/>
  <c r="I115" i="7"/>
  <c r="E43" i="6"/>
  <c r="E50" i="6"/>
  <c r="E49" i="6"/>
  <c r="D43" i="6"/>
  <c r="D50" i="6"/>
  <c r="D49" i="6"/>
  <c r="G43" i="6"/>
  <c r="G50" i="6"/>
  <c r="G49" i="6"/>
  <c r="F43" i="6"/>
  <c r="F50" i="6"/>
  <c r="F49" i="6"/>
  <c r="E44" i="6"/>
  <c r="D44" i="6"/>
  <c r="D48" i="6"/>
  <c r="F45" i="6"/>
  <c r="C172" i="12" s="1"/>
  <c r="C178" i="12" s="1"/>
  <c r="F47" i="6"/>
  <c r="E45" i="6"/>
  <c r="C131" i="12" s="1"/>
  <c r="C137" i="12" s="1"/>
  <c r="E47" i="6"/>
  <c r="G45" i="6"/>
  <c r="C213" i="12" s="1"/>
  <c r="C219" i="12" s="1"/>
  <c r="G47" i="6"/>
  <c r="D45" i="6"/>
  <c r="C90" i="12" s="1"/>
  <c r="C96" i="12" s="1"/>
  <c r="D47" i="6"/>
  <c r="E48" i="6"/>
  <c r="D69" i="7"/>
  <c r="H69" i="7"/>
  <c r="E69" i="7"/>
  <c r="G69" i="7"/>
  <c r="F69" i="7"/>
  <c r="G70" i="7"/>
  <c r="D70" i="7"/>
  <c r="F70" i="7"/>
  <c r="H70" i="7"/>
  <c r="E70" i="7"/>
  <c r="G72" i="7"/>
  <c r="H72" i="7"/>
  <c r="D72" i="7"/>
  <c r="F72" i="7"/>
  <c r="E72" i="7"/>
  <c r="E74" i="7"/>
  <c r="F74" i="7"/>
  <c r="H74" i="7"/>
  <c r="D74" i="7"/>
  <c r="G74" i="7"/>
  <c r="D71" i="7"/>
  <c r="F71" i="7"/>
  <c r="G71" i="7"/>
  <c r="E71" i="7"/>
  <c r="H71" i="7"/>
  <c r="E39" i="6"/>
  <c r="D39" i="6"/>
  <c r="F34" i="5"/>
  <c r="F61" i="5" s="1"/>
  <c r="F75" i="5" s="1"/>
  <c r="F33" i="5"/>
  <c r="F60" i="5" s="1"/>
  <c r="D113" i="7"/>
  <c r="F113" i="7"/>
  <c r="G113" i="7"/>
  <c r="E113" i="7"/>
  <c r="G35" i="6"/>
  <c r="F64" i="6"/>
  <c r="F65" i="6" s="1"/>
  <c r="E59" i="6"/>
  <c r="E62" i="6" s="1"/>
  <c r="F30" i="6"/>
  <c r="AD8" i="12"/>
  <c r="AD8" i="1"/>
  <c r="AA8" i="1"/>
  <c r="AA6" i="1" s="1"/>
  <c r="AA8" i="12"/>
  <c r="AA6" i="12" s="1"/>
  <c r="P37" i="8"/>
  <c r="AB8" i="12"/>
  <c r="AB6" i="12" s="1"/>
  <c r="AB8" i="1"/>
  <c r="AB6" i="1" s="1"/>
  <c r="S37" i="8"/>
  <c r="AD6" i="1"/>
  <c r="M37" i="8"/>
  <c r="Z8" i="1"/>
  <c r="Z6" i="1" s="1"/>
  <c r="Z8" i="12"/>
  <c r="Z6" i="12" s="1"/>
  <c r="Y37" i="8"/>
  <c r="Y8" i="12"/>
  <c r="Y6" i="12" s="1"/>
  <c r="J37" i="8"/>
  <c r="Y8" i="1"/>
  <c r="Y6" i="1" s="1"/>
  <c r="AD6" i="12"/>
  <c r="G37" i="8"/>
  <c r="X8" i="12"/>
  <c r="X6" i="12" s="1"/>
  <c r="X8" i="1"/>
  <c r="X6" i="1" s="1"/>
  <c r="AC8" i="12"/>
  <c r="AC6" i="12" s="1"/>
  <c r="V37" i="8"/>
  <c r="AC8" i="1"/>
  <c r="AC6" i="1" s="1"/>
  <c r="D127" i="7"/>
  <c r="G127" i="7"/>
  <c r="F127" i="7"/>
  <c r="E127" i="7"/>
  <c r="E48" i="7"/>
  <c r="G129" i="7"/>
  <c r="F112" i="7"/>
  <c r="G112" i="7"/>
  <c r="E112" i="7"/>
  <c r="D112" i="7"/>
  <c r="F129" i="7"/>
  <c r="H129" i="7"/>
  <c r="D129" i="7"/>
  <c r="H48" i="7"/>
  <c r="G48" i="7"/>
  <c r="D48" i="7"/>
  <c r="F48" i="7"/>
  <c r="AA9" i="1"/>
  <c r="AA9" i="12"/>
  <c r="AB9" i="1"/>
  <c r="AB9" i="12"/>
  <c r="AD9" i="1"/>
  <c r="AD9" i="12"/>
  <c r="Y9" i="1"/>
  <c r="Y9" i="12"/>
  <c r="X9" i="1"/>
  <c r="X9" i="12"/>
  <c r="Z9" i="1"/>
  <c r="Z9" i="12"/>
  <c r="AC9" i="1"/>
  <c r="AC9" i="12"/>
  <c r="E9" i="1"/>
  <c r="E9" i="12"/>
  <c r="D9" i="1"/>
  <c r="D9" i="12"/>
  <c r="H9" i="1"/>
  <c r="H9" i="12"/>
  <c r="J9" i="1"/>
  <c r="J9" i="12"/>
  <c r="F9" i="1"/>
  <c r="F9" i="12"/>
  <c r="I9" i="1"/>
  <c r="I9" i="12"/>
  <c r="G9" i="1"/>
  <c r="G9" i="12"/>
  <c r="D128" i="7"/>
  <c r="F126" i="7"/>
  <c r="F128" i="7"/>
  <c r="G128" i="7"/>
  <c r="H110" i="7"/>
  <c r="E111" i="7"/>
  <c r="D111" i="7"/>
  <c r="D126" i="7"/>
  <c r="F111" i="7"/>
  <c r="E126" i="7"/>
  <c r="G111" i="7"/>
  <c r="G126" i="7"/>
  <c r="F110" i="7"/>
  <c r="G110" i="7"/>
  <c r="F74" i="5"/>
  <c r="I87" i="7"/>
  <c r="D87" i="7" s="1"/>
  <c r="I88" i="7"/>
  <c r="E88" i="7" s="1"/>
  <c r="I86" i="7"/>
  <c r="G86" i="7" s="1"/>
  <c r="I90" i="7"/>
  <c r="F90" i="7" s="1"/>
  <c r="H81" i="6"/>
  <c r="I89" i="7"/>
  <c r="F47" i="5"/>
  <c r="D49" i="5"/>
  <c r="F59" i="5"/>
  <c r="G32" i="5"/>
  <c r="F41" i="5"/>
  <c r="F42" i="5"/>
  <c r="F181" i="7"/>
  <c r="Y174" i="12" s="1"/>
  <c r="X135" i="1"/>
  <c r="H128" i="7"/>
  <c r="D110" i="7"/>
  <c r="I130" i="7"/>
  <c r="I185" i="7" s="1"/>
  <c r="E110" i="7"/>
  <c r="G186" i="7"/>
  <c r="Y216" i="12" s="1"/>
  <c r="X168" i="1"/>
  <c r="D76" i="5"/>
  <c r="F75" i="6" l="1"/>
  <c r="W172" i="12" s="1"/>
  <c r="W178" i="12" s="1"/>
  <c r="W180" i="12" s="1"/>
  <c r="F82" i="6"/>
  <c r="W179" i="12" s="1"/>
  <c r="E75" i="6"/>
  <c r="W131" i="12" s="1"/>
  <c r="W137" i="12" s="1"/>
  <c r="E82" i="6"/>
  <c r="W138" i="12" s="1"/>
  <c r="H75" i="6"/>
  <c r="W254" i="12" s="1"/>
  <c r="W260" i="12" s="1"/>
  <c r="W262" i="12" s="1"/>
  <c r="H82" i="6"/>
  <c r="W261" i="12" s="1"/>
  <c r="E74" i="6"/>
  <c r="E68" i="6"/>
  <c r="G75" i="6"/>
  <c r="W213" i="12" s="1"/>
  <c r="W219" i="12" s="1"/>
  <c r="W221" i="12" s="1"/>
  <c r="G82" i="6"/>
  <c r="W220" i="12" s="1"/>
  <c r="D68" i="6"/>
  <c r="F68" i="6"/>
  <c r="W303" i="12"/>
  <c r="F48" i="5"/>
  <c r="B169" i="5"/>
  <c r="H89" i="7"/>
  <c r="I92" i="7"/>
  <c r="I180" i="7" s="1"/>
  <c r="I191" i="7" s="1"/>
  <c r="E46" i="6"/>
  <c r="I73" i="6"/>
  <c r="D73" i="6"/>
  <c r="E73" i="6"/>
  <c r="F73" i="6"/>
  <c r="D75" i="6"/>
  <c r="W90" i="12" s="1"/>
  <c r="W96" i="12" s="1"/>
  <c r="W98" i="12" s="1"/>
  <c r="G73" i="6"/>
  <c r="H73" i="6"/>
  <c r="D74" i="6"/>
  <c r="D42" i="6"/>
  <c r="D46" i="6"/>
  <c r="E42" i="6"/>
  <c r="E53" i="6" s="1"/>
  <c r="C97" i="12"/>
  <c r="C98" i="12" s="1"/>
  <c r="G115" i="7"/>
  <c r="H115" i="7"/>
  <c r="H171" i="7" s="1"/>
  <c r="E115" i="7"/>
  <c r="F115" i="7"/>
  <c r="F171" i="7" s="1"/>
  <c r="D115" i="7"/>
  <c r="C138" i="12"/>
  <c r="C139" i="12" s="1"/>
  <c r="E130" i="7"/>
  <c r="E185" i="7" s="1"/>
  <c r="E187" i="7" s="1"/>
  <c r="I171" i="7"/>
  <c r="I173" i="7" s="1"/>
  <c r="G33" i="5"/>
  <c r="G38" i="5" s="1"/>
  <c r="G41" i="5" s="1"/>
  <c r="G34" i="5"/>
  <c r="H35" i="6"/>
  <c r="G64" i="6"/>
  <c r="G65" i="6" s="1"/>
  <c r="G36" i="6"/>
  <c r="G30" i="6"/>
  <c r="F59" i="6"/>
  <c r="F62" i="6" s="1"/>
  <c r="F74" i="6" s="1"/>
  <c r="F33" i="6"/>
  <c r="H130" i="7"/>
  <c r="H185" i="7" s="1"/>
  <c r="H187" i="7" s="1"/>
  <c r="X101" i="1"/>
  <c r="G130" i="7"/>
  <c r="G185" i="7" s="1"/>
  <c r="G187" i="7" s="1"/>
  <c r="D130" i="7"/>
  <c r="D185" i="7" s="1"/>
  <c r="D187" i="7" s="1"/>
  <c r="F130" i="7"/>
  <c r="F185" i="7" s="1"/>
  <c r="F187" i="7" s="1"/>
  <c r="F49" i="5"/>
  <c r="E91" i="12" s="1"/>
  <c r="G90" i="7"/>
  <c r="D86" i="7"/>
  <c r="E86" i="7"/>
  <c r="H86" i="7"/>
  <c r="C88" i="7"/>
  <c r="C86" i="7"/>
  <c r="F86" i="7"/>
  <c r="E89" i="7"/>
  <c r="D88" i="7"/>
  <c r="F88" i="7"/>
  <c r="H88" i="7"/>
  <c r="G88" i="7"/>
  <c r="E87" i="7"/>
  <c r="F87" i="7"/>
  <c r="G87" i="7"/>
  <c r="H87" i="7"/>
  <c r="E51" i="6"/>
  <c r="E52" i="6"/>
  <c r="I187" i="7"/>
  <c r="F89" i="7"/>
  <c r="G59" i="5"/>
  <c r="H32" i="5"/>
  <c r="C89" i="7"/>
  <c r="H90" i="7"/>
  <c r="D51" i="6"/>
  <c r="D52" i="6"/>
  <c r="F69" i="5"/>
  <c r="F77" i="5" s="1"/>
  <c r="F68" i="5"/>
  <c r="F76" i="5" s="1"/>
  <c r="G181" i="7"/>
  <c r="Y215" i="12" s="1"/>
  <c r="X167" i="1"/>
  <c r="D90" i="7"/>
  <c r="H186" i="7"/>
  <c r="Y257" i="12" s="1"/>
  <c r="X200" i="1"/>
  <c r="D89" i="7"/>
  <c r="D92" i="7" s="1"/>
  <c r="C90" i="7"/>
  <c r="F50" i="5"/>
  <c r="O91" i="12" s="1"/>
  <c r="G89" i="7"/>
  <c r="E90" i="7"/>
  <c r="C87" i="7"/>
  <c r="F78" i="6" l="1"/>
  <c r="F80" i="6"/>
  <c r="F77" i="6"/>
  <c r="F76" i="6" s="1"/>
  <c r="F85" i="6"/>
  <c r="E77" i="6"/>
  <c r="E85" i="6"/>
  <c r="E78" i="6"/>
  <c r="E80" i="6"/>
  <c r="E84" i="6" s="1"/>
  <c r="D85" i="6"/>
  <c r="D77" i="6"/>
  <c r="D78" i="6"/>
  <c r="D80" i="6"/>
  <c r="X107" i="1" s="1"/>
  <c r="W74" i="12"/>
  <c r="W69" i="12" s="1"/>
  <c r="W88" i="12"/>
  <c r="D86" i="6"/>
  <c r="AC101" i="1" s="1"/>
  <c r="AC106" i="1" s="1"/>
  <c r="AC108" i="1" s="1"/>
  <c r="AC100" i="1" s="1"/>
  <c r="AC95" i="1" s="1"/>
  <c r="AC99" i="1" s="1"/>
  <c r="E86" i="6"/>
  <c r="D55" i="6"/>
  <c r="E55" i="6" s="1"/>
  <c r="W139" i="12"/>
  <c r="D72" i="6"/>
  <c r="G42" i="5"/>
  <c r="B136" i="5"/>
  <c r="B171" i="5"/>
  <c r="B172" i="5"/>
  <c r="B170" i="5"/>
  <c r="G60" i="5"/>
  <c r="E92" i="7"/>
  <c r="F92" i="7"/>
  <c r="F180" i="7" s="1"/>
  <c r="F182" i="7" s="1"/>
  <c r="G92" i="7"/>
  <c r="G180" i="7" s="1"/>
  <c r="G182" i="7" s="1"/>
  <c r="H92" i="7"/>
  <c r="E72" i="6"/>
  <c r="Y131" i="12" s="1"/>
  <c r="C91" i="6"/>
  <c r="C90" i="6"/>
  <c r="D90" i="6" s="1"/>
  <c r="F72" i="6"/>
  <c r="Y172" i="12" s="1"/>
  <c r="D84" i="6"/>
  <c r="Y97" i="12"/>
  <c r="D53" i="6"/>
  <c r="I174" i="7"/>
  <c r="P264" i="1" s="1"/>
  <c r="F48" i="6"/>
  <c r="F46" i="6" s="1"/>
  <c r="F44" i="6"/>
  <c r="F42" i="6" s="1"/>
  <c r="AJ90" i="12"/>
  <c r="AJ88" i="12" s="1"/>
  <c r="AJ78" i="12" s="1"/>
  <c r="F39" i="6"/>
  <c r="H174" i="7"/>
  <c r="P235" i="1" s="1"/>
  <c r="H172" i="7"/>
  <c r="E257" i="12" s="1"/>
  <c r="H173" i="7"/>
  <c r="O235" i="1" s="1"/>
  <c r="I172" i="7"/>
  <c r="E298" i="12" s="1"/>
  <c r="C179" i="12"/>
  <c r="C180" i="12" s="1"/>
  <c r="O264" i="1"/>
  <c r="D171" i="7"/>
  <c r="D172" i="7" s="1"/>
  <c r="G171" i="7"/>
  <c r="G172" i="7" s="1"/>
  <c r="E171" i="7"/>
  <c r="E172" i="7" s="1"/>
  <c r="H33" i="5"/>
  <c r="H60" i="5" s="1"/>
  <c r="H34" i="5"/>
  <c r="G61" i="5"/>
  <c r="G48" i="5"/>
  <c r="G50" i="5" s="1"/>
  <c r="O132" i="12" s="1"/>
  <c r="G47" i="5"/>
  <c r="G49" i="5" s="1"/>
  <c r="E132" i="12" s="1"/>
  <c r="D188" i="7"/>
  <c r="AI93" i="12" s="1"/>
  <c r="I35" i="6"/>
  <c r="H64" i="6"/>
  <c r="H65" i="6" s="1"/>
  <c r="H36" i="6"/>
  <c r="H30" i="6"/>
  <c r="G59" i="6"/>
  <c r="G62" i="6" s="1"/>
  <c r="G74" i="6" s="1"/>
  <c r="G72" i="6" s="1"/>
  <c r="Y213" i="12" s="1"/>
  <c r="G33" i="6"/>
  <c r="G48" i="6" s="1"/>
  <c r="AA104" i="1"/>
  <c r="X139" i="1"/>
  <c r="Y138" i="12"/>
  <c r="AC133" i="1"/>
  <c r="AC138" i="1" s="1"/>
  <c r="AC140" i="1" s="1"/>
  <c r="AC132" i="1" s="1"/>
  <c r="AC127" i="1" s="1"/>
  <c r="AC131" i="1" s="1"/>
  <c r="AJ131" i="12"/>
  <c r="AA133" i="1"/>
  <c r="X133" i="1"/>
  <c r="AE101" i="1"/>
  <c r="E102" i="1"/>
  <c r="AB102" i="1"/>
  <c r="AL91" i="12"/>
  <c r="R91" i="12"/>
  <c r="P102" i="1"/>
  <c r="AA200" i="1"/>
  <c r="O298" i="12"/>
  <c r="AA235" i="1"/>
  <c r="Q133" i="1"/>
  <c r="Q138" i="1" s="1"/>
  <c r="Q140" i="1" s="1"/>
  <c r="Q132" i="1" s="1"/>
  <c r="Q127" i="1" s="1"/>
  <c r="Q131" i="1" s="1"/>
  <c r="P131" i="12"/>
  <c r="O133" i="1"/>
  <c r="E133" i="1"/>
  <c r="E131" i="12"/>
  <c r="E139" i="1"/>
  <c r="S139" i="1" s="1"/>
  <c r="E138" i="12"/>
  <c r="R138" i="12" s="1"/>
  <c r="O101" i="1"/>
  <c r="P90" i="12"/>
  <c r="Q101" i="1"/>
  <c r="Q106" i="1" s="1"/>
  <c r="Q108" i="1" s="1"/>
  <c r="Q100" i="1" s="1"/>
  <c r="Q95" i="1" s="1"/>
  <c r="Q99" i="1" s="1"/>
  <c r="E90" i="12"/>
  <c r="E101" i="1"/>
  <c r="E97" i="12"/>
  <c r="R97" i="12" s="1"/>
  <c r="E107" i="1"/>
  <c r="S107" i="1" s="1"/>
  <c r="E180" i="7"/>
  <c r="F173" i="7"/>
  <c r="F174" i="7"/>
  <c r="F172" i="7"/>
  <c r="E175" i="12" s="1"/>
  <c r="D180" i="7"/>
  <c r="D182" i="7" s="1"/>
  <c r="G188" i="7"/>
  <c r="H180" i="7"/>
  <c r="H182" i="7" s="1"/>
  <c r="I182" i="7"/>
  <c r="X235" i="1"/>
  <c r="F78" i="5"/>
  <c r="X102" i="1"/>
  <c r="X106" i="1" s="1"/>
  <c r="X108" i="1" s="1"/>
  <c r="AA264" i="1"/>
  <c r="F51" i="5"/>
  <c r="I188" i="7"/>
  <c r="AA168" i="1"/>
  <c r="AA136" i="1"/>
  <c r="E188" i="7"/>
  <c r="F188" i="7"/>
  <c r="H188" i="7"/>
  <c r="H59" i="5"/>
  <c r="I32" i="5"/>
  <c r="H41" i="5"/>
  <c r="H42" i="5"/>
  <c r="H181" i="7"/>
  <c r="Y256" i="12" s="1"/>
  <c r="X199" i="1"/>
  <c r="G68" i="5"/>
  <c r="G69" i="5"/>
  <c r="D76" i="6" l="1"/>
  <c r="Y90" i="12"/>
  <c r="E89" i="6"/>
  <c r="AD131" i="12"/>
  <c r="AG131" i="12"/>
  <c r="AH131" i="12"/>
  <c r="AF131" i="12"/>
  <c r="AE131" i="12"/>
  <c r="AC131" i="12"/>
  <c r="E76" i="6"/>
  <c r="G68" i="6"/>
  <c r="AG172" i="12"/>
  <c r="AF172" i="12"/>
  <c r="AH172" i="12"/>
  <c r="AE172" i="12"/>
  <c r="AC172" i="12"/>
  <c r="AD172" i="12"/>
  <c r="AC90" i="12"/>
  <c r="AD90" i="12"/>
  <c r="AE90" i="12"/>
  <c r="AG90" i="12"/>
  <c r="AH90" i="12"/>
  <c r="AF90" i="12"/>
  <c r="AA101" i="1"/>
  <c r="AA139" i="1"/>
  <c r="AC138" i="12"/>
  <c r="AA107" i="1"/>
  <c r="AE107" i="1" s="1"/>
  <c r="AC97" i="12"/>
  <c r="AL97" i="12" s="1"/>
  <c r="AL138" i="12"/>
  <c r="E92" i="6"/>
  <c r="C136" i="5"/>
  <c r="D136" i="5" s="1"/>
  <c r="E136" i="5" s="1"/>
  <c r="F136" i="5" s="1"/>
  <c r="G136" i="5" s="1"/>
  <c r="H136" i="5" s="1"/>
  <c r="I136" i="5" s="1"/>
  <c r="B149" i="5"/>
  <c r="E182" i="7"/>
  <c r="AG133" i="12" s="1"/>
  <c r="AG137" i="12" s="1"/>
  <c r="AG139" i="12" s="1"/>
  <c r="E191" i="7"/>
  <c r="AJ96" i="12"/>
  <c r="AJ98" i="12" s="1"/>
  <c r="F53" i="6"/>
  <c r="O257" i="12"/>
  <c r="E235" i="1"/>
  <c r="G44" i="6"/>
  <c r="G42" i="6" s="1"/>
  <c r="G39" i="6"/>
  <c r="G46" i="6"/>
  <c r="E264" i="1"/>
  <c r="S264" i="1" s="1"/>
  <c r="C220" i="12"/>
  <c r="C221" i="12" s="1"/>
  <c r="AB104" i="1"/>
  <c r="AE104" i="1" s="1"/>
  <c r="D173" i="7"/>
  <c r="O104" i="1" s="1"/>
  <c r="G173" i="7"/>
  <c r="O200" i="1" s="1"/>
  <c r="D174" i="7"/>
  <c r="O93" i="12" s="1"/>
  <c r="E174" i="7"/>
  <c r="P136" i="1" s="1"/>
  <c r="E173" i="7"/>
  <c r="G174" i="7"/>
  <c r="P200" i="1" s="1"/>
  <c r="E134" i="12"/>
  <c r="E136" i="1"/>
  <c r="E200" i="1"/>
  <c r="E216" i="12"/>
  <c r="E104" i="1"/>
  <c r="E93" i="12"/>
  <c r="E134" i="1"/>
  <c r="G51" i="5"/>
  <c r="G52" i="5" s="1"/>
  <c r="P134" i="1"/>
  <c r="R132" i="12"/>
  <c r="G74" i="5"/>
  <c r="G76" i="5" s="1"/>
  <c r="G75" i="5"/>
  <c r="H61" i="5"/>
  <c r="H48" i="5"/>
  <c r="H50" i="5" s="1"/>
  <c r="O173" i="12" s="1"/>
  <c r="H47" i="5"/>
  <c r="H49" i="5" s="1"/>
  <c r="E173" i="12" s="1"/>
  <c r="I33" i="5"/>
  <c r="I60" i="5" s="1"/>
  <c r="I34" i="5"/>
  <c r="AE139" i="1"/>
  <c r="I64" i="6"/>
  <c r="I65" i="6" s="1"/>
  <c r="I36" i="6"/>
  <c r="I30" i="6"/>
  <c r="H59" i="6"/>
  <c r="H62" i="6" s="1"/>
  <c r="H74" i="6" s="1"/>
  <c r="H72" i="6" s="1"/>
  <c r="Y254" i="12" s="1"/>
  <c r="H33" i="6"/>
  <c r="H48" i="6" s="1"/>
  <c r="F52" i="6"/>
  <c r="F51" i="6"/>
  <c r="F86" i="6"/>
  <c r="AE133" i="1"/>
  <c r="AF78" i="12"/>
  <c r="AG78" i="12"/>
  <c r="AG88" i="12" s="1"/>
  <c r="AH78" i="12"/>
  <c r="AD78" i="12"/>
  <c r="AC78" i="12"/>
  <c r="AJ87" i="12"/>
  <c r="AE78" i="12"/>
  <c r="AJ129" i="12"/>
  <c r="AJ119" i="12" s="1"/>
  <c r="AJ137" i="12"/>
  <c r="AJ139" i="12" s="1"/>
  <c r="S235" i="1"/>
  <c r="E183" i="7"/>
  <c r="AC133" i="12"/>
  <c r="AH133" i="12"/>
  <c r="AH137" i="12" s="1"/>
  <c r="AH139" i="12" s="1"/>
  <c r="D183" i="7"/>
  <c r="AH92" i="12"/>
  <c r="AG92" i="12"/>
  <c r="AG96" i="12" s="1"/>
  <c r="AG98" i="12" s="1"/>
  <c r="AF92" i="12"/>
  <c r="AF96" i="12" s="1"/>
  <c r="AF98" i="12" s="1"/>
  <c r="AE92" i="12"/>
  <c r="AD92" i="12"/>
  <c r="AD96" i="12" s="1"/>
  <c r="AD98" i="12" s="1"/>
  <c r="AC92" i="12"/>
  <c r="AC174" i="12"/>
  <c r="AG174" i="12"/>
  <c r="AD174" i="12"/>
  <c r="AH174" i="12"/>
  <c r="AF174" i="12"/>
  <c r="AE174" i="12"/>
  <c r="I183" i="7"/>
  <c r="AF297" i="12"/>
  <c r="AE297" i="12"/>
  <c r="AD297" i="12"/>
  <c r="AC297" i="12"/>
  <c r="AH297" i="12"/>
  <c r="AG297" i="12"/>
  <c r="AH256" i="12"/>
  <c r="AG256" i="12"/>
  <c r="AF256" i="12"/>
  <c r="AE256" i="12"/>
  <c r="AD256" i="12"/>
  <c r="AC256" i="12"/>
  <c r="AA199" i="1"/>
  <c r="AG215" i="12"/>
  <c r="AF215" i="12"/>
  <c r="AH215" i="12"/>
  <c r="AE215" i="12"/>
  <c r="AD215" i="12"/>
  <c r="AC215" i="12"/>
  <c r="AB136" i="1"/>
  <c r="AE136" i="1" s="1"/>
  <c r="AI134" i="12"/>
  <c r="O216" i="12"/>
  <c r="AB200" i="1"/>
  <c r="AF200" i="1" s="1"/>
  <c r="AI216" i="12"/>
  <c r="AL216" i="12" s="1"/>
  <c r="AB264" i="1"/>
  <c r="AE264" i="1" s="1"/>
  <c r="AI298" i="12"/>
  <c r="P104" i="1"/>
  <c r="P168" i="1"/>
  <c r="O175" i="12"/>
  <c r="R298" i="12"/>
  <c r="O168" i="1"/>
  <c r="AL93" i="12"/>
  <c r="AB235" i="1"/>
  <c r="AE235" i="1" s="1"/>
  <c r="AI257" i="12"/>
  <c r="AB168" i="1"/>
  <c r="AE168" i="1" s="1"/>
  <c r="AI175" i="12"/>
  <c r="R257" i="12"/>
  <c r="P133" i="1"/>
  <c r="S133" i="1" s="1"/>
  <c r="O131" i="12"/>
  <c r="P129" i="12"/>
  <c r="P119" i="12" s="1"/>
  <c r="P137" i="12"/>
  <c r="P139" i="12" s="1"/>
  <c r="P88" i="12"/>
  <c r="P78" i="12" s="1"/>
  <c r="I78" i="12" s="1"/>
  <c r="P96" i="12"/>
  <c r="P98" i="12" s="1"/>
  <c r="O90" i="12"/>
  <c r="D34" i="4" s="1"/>
  <c r="P101" i="1"/>
  <c r="AA234" i="1"/>
  <c r="E168" i="1"/>
  <c r="I59" i="5"/>
  <c r="J32" i="5"/>
  <c r="I42" i="5"/>
  <c r="I41" i="5"/>
  <c r="AA167" i="1"/>
  <c r="X234" i="1"/>
  <c r="H68" i="5"/>
  <c r="H69" i="5"/>
  <c r="F52" i="5"/>
  <c r="S102" i="1"/>
  <c r="F183" i="7"/>
  <c r="AE102" i="1"/>
  <c r="F79" i="5"/>
  <c r="H183" i="7"/>
  <c r="G183" i="7"/>
  <c r="AI215" i="12" s="1"/>
  <c r="AA263" i="1"/>
  <c r="AA135" i="1"/>
  <c r="AA103" i="1"/>
  <c r="G78" i="6" l="1"/>
  <c r="G77" i="6"/>
  <c r="G76" i="6" s="1"/>
  <c r="G85" i="6"/>
  <c r="G80" i="6"/>
  <c r="AC137" i="12"/>
  <c r="AI131" i="12"/>
  <c r="AL131" i="12" s="1"/>
  <c r="AB133" i="1"/>
  <c r="Y96" i="12"/>
  <c r="Y98" i="12" s="1"/>
  <c r="AI90" i="12"/>
  <c r="AL90" i="12" s="1"/>
  <c r="AB101" i="1"/>
  <c r="AH96" i="12"/>
  <c r="AH98" i="12" s="1"/>
  <c r="AE96" i="12"/>
  <c r="AE98" i="12" s="1"/>
  <c r="H68" i="6"/>
  <c r="B150" i="5"/>
  <c r="D149" i="5"/>
  <c r="I149" i="5"/>
  <c r="E149" i="5"/>
  <c r="F149" i="5"/>
  <c r="H149" i="5"/>
  <c r="C149" i="5"/>
  <c r="G149" i="5"/>
  <c r="G77" i="5"/>
  <c r="AB134" i="1" s="1"/>
  <c r="AF133" i="12"/>
  <c r="AF137" i="12" s="1"/>
  <c r="AF139" i="12" s="1"/>
  <c r="AD133" i="12"/>
  <c r="AD137" i="12" s="1"/>
  <c r="AD139" i="12" s="1"/>
  <c r="AE133" i="12"/>
  <c r="AE137" i="12" s="1"/>
  <c r="AE139" i="12" s="1"/>
  <c r="G53" i="6"/>
  <c r="H44" i="6"/>
  <c r="H42" i="6" s="1"/>
  <c r="H39" i="6"/>
  <c r="H46" i="6"/>
  <c r="S134" i="1"/>
  <c r="C261" i="12"/>
  <c r="C262" i="12" s="1"/>
  <c r="O136" i="1"/>
  <c r="S136" i="1" s="1"/>
  <c r="O134" i="12"/>
  <c r="R134" i="12" s="1"/>
  <c r="R131" i="12"/>
  <c r="E34" i="4"/>
  <c r="E166" i="1"/>
  <c r="R173" i="12"/>
  <c r="P166" i="1"/>
  <c r="Y137" i="12"/>
  <c r="Y139" i="12" s="1"/>
  <c r="X134" i="1"/>
  <c r="X138" i="1" s="1"/>
  <c r="X140" i="1" s="1"/>
  <c r="H75" i="5"/>
  <c r="H74" i="5"/>
  <c r="H76" i="5" s="1"/>
  <c r="I61" i="5"/>
  <c r="I48" i="5"/>
  <c r="I50" i="5" s="1"/>
  <c r="O214" i="12" s="1"/>
  <c r="I47" i="5"/>
  <c r="I49" i="5" s="1"/>
  <c r="E214" i="12" s="1"/>
  <c r="H51" i="5"/>
  <c r="H52" i="5" s="1"/>
  <c r="J34" i="5"/>
  <c r="J33" i="5"/>
  <c r="J60" i="5" s="1"/>
  <c r="I59" i="6"/>
  <c r="I62" i="6" s="1"/>
  <c r="I74" i="6" s="1"/>
  <c r="I72" i="6" s="1"/>
  <c r="Y295" i="12" s="1"/>
  <c r="I33" i="6"/>
  <c r="I48" i="6" s="1"/>
  <c r="AB165" i="1"/>
  <c r="AI172" i="12"/>
  <c r="F84" i="6"/>
  <c r="X171" i="1"/>
  <c r="Y179" i="12"/>
  <c r="AC165" i="1"/>
  <c r="AC170" i="1" s="1"/>
  <c r="AC172" i="1" s="1"/>
  <c r="AC164" i="1" s="1"/>
  <c r="AC159" i="1" s="1"/>
  <c r="AC163" i="1" s="1"/>
  <c r="AJ172" i="12"/>
  <c r="G51" i="6"/>
  <c r="G52" i="6"/>
  <c r="X165" i="1"/>
  <c r="G86" i="6"/>
  <c r="AG178" i="12"/>
  <c r="AG180" i="12" s="1"/>
  <c r="AF178" i="12"/>
  <c r="AF180" i="12" s="1"/>
  <c r="AA165" i="1"/>
  <c r="AA170" i="1" s="1"/>
  <c r="AD178" i="12"/>
  <c r="AD180" i="12" s="1"/>
  <c r="AC178" i="12"/>
  <c r="AH178" i="12"/>
  <c r="AH180" i="12" s="1"/>
  <c r="AE178" i="12"/>
  <c r="AE180" i="12" s="1"/>
  <c r="E171" i="1"/>
  <c r="S171" i="1" s="1"/>
  <c r="E179" i="12"/>
  <c r="R179" i="12" s="1"/>
  <c r="O165" i="1"/>
  <c r="E165" i="1"/>
  <c r="E172" i="12"/>
  <c r="Q165" i="1"/>
  <c r="Q170" i="1" s="1"/>
  <c r="Q172" i="1" s="1"/>
  <c r="Q164" i="1" s="1"/>
  <c r="Q159" i="1" s="1"/>
  <c r="Q163" i="1" s="1"/>
  <c r="P172" i="12"/>
  <c r="S104" i="1"/>
  <c r="AJ128" i="12"/>
  <c r="AF119" i="12"/>
  <c r="AG119" i="12"/>
  <c r="AG129" i="12" s="1"/>
  <c r="AH119" i="12"/>
  <c r="AC119" i="12"/>
  <c r="AE119" i="12"/>
  <c r="AD119" i="12"/>
  <c r="R93" i="12"/>
  <c r="S200" i="1"/>
  <c r="AE200" i="1"/>
  <c r="S101" i="1"/>
  <c r="P128" i="12"/>
  <c r="J119" i="12"/>
  <c r="L119" i="12"/>
  <c r="N119" i="12"/>
  <c r="N129" i="12" s="1"/>
  <c r="I119" i="12"/>
  <c r="K119" i="12"/>
  <c r="M119" i="12"/>
  <c r="M129" i="12" s="1"/>
  <c r="P87" i="12"/>
  <c r="K78" i="12"/>
  <c r="L78" i="12"/>
  <c r="M78" i="12"/>
  <c r="M88" i="12" s="1"/>
  <c r="N78" i="12"/>
  <c r="N88" i="12" s="1"/>
  <c r="J78" i="12"/>
  <c r="R216" i="12"/>
  <c r="R175" i="12"/>
  <c r="AC96" i="12"/>
  <c r="AL215" i="12"/>
  <c r="AB234" i="1"/>
  <c r="AE234" i="1" s="1"/>
  <c r="AI256" i="12"/>
  <c r="AL256" i="12" s="1"/>
  <c r="AB167" i="1"/>
  <c r="AE167" i="1" s="1"/>
  <c r="AI174" i="12"/>
  <c r="AL174" i="12" s="1"/>
  <c r="AB263" i="1"/>
  <c r="AE263" i="1" s="1"/>
  <c r="AI297" i="12"/>
  <c r="AL297" i="12" s="1"/>
  <c r="AB103" i="1"/>
  <c r="AB106" i="1" s="1"/>
  <c r="AB108" i="1" s="1"/>
  <c r="AB100" i="1" s="1"/>
  <c r="AB95" i="1" s="1"/>
  <c r="AI92" i="12"/>
  <c r="AB135" i="1"/>
  <c r="AI133" i="12"/>
  <c r="AL298" i="12"/>
  <c r="S168" i="1"/>
  <c r="AC139" i="12"/>
  <c r="AL175" i="12"/>
  <c r="AL257" i="12"/>
  <c r="AL134" i="12"/>
  <c r="R90" i="12"/>
  <c r="J59" i="5"/>
  <c r="K32" i="5"/>
  <c r="J41" i="5"/>
  <c r="J42" i="5"/>
  <c r="AA138" i="1"/>
  <c r="AA140" i="1" s="1"/>
  <c r="I68" i="5"/>
  <c r="I69" i="5"/>
  <c r="AB199" i="1"/>
  <c r="AA106" i="1"/>
  <c r="AA108" i="1" s="1"/>
  <c r="AF108" i="1" s="1"/>
  <c r="H78" i="6" l="1"/>
  <c r="H77" i="6"/>
  <c r="H76" i="6" s="1"/>
  <c r="H85" i="6"/>
  <c r="H80" i="6"/>
  <c r="AC213" i="12"/>
  <c r="AH213" i="12"/>
  <c r="AG213" i="12"/>
  <c r="AF213" i="12"/>
  <c r="AF219" i="12" s="1"/>
  <c r="AF221" i="12" s="1"/>
  <c r="AE213" i="12"/>
  <c r="AE219" i="12" s="1"/>
  <c r="AE221" i="12" s="1"/>
  <c r="AD213" i="12"/>
  <c r="AI96" i="12"/>
  <c r="AI98" i="12" s="1"/>
  <c r="AI88" i="12" s="1"/>
  <c r="AI77" i="12" s="1"/>
  <c r="AB77" i="12" s="1"/>
  <c r="AB88" i="12" s="1"/>
  <c r="AB74" i="12" s="1"/>
  <c r="AB68" i="12" s="1"/>
  <c r="I68" i="6"/>
  <c r="AA171" i="1"/>
  <c r="AC179" i="12"/>
  <c r="AL179" i="12" s="1"/>
  <c r="G78" i="5"/>
  <c r="G79" i="5" s="1"/>
  <c r="D151" i="5"/>
  <c r="D135" i="5"/>
  <c r="D150" i="5"/>
  <c r="C151" i="5"/>
  <c r="C150" i="5"/>
  <c r="C135" i="5"/>
  <c r="F151" i="5"/>
  <c r="F135" i="5"/>
  <c r="F150" i="5"/>
  <c r="AB138" i="1"/>
  <c r="AB140" i="1" s="1"/>
  <c r="AB132" i="1" s="1"/>
  <c r="AB127" i="1" s="1"/>
  <c r="Z127" i="1" s="1"/>
  <c r="Z132" i="1" s="1"/>
  <c r="H77" i="5"/>
  <c r="AB166" i="1" s="1"/>
  <c r="E151" i="5"/>
  <c r="E135" i="5"/>
  <c r="E150" i="5"/>
  <c r="AE134" i="1"/>
  <c r="H53" i="6"/>
  <c r="I44" i="6"/>
  <c r="I42" i="6" s="1"/>
  <c r="AE171" i="1"/>
  <c r="I39" i="6"/>
  <c r="I46" i="6"/>
  <c r="C302" i="12"/>
  <c r="C303" i="12" s="1"/>
  <c r="E198" i="1"/>
  <c r="S166" i="1"/>
  <c r="AI137" i="12"/>
  <c r="AI139" i="12" s="1"/>
  <c r="AI129" i="12" s="1"/>
  <c r="AI118" i="12" s="1"/>
  <c r="P198" i="1"/>
  <c r="R214" i="12"/>
  <c r="I51" i="5"/>
  <c r="S198" i="1" s="1"/>
  <c r="Y178" i="12"/>
  <c r="Y180" i="12" s="1"/>
  <c r="J61" i="5"/>
  <c r="J48" i="5"/>
  <c r="J50" i="5" s="1"/>
  <c r="O255" i="12" s="1"/>
  <c r="J47" i="5"/>
  <c r="J49" i="5" s="1"/>
  <c r="E255" i="12" s="1"/>
  <c r="AL132" i="12"/>
  <c r="X166" i="1"/>
  <c r="X170" i="1" s="1"/>
  <c r="X172" i="1" s="1"/>
  <c r="I75" i="5"/>
  <c r="I74" i="5"/>
  <c r="I76" i="5" s="1"/>
  <c r="H78" i="5"/>
  <c r="H79" i="5" s="1"/>
  <c r="K34" i="5"/>
  <c r="K33" i="5"/>
  <c r="K60" i="5" s="1"/>
  <c r="AA172" i="1"/>
  <c r="P213" i="12"/>
  <c r="Q197" i="1"/>
  <c r="Q202" i="1" s="1"/>
  <c r="Q204" i="1" s="1"/>
  <c r="Q196" i="1" s="1"/>
  <c r="Q191" i="1" s="1"/>
  <c r="Q195" i="1" s="1"/>
  <c r="H86" i="6"/>
  <c r="AB197" i="1"/>
  <c r="AI213" i="12"/>
  <c r="E203" i="1"/>
  <c r="S203" i="1" s="1"/>
  <c r="E220" i="12"/>
  <c r="H51" i="6"/>
  <c r="H52" i="6"/>
  <c r="X197" i="1"/>
  <c r="G84" i="6"/>
  <c r="X203" i="1"/>
  <c r="Y220" i="12"/>
  <c r="AJ170" i="12"/>
  <c r="AJ160" i="12" s="1"/>
  <c r="AJ178" i="12"/>
  <c r="AJ180" i="12" s="1"/>
  <c r="AA197" i="1"/>
  <c r="AA202" i="1" s="1"/>
  <c r="AD219" i="12"/>
  <c r="AD221" i="12" s="1"/>
  <c r="AC219" i="12"/>
  <c r="AG219" i="12"/>
  <c r="AG221" i="12" s="1"/>
  <c r="AH219" i="12"/>
  <c r="AH221" i="12" s="1"/>
  <c r="O172" i="12"/>
  <c r="F34" i="4" s="1"/>
  <c r="P165" i="1"/>
  <c r="AC197" i="1"/>
  <c r="AC202" i="1" s="1"/>
  <c r="AC204" i="1" s="1"/>
  <c r="AC196" i="1" s="1"/>
  <c r="AC191" i="1" s="1"/>
  <c r="AC195" i="1" s="1"/>
  <c r="AJ213" i="12"/>
  <c r="AE165" i="1"/>
  <c r="AL172" i="12"/>
  <c r="P170" i="12"/>
  <c r="P160" i="12" s="1"/>
  <c r="P178" i="12"/>
  <c r="P180" i="12" s="1"/>
  <c r="E197" i="1"/>
  <c r="E213" i="12"/>
  <c r="AE135" i="1"/>
  <c r="AE138" i="1" s="1"/>
  <c r="AE140" i="1" s="1"/>
  <c r="AE103" i="1"/>
  <c r="AE106" i="1" s="1"/>
  <c r="AE108" i="1" s="1"/>
  <c r="AF140" i="1"/>
  <c r="AL133" i="12"/>
  <c r="X95" i="1"/>
  <c r="X100" i="1" s="1"/>
  <c r="AA95" i="1"/>
  <c r="AA100" i="1" s="1"/>
  <c r="Z95" i="1"/>
  <c r="Z100" i="1" s="1"/>
  <c r="AB99" i="1"/>
  <c r="AE99" i="1" s="1"/>
  <c r="AB98" i="1"/>
  <c r="AE98" i="1" s="1"/>
  <c r="AA111" i="1"/>
  <c r="AB170" i="1"/>
  <c r="AB172" i="1" s="1"/>
  <c r="AB164" i="1" s="1"/>
  <c r="AB159" i="1" s="1"/>
  <c r="AB163" i="1" s="1"/>
  <c r="AE163" i="1" s="1"/>
  <c r="AC98" i="12"/>
  <c r="AL92" i="12"/>
  <c r="K59" i="5"/>
  <c r="K41" i="5"/>
  <c r="K42" i="5"/>
  <c r="J68" i="5"/>
  <c r="J69" i="5"/>
  <c r="AF199" i="1"/>
  <c r="AE199" i="1"/>
  <c r="AH77" i="12" l="1"/>
  <c r="AH88" i="12" s="1"/>
  <c r="AH74" i="12" s="1"/>
  <c r="AH68" i="12" s="1"/>
  <c r="AD77" i="12"/>
  <c r="AF77" i="12"/>
  <c r="AF88" i="12" s="1"/>
  <c r="AF74" i="12" s="1"/>
  <c r="AF68" i="12" s="1"/>
  <c r="I85" i="6"/>
  <c r="I78" i="6"/>
  <c r="I77" i="6"/>
  <c r="I80" i="6"/>
  <c r="AE77" i="12"/>
  <c r="AE88" i="12" s="1"/>
  <c r="AE74" i="12" s="1"/>
  <c r="I53" i="6"/>
  <c r="AI87" i="12"/>
  <c r="AL87" i="12" s="1"/>
  <c r="AC180" i="12"/>
  <c r="AE254" i="12"/>
  <c r="AE260" i="12" s="1"/>
  <c r="AE262" i="12" s="1"/>
  <c r="AC254" i="12"/>
  <c r="AD254" i="12"/>
  <c r="AF254" i="12"/>
  <c r="AG254" i="12"/>
  <c r="AH254" i="12"/>
  <c r="AI86" i="12"/>
  <c r="AL86" i="12" s="1"/>
  <c r="Y77" i="12"/>
  <c r="Y88" i="12" s="1"/>
  <c r="Y74" i="12" s="1"/>
  <c r="Y69" i="12" s="1"/>
  <c r="AC77" i="12"/>
  <c r="AC88" i="12" s="1"/>
  <c r="AC74" i="12" s="1"/>
  <c r="AL96" i="12"/>
  <c r="AE69" i="12"/>
  <c r="AE68" i="12"/>
  <c r="AD100" i="12" s="1"/>
  <c r="AA203" i="1"/>
  <c r="AE203" i="1" s="1"/>
  <c r="AC220" i="12"/>
  <c r="AL220" i="12" s="1"/>
  <c r="V127" i="1"/>
  <c r="V132" i="1" s="1"/>
  <c r="AB131" i="1"/>
  <c r="AE131" i="1" s="1"/>
  <c r="AB130" i="1"/>
  <c r="AE130" i="1" s="1"/>
  <c r="AA127" i="1"/>
  <c r="AA132" i="1" s="1"/>
  <c r="X127" i="1"/>
  <c r="X132" i="1" s="1"/>
  <c r="AE132" i="1" s="1"/>
  <c r="I77" i="5"/>
  <c r="AI219" i="12" s="1"/>
  <c r="AI221" i="12" s="1"/>
  <c r="AI211" i="12" s="1"/>
  <c r="AI200" i="12" s="1"/>
  <c r="AE166" i="1"/>
  <c r="I52" i="5"/>
  <c r="AL137" i="12"/>
  <c r="AI142" i="12" s="1"/>
  <c r="AL98" i="12"/>
  <c r="E56" i="4"/>
  <c r="AH118" i="12"/>
  <c r="AH129" i="12" s="1"/>
  <c r="AH115" i="12" s="1"/>
  <c r="AH109" i="12" s="1"/>
  <c r="AE118" i="12"/>
  <c r="AE129" i="12" s="1"/>
  <c r="AE115" i="12" s="1"/>
  <c r="AD118" i="12"/>
  <c r="AD129" i="12" s="1"/>
  <c r="AD115" i="12" s="1"/>
  <c r="AD109" i="12" s="1"/>
  <c r="AC118" i="12"/>
  <c r="AC129" i="12" s="1"/>
  <c r="AB118" i="12"/>
  <c r="AB129" i="12" s="1"/>
  <c r="AB115" i="12" s="1"/>
  <c r="AB109" i="12" s="1"/>
  <c r="AF118" i="12"/>
  <c r="AF129" i="12" s="1"/>
  <c r="AF115" i="12" s="1"/>
  <c r="AF109" i="12" s="1"/>
  <c r="Y118" i="12"/>
  <c r="Y129" i="12" s="1"/>
  <c r="Y115" i="12" s="1"/>
  <c r="Y110" i="12" s="1"/>
  <c r="W118" i="12"/>
  <c r="AA204" i="1"/>
  <c r="AE170" i="1"/>
  <c r="AE172" i="1" s="1"/>
  <c r="J51" i="5"/>
  <c r="J52" i="5" s="1"/>
  <c r="P233" i="1"/>
  <c r="Y219" i="12"/>
  <c r="X198" i="1"/>
  <c r="K61" i="5"/>
  <c r="K48" i="5"/>
  <c r="K50" i="5" s="1"/>
  <c r="O296" i="12" s="1"/>
  <c r="K47" i="5"/>
  <c r="K49" i="5" s="1"/>
  <c r="E296" i="12" s="1"/>
  <c r="J75" i="5"/>
  <c r="J74" i="5"/>
  <c r="J76" i="5" s="1"/>
  <c r="E233" i="1"/>
  <c r="R220" i="12"/>
  <c r="M160" i="12"/>
  <c r="M170" i="12" s="1"/>
  <c r="N160" i="12"/>
  <c r="N170" i="12" s="1"/>
  <c r="K160" i="12"/>
  <c r="L160" i="12"/>
  <c r="I160" i="12"/>
  <c r="P169" i="12"/>
  <c r="J160" i="12"/>
  <c r="I52" i="6"/>
  <c r="I51" i="6"/>
  <c r="I86" i="6"/>
  <c r="AL213" i="12"/>
  <c r="AC260" i="12"/>
  <c r="AF260" i="12"/>
  <c r="AF262" i="12" s="1"/>
  <c r="AA232" i="1"/>
  <c r="AA237" i="1" s="1"/>
  <c r="AG260" i="12"/>
  <c r="AG262" i="12" s="1"/>
  <c r="AH260" i="12"/>
  <c r="AH262" i="12" s="1"/>
  <c r="AD260" i="12"/>
  <c r="AD262" i="12" s="1"/>
  <c r="AF197" i="1"/>
  <c r="AE197" i="1"/>
  <c r="AB232" i="1"/>
  <c r="AI254" i="12"/>
  <c r="AJ211" i="12"/>
  <c r="AJ201" i="12" s="1"/>
  <c r="AJ219" i="12"/>
  <c r="AJ221" i="12" s="1"/>
  <c r="AH160" i="12"/>
  <c r="AC160" i="12"/>
  <c r="AG160" i="12"/>
  <c r="AG170" i="12" s="1"/>
  <c r="AD160" i="12"/>
  <c r="AE160" i="12"/>
  <c r="AJ169" i="12"/>
  <c r="AF160" i="12"/>
  <c r="P232" i="1"/>
  <c r="O254" i="12"/>
  <c r="H34" i="4" s="1"/>
  <c r="AJ254" i="12"/>
  <c r="AC232" i="1"/>
  <c r="AC237" i="1" s="1"/>
  <c r="AC239" i="1" s="1"/>
  <c r="AC231" i="1" s="1"/>
  <c r="AC226" i="1" s="1"/>
  <c r="AC230" i="1" s="1"/>
  <c r="Q232" i="1"/>
  <c r="Q237" i="1" s="1"/>
  <c r="Q239" i="1" s="1"/>
  <c r="Q231" i="1" s="1"/>
  <c r="Q226" i="1" s="1"/>
  <c r="Q230" i="1" s="1"/>
  <c r="P254" i="12"/>
  <c r="H84" i="6"/>
  <c r="Y261" i="12"/>
  <c r="X238" i="1"/>
  <c r="S165" i="1"/>
  <c r="E232" i="1"/>
  <c r="E254" i="12"/>
  <c r="X232" i="1"/>
  <c r="P197" i="1"/>
  <c r="O213" i="12"/>
  <c r="G34" i="4" s="1"/>
  <c r="R172" i="12"/>
  <c r="E238" i="1"/>
  <c r="S238" i="1" s="1"/>
  <c r="E261" i="12"/>
  <c r="R261" i="12" s="1"/>
  <c r="O232" i="1"/>
  <c r="O197" i="1"/>
  <c r="P211" i="12"/>
  <c r="P201" i="12" s="1"/>
  <c r="P219" i="12"/>
  <c r="P221" i="12" s="1"/>
  <c r="AL119" i="12"/>
  <c r="R119" i="12"/>
  <c r="AL139" i="12"/>
  <c r="AF172" i="1"/>
  <c r="AI128" i="12"/>
  <c r="AL128" i="12" s="1"/>
  <c r="AI127" i="12"/>
  <c r="AL127" i="12" s="1"/>
  <c r="AB162" i="1"/>
  <c r="AE162" i="1" s="1"/>
  <c r="X159" i="1"/>
  <c r="X164" i="1" s="1"/>
  <c r="V159" i="1"/>
  <c r="V164" i="1" s="1"/>
  <c r="AD88" i="12"/>
  <c r="AD74" i="12" s="1"/>
  <c r="AD68" i="12" s="1"/>
  <c r="R255" i="12"/>
  <c r="K68" i="5"/>
  <c r="K69" i="5"/>
  <c r="X202" i="1"/>
  <c r="I76" i="6" l="1"/>
  <c r="AH295" i="12"/>
  <c r="AE295" i="12"/>
  <c r="AD295" i="12"/>
  <c r="AC295" i="12"/>
  <c r="AG295" i="12"/>
  <c r="AG301" i="12" s="1"/>
  <c r="AG303" i="12" s="1"/>
  <c r="AF295" i="12"/>
  <c r="AF301" i="12" s="1"/>
  <c r="AF303" i="12" s="1"/>
  <c r="AC221" i="12"/>
  <c r="AC69" i="12"/>
  <c r="AL69" i="12" s="1"/>
  <c r="AC68" i="12"/>
  <c r="AL68" i="12" s="1"/>
  <c r="AE109" i="12"/>
  <c r="AE110" i="12"/>
  <c r="AE127" i="1"/>
  <c r="AA238" i="1"/>
  <c r="AE238" i="1" s="1"/>
  <c r="AC261" i="12"/>
  <c r="AC262" i="12" s="1"/>
  <c r="I78" i="5"/>
  <c r="I79" i="5" s="1"/>
  <c r="AB198" i="1"/>
  <c r="AB202" i="1" s="1"/>
  <c r="AB204" i="1" s="1"/>
  <c r="AB196" i="1" s="1"/>
  <c r="AB191" i="1" s="1"/>
  <c r="AB195" i="1" s="1"/>
  <c r="AE195" i="1" s="1"/>
  <c r="AE198" i="1"/>
  <c r="AF198" i="1"/>
  <c r="S233" i="1"/>
  <c r="AI178" i="12"/>
  <c r="AL173" i="12"/>
  <c r="J77" i="5"/>
  <c r="AI260" i="12" s="1"/>
  <c r="G151" i="5"/>
  <c r="G135" i="5"/>
  <c r="G150" i="5"/>
  <c r="AL74" i="12"/>
  <c r="AC115" i="12"/>
  <c r="AL214" i="12"/>
  <c r="G56" i="4"/>
  <c r="AF200" i="12"/>
  <c r="AE200" i="12"/>
  <c r="AD200" i="12"/>
  <c r="AC200" i="12"/>
  <c r="AB200" i="12"/>
  <c r="AB211" i="12" s="1"/>
  <c r="AB197" i="12" s="1"/>
  <c r="AB191" i="12" s="1"/>
  <c r="Y200" i="12"/>
  <c r="Y211" i="12" s="1"/>
  <c r="W200" i="12"/>
  <c r="AH200" i="12"/>
  <c r="R213" i="12"/>
  <c r="R160" i="12"/>
  <c r="AL160" i="12"/>
  <c r="AE202" i="1"/>
  <c r="AE204" i="1" s="1"/>
  <c r="AI210" i="12"/>
  <c r="AI209" i="12"/>
  <c r="AL209" i="12" s="1"/>
  <c r="E262" i="1"/>
  <c r="Y260" i="12"/>
  <c r="Y262" i="12" s="1"/>
  <c r="X233" i="1"/>
  <c r="AL219" i="12"/>
  <c r="Y221" i="12"/>
  <c r="P262" i="1"/>
  <c r="K51" i="5"/>
  <c r="S262" i="1" s="1"/>
  <c r="K74" i="5"/>
  <c r="K76" i="5" s="1"/>
  <c r="K75" i="5"/>
  <c r="AF203" i="1"/>
  <c r="X237" i="1"/>
  <c r="X239" i="1" s="1"/>
  <c r="R254" i="12"/>
  <c r="Q261" i="1"/>
  <c r="Q266" i="1" s="1"/>
  <c r="Q268" i="1" s="1"/>
  <c r="Q260" i="1" s="1"/>
  <c r="Q255" i="1" s="1"/>
  <c r="Q259" i="1" s="1"/>
  <c r="P295" i="12"/>
  <c r="P261" i="1"/>
  <c r="O295" i="12"/>
  <c r="I34" i="4" s="1"/>
  <c r="AJ210" i="12"/>
  <c r="AF201" i="12"/>
  <c r="AG201" i="12"/>
  <c r="AG211" i="12" s="1"/>
  <c r="AH201" i="12"/>
  <c r="AC201" i="12"/>
  <c r="AD201" i="12"/>
  <c r="AE201" i="12"/>
  <c r="AJ260" i="12"/>
  <c r="AJ262" i="12" s="1"/>
  <c r="AJ252" i="12"/>
  <c r="AJ242" i="12" s="1"/>
  <c r="S197" i="1"/>
  <c r="AH301" i="12"/>
  <c r="AH303" i="12" s="1"/>
  <c r="AE301" i="12"/>
  <c r="AE303" i="12" s="1"/>
  <c r="AA261" i="1"/>
  <c r="AA266" i="1" s="1"/>
  <c r="AD301" i="12"/>
  <c r="AD303" i="12" s="1"/>
  <c r="AC301" i="12"/>
  <c r="P210" i="12"/>
  <c r="I201" i="12"/>
  <c r="J201" i="12"/>
  <c r="L201" i="12"/>
  <c r="N201" i="12"/>
  <c r="N211" i="12" s="1"/>
  <c r="K201" i="12"/>
  <c r="M201" i="12"/>
  <c r="M211" i="12" s="1"/>
  <c r="S232" i="1"/>
  <c r="AI295" i="12"/>
  <c r="AB261" i="1"/>
  <c r="AC261" i="1"/>
  <c r="AC266" i="1" s="1"/>
  <c r="AC268" i="1" s="1"/>
  <c r="AC260" i="1" s="1"/>
  <c r="AC255" i="1" s="1"/>
  <c r="AC259" i="1" s="1"/>
  <c r="AJ295" i="12"/>
  <c r="Y302" i="12"/>
  <c r="I84" i="6"/>
  <c r="X267" i="1"/>
  <c r="X261" i="1"/>
  <c r="P260" i="12"/>
  <c r="P262" i="12" s="1"/>
  <c r="P252" i="12"/>
  <c r="P242" i="12" s="1"/>
  <c r="O261" i="1"/>
  <c r="AL254" i="12"/>
  <c r="E261" i="1"/>
  <c r="E295" i="12"/>
  <c r="AE232" i="1"/>
  <c r="E267" i="1"/>
  <c r="S267" i="1" s="1"/>
  <c r="E302" i="12"/>
  <c r="R302" i="12" s="1"/>
  <c r="Z159" i="1"/>
  <c r="Z164" i="1" s="1"/>
  <c r="AL78" i="12"/>
  <c r="R296" i="12"/>
  <c r="X204" i="1"/>
  <c r="AF204" i="1" s="1"/>
  <c r="AF202" i="1"/>
  <c r="AL221" i="12" l="1"/>
  <c r="AA239" i="1"/>
  <c r="AL261" i="12"/>
  <c r="AC110" i="12"/>
  <c r="AC109" i="12"/>
  <c r="AL109" i="12" s="1"/>
  <c r="Z191" i="1"/>
  <c r="Z196" i="1" s="1"/>
  <c r="AB194" i="1"/>
  <c r="AE194" i="1" s="1"/>
  <c r="AA267" i="1"/>
  <c r="AA268" i="1" s="1"/>
  <c r="AC302" i="12"/>
  <c r="AC303" i="12" s="1"/>
  <c r="X191" i="1"/>
  <c r="X196" i="1" s="1"/>
  <c r="AL302" i="12"/>
  <c r="V191" i="1"/>
  <c r="V196" i="1" s="1"/>
  <c r="J78" i="5"/>
  <c r="AE233" i="1" s="1"/>
  <c r="AB233" i="1"/>
  <c r="AB237" i="1" s="1"/>
  <c r="AB239" i="1" s="1"/>
  <c r="AB231" i="1" s="1"/>
  <c r="AB226" i="1" s="1"/>
  <c r="AB230" i="1" s="1"/>
  <c r="AE230" i="1" s="1"/>
  <c r="AI180" i="12"/>
  <c r="AL178" i="12"/>
  <c r="K77" i="5"/>
  <c r="K78" i="5" s="1"/>
  <c r="K79" i="5" s="1"/>
  <c r="H135" i="5"/>
  <c r="H150" i="5"/>
  <c r="H151" i="5"/>
  <c r="J79" i="5"/>
  <c r="Y301" i="12"/>
  <c r="Y303" i="12" s="1"/>
  <c r="X262" i="1"/>
  <c r="K52" i="5"/>
  <c r="AL255" i="12"/>
  <c r="AL295" i="12"/>
  <c r="AF239" i="1"/>
  <c r="AL201" i="12"/>
  <c r="AH211" i="12"/>
  <c r="AH197" i="12" s="1"/>
  <c r="AH191" i="12" s="1"/>
  <c r="R201" i="12"/>
  <c r="AL210" i="12"/>
  <c r="AF211" i="12"/>
  <c r="AF197" i="12" s="1"/>
  <c r="AF191" i="12" s="1"/>
  <c r="X226" i="1"/>
  <c r="X231" i="1" s="1"/>
  <c r="V226" i="1"/>
  <c r="V231" i="1" s="1"/>
  <c r="AD211" i="12"/>
  <c r="AD197" i="12" s="1"/>
  <c r="AD191" i="12" s="1"/>
  <c r="AE211" i="12"/>
  <c r="AE197" i="12" s="1"/>
  <c r="AE237" i="1"/>
  <c r="AE239" i="1" s="1"/>
  <c r="AE261" i="1"/>
  <c r="X266" i="1"/>
  <c r="X268" i="1" s="1"/>
  <c r="AJ301" i="12"/>
  <c r="AJ303" i="12" s="1"/>
  <c r="AJ293" i="12"/>
  <c r="AJ283" i="12" s="1"/>
  <c r="AD242" i="12"/>
  <c r="AJ251" i="12"/>
  <c r="AE242" i="12"/>
  <c r="AF242" i="12"/>
  <c r="AG242" i="12"/>
  <c r="AG252" i="12" s="1"/>
  <c r="AH242" i="12"/>
  <c r="AC242" i="12"/>
  <c r="M242" i="12"/>
  <c r="M252" i="12" s="1"/>
  <c r="N242" i="12"/>
  <c r="N252" i="12" s="1"/>
  <c r="K242" i="12"/>
  <c r="P251" i="12"/>
  <c r="L242" i="12"/>
  <c r="I242" i="12"/>
  <c r="J242" i="12"/>
  <c r="P301" i="12"/>
  <c r="P303" i="12" s="1"/>
  <c r="P293" i="12"/>
  <c r="P283" i="12" s="1"/>
  <c r="R295" i="12"/>
  <c r="S261" i="1"/>
  <c r="AA159" i="1"/>
  <c r="AA191" i="1"/>
  <c r="AI262" i="12"/>
  <c r="AL260" i="12"/>
  <c r="Y197" i="12"/>
  <c r="Y192" i="12" s="1"/>
  <c r="AE267" i="1" l="1"/>
  <c r="AE192" i="12"/>
  <c r="AE191" i="12"/>
  <c r="AB229" i="1"/>
  <c r="AE229" i="1" s="1"/>
  <c r="AB262" i="1"/>
  <c r="AB266" i="1" s="1"/>
  <c r="AB268" i="1" s="1"/>
  <c r="AB260" i="1" s="1"/>
  <c r="AB255" i="1" s="1"/>
  <c r="AB258" i="1" s="1"/>
  <c r="AE258" i="1" s="1"/>
  <c r="AI170" i="12"/>
  <c r="AI159" i="12" s="1"/>
  <c r="AL180" i="12"/>
  <c r="AE262" i="1"/>
  <c r="I135" i="5"/>
  <c r="I150" i="5"/>
  <c r="I151" i="5"/>
  <c r="R242" i="12"/>
  <c r="AL242" i="12"/>
  <c r="AF268" i="1"/>
  <c r="AE266" i="1"/>
  <c r="AE268" i="1" s="1"/>
  <c r="AH283" i="12"/>
  <c r="AC283" i="12"/>
  <c r="AD283" i="12"/>
  <c r="AE283" i="12"/>
  <c r="AJ292" i="12"/>
  <c r="AF283" i="12"/>
  <c r="AG283" i="12"/>
  <c r="AG293" i="12" s="1"/>
  <c r="P292" i="12"/>
  <c r="J283" i="12"/>
  <c r="M283" i="12"/>
  <c r="M293" i="12" s="1"/>
  <c r="I283" i="12"/>
  <c r="K283" i="12"/>
  <c r="L283" i="12"/>
  <c r="N283" i="12"/>
  <c r="N293" i="12" s="1"/>
  <c r="AC211" i="12"/>
  <c r="AC197" i="12" s="1"/>
  <c r="AA164" i="1"/>
  <c r="AE164" i="1" s="1"/>
  <c r="AE159" i="1"/>
  <c r="AA196" i="1"/>
  <c r="AE196" i="1" s="1"/>
  <c r="AE191" i="1"/>
  <c r="AI252" i="12"/>
  <c r="AI241" i="12" s="1"/>
  <c r="AL262" i="12"/>
  <c r="AC192" i="12" l="1"/>
  <c r="AC191" i="12"/>
  <c r="X255" i="1"/>
  <c r="X260" i="1" s="1"/>
  <c r="V255" i="1"/>
  <c r="V260" i="1" s="1"/>
  <c r="AB259" i="1"/>
  <c r="AE259" i="1" s="1"/>
  <c r="AI301" i="12"/>
  <c r="AL296" i="12"/>
  <c r="AF159" i="12"/>
  <c r="AF170" i="12" s="1"/>
  <c r="AF156" i="12" s="1"/>
  <c r="AF150" i="12" s="1"/>
  <c r="AC159" i="12"/>
  <c r="AC170" i="12" s="1"/>
  <c r="AC156" i="12" s="1"/>
  <c r="AD159" i="12"/>
  <c r="AD170" i="12" s="1"/>
  <c r="AD156" i="12" s="1"/>
  <c r="AD150" i="12" s="1"/>
  <c r="AI168" i="12"/>
  <c r="AL168" i="12" s="1"/>
  <c r="AE159" i="12"/>
  <c r="AE170" i="12" s="1"/>
  <c r="AE156" i="12" s="1"/>
  <c r="F56" i="4"/>
  <c r="AB159" i="12"/>
  <c r="AB170" i="12" s="1"/>
  <c r="AB156" i="12" s="1"/>
  <c r="AB150" i="12" s="1"/>
  <c r="AI169" i="12"/>
  <c r="AL169" i="12" s="1"/>
  <c r="Y159" i="12"/>
  <c r="Y170" i="12" s="1"/>
  <c r="Y156" i="12" s="1"/>
  <c r="Y151" i="12" s="1"/>
  <c r="W159" i="12"/>
  <c r="AH159" i="12"/>
  <c r="AH170" i="12" s="1"/>
  <c r="AH156" i="12" s="1"/>
  <c r="AH150" i="12" s="1"/>
  <c r="H56" i="4"/>
  <c r="AH241" i="12"/>
  <c r="AD241" i="12"/>
  <c r="AD252" i="12" s="1"/>
  <c r="AD238" i="12" s="1"/>
  <c r="AD232" i="12" s="1"/>
  <c r="AC241" i="12"/>
  <c r="AB241" i="12"/>
  <c r="W241" i="12"/>
  <c r="AF241" i="12"/>
  <c r="AF252" i="12" s="1"/>
  <c r="AF238" i="12" s="1"/>
  <c r="AF232" i="12" s="1"/>
  <c r="AE241" i="12"/>
  <c r="Y241" i="12"/>
  <c r="R283" i="12"/>
  <c r="Z226" i="1"/>
  <c r="AI251" i="12"/>
  <c r="AL251" i="12" s="1"/>
  <c r="AI250" i="12"/>
  <c r="AL250" i="12" s="1"/>
  <c r="AE150" i="12" l="1"/>
  <c r="AE151" i="12"/>
  <c r="AC150" i="12"/>
  <c r="AL150" i="12" s="1"/>
  <c r="AC151" i="12"/>
  <c r="AI303" i="12"/>
  <c r="AL301" i="12"/>
  <c r="AB252" i="12"/>
  <c r="AB238" i="12" s="1"/>
  <c r="AB232" i="12" s="1"/>
  <c r="AE252" i="12"/>
  <c r="AE238" i="12" s="1"/>
  <c r="Z255" i="1"/>
  <c r="AL191" i="12"/>
  <c r="Z231" i="1"/>
  <c r="AH252" i="12"/>
  <c r="AH238" i="12" s="1"/>
  <c r="AH232" i="12" s="1"/>
  <c r="Y252" i="12"/>
  <c r="AE233" i="12" l="1"/>
  <c r="AE232" i="12"/>
  <c r="AI293" i="12"/>
  <c r="AI282" i="12" s="1"/>
  <c r="AL303" i="12"/>
  <c r="Z260" i="1"/>
  <c r="AA226" i="1"/>
  <c r="Y238" i="12"/>
  <c r="Y233" i="12" s="1"/>
  <c r="I56" i="4" l="1"/>
  <c r="AB282" i="12"/>
  <c r="AB293" i="12" s="1"/>
  <c r="AB279" i="12" s="1"/>
  <c r="AB273" i="12" s="1"/>
  <c r="W282" i="12"/>
  <c r="AF282" i="12"/>
  <c r="AF293" i="12" s="1"/>
  <c r="AF279" i="12" s="1"/>
  <c r="AF273" i="12" s="1"/>
  <c r="Y282" i="12"/>
  <c r="Y293" i="12" s="1"/>
  <c r="Y279" i="12" s="1"/>
  <c r="Y274" i="12" s="1"/>
  <c r="AE282" i="12"/>
  <c r="AC282" i="12"/>
  <c r="AH282" i="12"/>
  <c r="AH293" i="12" s="1"/>
  <c r="AH279" i="12" s="1"/>
  <c r="AH273" i="12" s="1"/>
  <c r="AI292" i="12"/>
  <c r="AL292" i="12" s="1"/>
  <c r="AD282" i="12"/>
  <c r="AD293" i="12" s="1"/>
  <c r="AD279" i="12" s="1"/>
  <c r="AD273" i="12" s="1"/>
  <c r="AI291" i="12"/>
  <c r="AL291" i="12" s="1"/>
  <c r="AA231" i="1"/>
  <c r="AE231" i="1" s="1"/>
  <c r="AE226" i="1"/>
  <c r="AC252" i="12"/>
  <c r="AC238" i="12" s="1"/>
  <c r="AA255" i="1"/>
  <c r="AC233" i="12" l="1"/>
  <c r="AC232" i="12"/>
  <c r="AC293" i="12"/>
  <c r="AA260" i="1"/>
  <c r="AE260" i="1" s="1"/>
  <c r="AE255" i="1"/>
  <c r="AC279" i="12" l="1"/>
  <c r="AL232" i="12"/>
  <c r="R78" i="12"/>
  <c r="AC274" i="12" l="1"/>
  <c r="AC273" i="12"/>
  <c r="AL283" i="12"/>
  <c r="AE293" i="12"/>
  <c r="AE279" i="12" l="1"/>
  <c r="AE274" i="12" l="1"/>
  <c r="AE273" i="12"/>
  <c r="AL273" i="12" s="1"/>
  <c r="T108" i="1"/>
  <c r="G75" i="7"/>
  <c r="G166" i="7" s="1"/>
  <c r="D75" i="7"/>
  <c r="D166" i="7" s="1"/>
  <c r="D168" i="7" s="1"/>
  <c r="I75" i="7"/>
  <c r="I166" i="7" s="1"/>
  <c r="H75" i="7"/>
  <c r="H166" i="7" s="1"/>
  <c r="F75" i="7"/>
  <c r="F166" i="7" s="1"/>
  <c r="E75" i="7"/>
  <c r="E166" i="7" s="1"/>
  <c r="D169" i="7" l="1"/>
  <c r="O92" i="12" s="1"/>
  <c r="O96" i="12" s="1"/>
  <c r="H167" i="7"/>
  <c r="H168" i="7"/>
  <c r="H169" i="7"/>
  <c r="E168" i="7"/>
  <c r="E169" i="7"/>
  <c r="E167" i="7"/>
  <c r="F169" i="7"/>
  <c r="F168" i="7"/>
  <c r="F167" i="7"/>
  <c r="I169" i="7"/>
  <c r="I167" i="7"/>
  <c r="I168" i="7"/>
  <c r="L92" i="12"/>
  <c r="L96" i="12" s="1"/>
  <c r="L98" i="12" s="1"/>
  <c r="I92" i="12"/>
  <c r="I96" i="12" s="1"/>
  <c r="I98" i="12" s="1"/>
  <c r="K92" i="12"/>
  <c r="K96" i="12" s="1"/>
  <c r="K98" i="12" s="1"/>
  <c r="M92" i="12"/>
  <c r="M96" i="12" s="1"/>
  <c r="M98" i="12" s="1"/>
  <c r="O103" i="1"/>
  <c r="O106" i="1" s="1"/>
  <c r="O108" i="1" s="1"/>
  <c r="N92" i="12"/>
  <c r="N96" i="12" s="1"/>
  <c r="N98" i="12" s="1"/>
  <c r="N74" i="12" s="1"/>
  <c r="N68" i="12" s="1"/>
  <c r="J92" i="12"/>
  <c r="J96" i="12" s="1"/>
  <c r="J98" i="12" s="1"/>
  <c r="G169" i="7"/>
  <c r="G168" i="7"/>
  <c r="G167" i="7"/>
  <c r="P103" i="1"/>
  <c r="P106" i="1" s="1"/>
  <c r="P108" i="1" s="1"/>
  <c r="P100" i="1" s="1"/>
  <c r="P95" i="1" s="1"/>
  <c r="D167" i="7"/>
  <c r="O98" i="12" l="1"/>
  <c r="O88" i="12" s="1"/>
  <c r="O77" i="12" s="1"/>
  <c r="D33" i="4"/>
  <c r="O297" i="12"/>
  <c r="O301" i="12" s="1"/>
  <c r="P263" i="1"/>
  <c r="P266" i="1" s="1"/>
  <c r="P268" i="1" s="1"/>
  <c r="P260" i="1" s="1"/>
  <c r="P255" i="1" s="1"/>
  <c r="E199" i="1"/>
  <c r="E215" i="12"/>
  <c r="E133" i="12"/>
  <c r="E135" i="1"/>
  <c r="P135" i="1"/>
  <c r="P138" i="1" s="1"/>
  <c r="P140" i="1" s="1"/>
  <c r="P132" i="1" s="1"/>
  <c r="P127" i="1" s="1"/>
  <c r="O133" i="12"/>
  <c r="O137" i="12" s="1"/>
  <c r="E92" i="12"/>
  <c r="E103" i="1"/>
  <c r="O174" i="12"/>
  <c r="O178" i="12" s="1"/>
  <c r="P167" i="1"/>
  <c r="P170" i="1" s="1"/>
  <c r="P172" i="1" s="1"/>
  <c r="P164" i="1" s="1"/>
  <c r="P159" i="1" s="1"/>
  <c r="O135" i="1"/>
  <c r="O138" i="1" s="1"/>
  <c r="O140" i="1" s="1"/>
  <c r="K133" i="12"/>
  <c r="K137" i="12" s="1"/>
  <c r="K139" i="12" s="1"/>
  <c r="I133" i="12"/>
  <c r="I137" i="12" s="1"/>
  <c r="I139" i="12" s="1"/>
  <c r="J133" i="12"/>
  <c r="J137" i="12" s="1"/>
  <c r="J139" i="12" s="1"/>
  <c r="M133" i="12"/>
  <c r="M137" i="12" s="1"/>
  <c r="M139" i="12" s="1"/>
  <c r="L133" i="12"/>
  <c r="L137" i="12" s="1"/>
  <c r="L139" i="12" s="1"/>
  <c r="N133" i="12"/>
  <c r="N137" i="12" s="1"/>
  <c r="N139" i="12" s="1"/>
  <c r="N115" i="12" s="1"/>
  <c r="N109" i="12" s="1"/>
  <c r="E174" i="12"/>
  <c r="E167" i="1"/>
  <c r="P234" i="1"/>
  <c r="P237" i="1" s="1"/>
  <c r="P239" i="1" s="1"/>
  <c r="P231" i="1" s="1"/>
  <c r="P226" i="1" s="1"/>
  <c r="O256" i="12"/>
  <c r="O260" i="12" s="1"/>
  <c r="O263" i="1"/>
  <c r="O266" i="1" s="1"/>
  <c r="O268" i="1" s="1"/>
  <c r="J297" i="12"/>
  <c r="J301" i="12" s="1"/>
  <c r="J303" i="12" s="1"/>
  <c r="L297" i="12"/>
  <c r="L301" i="12" s="1"/>
  <c r="L303" i="12" s="1"/>
  <c r="M297" i="12"/>
  <c r="M301" i="12" s="1"/>
  <c r="M303" i="12" s="1"/>
  <c r="N297" i="12"/>
  <c r="N301" i="12" s="1"/>
  <c r="N303" i="12" s="1"/>
  <c r="N279" i="12" s="1"/>
  <c r="N273" i="12" s="1"/>
  <c r="K297" i="12"/>
  <c r="K301" i="12" s="1"/>
  <c r="K303" i="12" s="1"/>
  <c r="I297" i="12"/>
  <c r="I301" i="12" s="1"/>
  <c r="I303" i="12" s="1"/>
  <c r="I174" i="12"/>
  <c r="I178" i="12" s="1"/>
  <c r="I180" i="12" s="1"/>
  <c r="K174" i="12"/>
  <c r="K178" i="12" s="1"/>
  <c r="K180" i="12" s="1"/>
  <c r="M174" i="12"/>
  <c r="M178" i="12" s="1"/>
  <c r="M180" i="12" s="1"/>
  <c r="J174" i="12"/>
  <c r="J178" i="12" s="1"/>
  <c r="J180" i="12" s="1"/>
  <c r="O167" i="1"/>
  <c r="O170" i="1" s="1"/>
  <c r="O172" i="1" s="1"/>
  <c r="N174" i="12"/>
  <c r="N178" i="12" s="1"/>
  <c r="N180" i="12" s="1"/>
  <c r="N156" i="12" s="1"/>
  <c r="N150" i="12" s="1"/>
  <c r="L174" i="12"/>
  <c r="L178" i="12" s="1"/>
  <c r="L180" i="12" s="1"/>
  <c r="K256" i="12"/>
  <c r="K260" i="12" s="1"/>
  <c r="K262" i="12" s="1"/>
  <c r="M256" i="12"/>
  <c r="M260" i="12" s="1"/>
  <c r="M262" i="12" s="1"/>
  <c r="O234" i="1"/>
  <c r="O237" i="1" s="1"/>
  <c r="O239" i="1" s="1"/>
  <c r="L256" i="12"/>
  <c r="L260" i="12" s="1"/>
  <c r="L262" i="12" s="1"/>
  <c r="I256" i="12"/>
  <c r="I260" i="12" s="1"/>
  <c r="I262" i="12" s="1"/>
  <c r="N256" i="12"/>
  <c r="N260" i="12" s="1"/>
  <c r="N262" i="12" s="1"/>
  <c r="N238" i="12" s="1"/>
  <c r="N232" i="12" s="1"/>
  <c r="J256" i="12"/>
  <c r="J260" i="12" s="1"/>
  <c r="J262" i="12" s="1"/>
  <c r="E297" i="12"/>
  <c r="E263" i="1"/>
  <c r="P98" i="1"/>
  <c r="S98" i="1" s="1"/>
  <c r="M95" i="1"/>
  <c r="I95" i="1"/>
  <c r="K95" i="1"/>
  <c r="J95" i="1"/>
  <c r="P99" i="1"/>
  <c r="S99" i="1" s="1"/>
  <c r="J215" i="12"/>
  <c r="J219" i="12" s="1"/>
  <c r="J221" i="12" s="1"/>
  <c r="N215" i="12"/>
  <c r="N219" i="12" s="1"/>
  <c r="N221" i="12" s="1"/>
  <c r="N197" i="12" s="1"/>
  <c r="N191" i="12" s="1"/>
  <c r="I215" i="12"/>
  <c r="I219" i="12" s="1"/>
  <c r="I221" i="12" s="1"/>
  <c r="M215" i="12"/>
  <c r="M219" i="12" s="1"/>
  <c r="M221" i="12" s="1"/>
  <c r="K215" i="12"/>
  <c r="K219" i="12" s="1"/>
  <c r="K221" i="12" s="1"/>
  <c r="L215" i="12"/>
  <c r="L219" i="12" s="1"/>
  <c r="L221" i="12" s="1"/>
  <c r="O199" i="1"/>
  <c r="O202" i="1" s="1"/>
  <c r="O204" i="1" s="1"/>
  <c r="P199" i="1"/>
  <c r="P202" i="1" s="1"/>
  <c r="P204" i="1" s="1"/>
  <c r="P196" i="1" s="1"/>
  <c r="P191" i="1" s="1"/>
  <c r="O215" i="12"/>
  <c r="O219" i="12" s="1"/>
  <c r="E256" i="12"/>
  <c r="E234" i="1"/>
  <c r="O87" i="12" l="1"/>
  <c r="R87" i="12" s="1"/>
  <c r="W211" i="12"/>
  <c r="W129" i="12"/>
  <c r="O86" i="12"/>
  <c r="R86" i="12" s="1"/>
  <c r="O180" i="12"/>
  <c r="O170" i="12" s="1"/>
  <c r="O159" i="12" s="1"/>
  <c r="O169" i="12" s="1"/>
  <c r="R169" i="12" s="1"/>
  <c r="F33" i="4"/>
  <c r="O139" i="12"/>
  <c r="O129" i="12" s="1"/>
  <c r="O118" i="12" s="1"/>
  <c r="O127" i="12" s="1"/>
  <c r="R127" i="12" s="1"/>
  <c r="E33" i="4"/>
  <c r="O221" i="12"/>
  <c r="O211" i="12" s="1"/>
  <c r="O200" i="12" s="1"/>
  <c r="O209" i="12" s="1"/>
  <c r="R209" i="12" s="1"/>
  <c r="G33" i="4"/>
  <c r="O303" i="12"/>
  <c r="O293" i="12" s="1"/>
  <c r="O282" i="12" s="1"/>
  <c r="J282" i="12" s="1"/>
  <c r="J293" i="12" s="1"/>
  <c r="I33" i="4"/>
  <c r="O262" i="12"/>
  <c r="O252" i="12" s="1"/>
  <c r="O241" i="12" s="1"/>
  <c r="H33" i="4"/>
  <c r="W293" i="12"/>
  <c r="AL282" i="12"/>
  <c r="D44" i="4"/>
  <c r="D39" i="4"/>
  <c r="D43" i="4"/>
  <c r="I77" i="12" s="1"/>
  <c r="I88" i="12" s="1"/>
  <c r="I74" i="12" s="1"/>
  <c r="I68" i="12" s="1"/>
  <c r="D45" i="4"/>
  <c r="G95" i="1" s="1"/>
  <c r="G100" i="1" s="1"/>
  <c r="J77" i="12"/>
  <c r="J88" i="12" s="1"/>
  <c r="K77" i="12"/>
  <c r="K88" i="12" s="1"/>
  <c r="K74" i="12" s="1"/>
  <c r="K69" i="12" s="1"/>
  <c r="L77" i="12"/>
  <c r="L88" i="12" s="1"/>
  <c r="L74" i="12" s="1"/>
  <c r="L68" i="12" s="1"/>
  <c r="AL200" i="12"/>
  <c r="AL118" i="12"/>
  <c r="P130" i="1"/>
  <c r="S130" i="1" s="1"/>
  <c r="P131" i="1"/>
  <c r="S131" i="1" s="1"/>
  <c r="E138" i="1"/>
  <c r="E140" i="1" s="1"/>
  <c r="T140" i="1" s="1"/>
  <c r="S135" i="1"/>
  <c r="S138" i="1" s="1"/>
  <c r="S140" i="1" s="1"/>
  <c r="E137" i="12"/>
  <c r="R133" i="12"/>
  <c r="R215" i="12"/>
  <c r="E219" i="12"/>
  <c r="E202" i="1"/>
  <c r="E204" i="1" s="1"/>
  <c r="T204" i="1" s="1"/>
  <c r="S199" i="1"/>
  <c r="S202" i="1" s="1"/>
  <c r="S204" i="1" s="1"/>
  <c r="P229" i="1"/>
  <c r="S229" i="1" s="1"/>
  <c r="P230" i="1"/>
  <c r="S230" i="1" s="1"/>
  <c r="R297" i="12"/>
  <c r="E301" i="12"/>
  <c r="P163" i="1"/>
  <c r="S163" i="1" s="1"/>
  <c r="P162" i="1"/>
  <c r="S162" i="1" s="1"/>
  <c r="P195" i="1"/>
  <c r="S195" i="1" s="1"/>
  <c r="P194" i="1"/>
  <c r="S194" i="1" s="1"/>
  <c r="E266" i="1"/>
  <c r="E268" i="1" s="1"/>
  <c r="T268" i="1" s="1"/>
  <c r="S263" i="1"/>
  <c r="S266" i="1" s="1"/>
  <c r="S268" i="1" s="1"/>
  <c r="E170" i="1"/>
  <c r="E172" i="1" s="1"/>
  <c r="T172" i="1" s="1"/>
  <c r="S167" i="1"/>
  <c r="S170" i="1" s="1"/>
  <c r="S172" i="1" s="1"/>
  <c r="E178" i="12"/>
  <c r="R174" i="12"/>
  <c r="S103" i="1"/>
  <c r="S106" i="1" s="1"/>
  <c r="S108" i="1" s="1"/>
  <c r="E106" i="1"/>
  <c r="E108" i="1" s="1"/>
  <c r="E260" i="12"/>
  <c r="R256" i="12"/>
  <c r="E96" i="12"/>
  <c r="R92" i="12"/>
  <c r="P258" i="1"/>
  <c r="S258" i="1" s="1"/>
  <c r="P259" i="1"/>
  <c r="S259" i="1" s="1"/>
  <c r="E237" i="1"/>
  <c r="E239" i="1" s="1"/>
  <c r="T239" i="1" s="1"/>
  <c r="S234" i="1"/>
  <c r="S237" i="1" s="1"/>
  <c r="S239" i="1" s="1"/>
  <c r="AL211" i="12" l="1"/>
  <c r="W197" i="12"/>
  <c r="AL293" i="12"/>
  <c r="AL306" i="12" s="1"/>
  <c r="W279" i="12"/>
  <c r="AL129" i="12"/>
  <c r="AJ142" i="12" s="1"/>
  <c r="W115" i="12"/>
  <c r="J159" i="12"/>
  <c r="J170" i="12" s="1"/>
  <c r="L159" i="12"/>
  <c r="L170" i="12" s="1"/>
  <c r="L156" i="12" s="1"/>
  <c r="L150" i="12" s="1"/>
  <c r="H77" i="12"/>
  <c r="H88" i="12" s="1"/>
  <c r="H74" i="12" s="1"/>
  <c r="H68" i="12" s="1"/>
  <c r="L118" i="12"/>
  <c r="L129" i="12" s="1"/>
  <c r="L115" i="12" s="1"/>
  <c r="L109" i="12" s="1"/>
  <c r="K159" i="12"/>
  <c r="K170" i="12" s="1"/>
  <c r="K156" i="12" s="1"/>
  <c r="K151" i="12" s="1"/>
  <c r="J118" i="12"/>
  <c r="J129" i="12" s="1"/>
  <c r="O128" i="12"/>
  <c r="R128" i="12" s="1"/>
  <c r="K118" i="12"/>
  <c r="K129" i="12" s="1"/>
  <c r="K115" i="12" s="1"/>
  <c r="K110" i="12" s="1"/>
  <c r="O210" i="12"/>
  <c r="R210" i="12" s="1"/>
  <c r="K200" i="12"/>
  <c r="K211" i="12" s="1"/>
  <c r="K197" i="12" s="1"/>
  <c r="K192" i="12" s="1"/>
  <c r="L282" i="12"/>
  <c r="L293" i="12" s="1"/>
  <c r="L279" i="12" s="1"/>
  <c r="L273" i="12" s="1"/>
  <c r="W170" i="12"/>
  <c r="AL159" i="12"/>
  <c r="O168" i="12"/>
  <c r="R168" i="12" s="1"/>
  <c r="E39" i="4"/>
  <c r="E44" i="4"/>
  <c r="E45" i="4"/>
  <c r="G127" i="1" s="1"/>
  <c r="G132" i="1" s="1"/>
  <c r="E43" i="4"/>
  <c r="O127" i="1" s="1"/>
  <c r="O132" i="1" s="1"/>
  <c r="O291" i="12"/>
  <c r="R291" i="12" s="1"/>
  <c r="J200" i="12"/>
  <c r="J211" i="12" s="1"/>
  <c r="O250" i="12"/>
  <c r="R250" i="12" s="1"/>
  <c r="O251" i="12"/>
  <c r="R251" i="12" s="1"/>
  <c r="K241" i="12"/>
  <c r="K252" i="12" s="1"/>
  <c r="K238" i="12" s="1"/>
  <c r="K233" i="12" s="1"/>
  <c r="J241" i="12"/>
  <c r="J252" i="12" s="1"/>
  <c r="K282" i="12"/>
  <c r="K293" i="12" s="1"/>
  <c r="K279" i="12" s="1"/>
  <c r="K274" i="12" s="1"/>
  <c r="O292" i="12"/>
  <c r="R292" i="12" s="1"/>
  <c r="L200" i="12"/>
  <c r="L211" i="12" s="1"/>
  <c r="L197" i="12" s="1"/>
  <c r="L191" i="12" s="1"/>
  <c r="L241" i="12"/>
  <c r="L252" i="12" s="1"/>
  <c r="L238" i="12" s="1"/>
  <c r="L232" i="12" s="1"/>
  <c r="R68" i="12"/>
  <c r="AL241" i="12"/>
  <c r="W252" i="12"/>
  <c r="D48" i="4"/>
  <c r="D49" i="4" s="1"/>
  <c r="O95" i="1"/>
  <c r="H95" i="1"/>
  <c r="D36" i="4"/>
  <c r="D59" i="4" s="1"/>
  <c r="D37" i="4"/>
  <c r="D38" i="4"/>
  <c r="R260" i="12"/>
  <c r="E262" i="12"/>
  <c r="R262" i="12" s="1"/>
  <c r="R301" i="12"/>
  <c r="E303" i="12"/>
  <c r="R303" i="12" s="1"/>
  <c r="E139" i="12"/>
  <c r="R139" i="12" s="1"/>
  <c r="R137" i="12"/>
  <c r="I39" i="4"/>
  <c r="I45" i="4"/>
  <c r="I43" i="4"/>
  <c r="I44" i="4"/>
  <c r="F39" i="4"/>
  <c r="F44" i="4"/>
  <c r="F43" i="4"/>
  <c r="I159" i="12" s="1"/>
  <c r="F45" i="4"/>
  <c r="G159" i="1" s="1"/>
  <c r="G164" i="1" s="1"/>
  <c r="H44" i="4"/>
  <c r="H43" i="4"/>
  <c r="I241" i="12" s="1"/>
  <c r="H45" i="4"/>
  <c r="G226" i="1" s="1"/>
  <c r="G231" i="1" s="1"/>
  <c r="H39" i="4"/>
  <c r="E180" i="12"/>
  <c r="R180" i="12" s="1"/>
  <c r="R178" i="12"/>
  <c r="G43" i="4"/>
  <c r="I200" i="12" s="1"/>
  <c r="G44" i="4"/>
  <c r="G45" i="4"/>
  <c r="G191" i="1" s="1"/>
  <c r="G196" i="1" s="1"/>
  <c r="G39" i="4"/>
  <c r="R219" i="12"/>
  <c r="E221" i="12"/>
  <c r="R221" i="12" s="1"/>
  <c r="E98" i="12"/>
  <c r="R96" i="12"/>
  <c r="W274" i="12" l="1"/>
  <c r="AL274" i="12" s="1"/>
  <c r="AL279" i="12"/>
  <c r="AL170" i="12"/>
  <c r="W156" i="12"/>
  <c r="W110" i="12"/>
  <c r="AL110" i="12" s="1"/>
  <c r="AL115" i="12"/>
  <c r="W192" i="12"/>
  <c r="AL192" i="12" s="1"/>
  <c r="AL197" i="12"/>
  <c r="AL252" i="12"/>
  <c r="W238" i="12"/>
  <c r="D69" i="4"/>
  <c r="V95" i="1"/>
  <c r="W77" i="12"/>
  <c r="H200" i="12"/>
  <c r="H211" i="12" s="1"/>
  <c r="H197" i="12" s="1"/>
  <c r="H191" i="12" s="1"/>
  <c r="I282" i="12"/>
  <c r="G255" i="1"/>
  <c r="G260" i="1" s="1"/>
  <c r="H118" i="12"/>
  <c r="H129" i="12" s="1"/>
  <c r="H115" i="12" s="1"/>
  <c r="H109" i="12" s="1"/>
  <c r="H241" i="12"/>
  <c r="H252" i="12" s="1"/>
  <c r="H238" i="12" s="1"/>
  <c r="H232" i="12" s="1"/>
  <c r="H159" i="12"/>
  <c r="H170" i="12" s="1"/>
  <c r="H156" i="12" s="1"/>
  <c r="H150" i="12" s="1"/>
  <c r="H282" i="12"/>
  <c r="H293" i="12" s="1"/>
  <c r="I118" i="12"/>
  <c r="I129" i="12" s="1"/>
  <c r="I115" i="12" s="1"/>
  <c r="I109" i="12" s="1"/>
  <c r="E38" i="4"/>
  <c r="E48" i="4"/>
  <c r="E49" i="4" s="1"/>
  <c r="E37" i="4"/>
  <c r="E36" i="4"/>
  <c r="C95" i="1"/>
  <c r="C77" i="12"/>
  <c r="D47" i="4"/>
  <c r="E95" i="1"/>
  <c r="E100" i="1" s="1"/>
  <c r="E77" i="12"/>
  <c r="E88" i="12" s="1"/>
  <c r="E74" i="12" s="1"/>
  <c r="E69" i="12" s="1"/>
  <c r="F36" i="4"/>
  <c r="F37" i="4"/>
  <c r="C159" i="12" s="1"/>
  <c r="F38" i="4"/>
  <c r="E159" i="12" s="1"/>
  <c r="F48" i="4"/>
  <c r="F49" i="4" s="1"/>
  <c r="I211" i="12"/>
  <c r="I197" i="12" s="1"/>
  <c r="I191" i="12" s="1"/>
  <c r="O191" i="1"/>
  <c r="O196" i="1" s="1"/>
  <c r="I36" i="4"/>
  <c r="I48" i="4"/>
  <c r="I38" i="4"/>
  <c r="I37" i="4"/>
  <c r="I293" i="12"/>
  <c r="I279" i="12" s="1"/>
  <c r="I273" i="12" s="1"/>
  <c r="O255" i="1"/>
  <c r="O260" i="1" s="1"/>
  <c r="G36" i="4"/>
  <c r="G38" i="4"/>
  <c r="E200" i="12" s="1"/>
  <c r="G37" i="4"/>
  <c r="C200" i="12" s="1"/>
  <c r="G48" i="4"/>
  <c r="G49" i="4" s="1"/>
  <c r="R98" i="12"/>
  <c r="H36" i="4"/>
  <c r="H48" i="4"/>
  <c r="H49" i="4" s="1"/>
  <c r="H37" i="4"/>
  <c r="C241" i="12" s="1"/>
  <c r="H38" i="4"/>
  <c r="E241" i="12" s="1"/>
  <c r="I252" i="12"/>
  <c r="I238" i="12" s="1"/>
  <c r="I232" i="12" s="1"/>
  <c r="O226" i="1"/>
  <c r="O231" i="1" s="1"/>
  <c r="O159" i="1"/>
  <c r="O164" i="1" s="1"/>
  <c r="I170" i="12"/>
  <c r="I156" i="12" s="1"/>
  <c r="I150" i="12" s="1"/>
  <c r="W151" i="12" l="1"/>
  <c r="AL151" i="12" s="1"/>
  <c r="AL156" i="12"/>
  <c r="W233" i="12"/>
  <c r="AL233" i="12" s="1"/>
  <c r="AL238" i="12"/>
  <c r="V100" i="1"/>
  <c r="AE100" i="1" s="1"/>
  <c r="AE95" i="1"/>
  <c r="AL77" i="12"/>
  <c r="AL88" i="12"/>
  <c r="AF101" i="12" s="1"/>
  <c r="H279" i="12"/>
  <c r="H273" i="12" s="1"/>
  <c r="R273" i="12" s="1"/>
  <c r="K12" i="19"/>
  <c r="R109" i="12"/>
  <c r="C282" i="12"/>
  <c r="E282" i="12"/>
  <c r="E293" i="12" s="1"/>
  <c r="I49" i="4"/>
  <c r="E47" i="4"/>
  <c r="C127" i="1"/>
  <c r="C118" i="12"/>
  <c r="E127" i="1"/>
  <c r="E132" i="1" s="1"/>
  <c r="E118" i="12"/>
  <c r="E129" i="12" s="1"/>
  <c r="C88" i="12"/>
  <c r="C74" i="12" s="1"/>
  <c r="R74" i="12" s="1"/>
  <c r="R77" i="12"/>
  <c r="S95" i="1"/>
  <c r="C100" i="1"/>
  <c r="S100" i="1" s="1"/>
  <c r="R191" i="12"/>
  <c r="H47" i="4"/>
  <c r="I47" i="4"/>
  <c r="R150" i="12"/>
  <c r="G47" i="4"/>
  <c r="R232" i="12"/>
  <c r="F47" i="4"/>
  <c r="C255" i="1"/>
  <c r="E211" i="12"/>
  <c r="E197" i="12" s="1"/>
  <c r="E192" i="12" s="1"/>
  <c r="E191" i="1"/>
  <c r="E196" i="1" s="1"/>
  <c r="E255" i="1"/>
  <c r="E260" i="1" s="1"/>
  <c r="E170" i="12"/>
  <c r="E156" i="12" s="1"/>
  <c r="E151" i="12" s="1"/>
  <c r="E159" i="1"/>
  <c r="E164" i="1" s="1"/>
  <c r="C159" i="1"/>
  <c r="C226" i="1"/>
  <c r="C191" i="1"/>
  <c r="E226" i="1"/>
  <c r="E231" i="1" s="1"/>
  <c r="E252" i="12"/>
  <c r="E238" i="12" s="1"/>
  <c r="E233" i="12" s="1"/>
  <c r="E279" i="12" l="1"/>
  <c r="E274" i="12" s="1"/>
  <c r="L12" i="19"/>
  <c r="E115" i="12"/>
  <c r="E110" i="12" s="1"/>
  <c r="C129" i="12"/>
  <c r="C115" i="12" s="1"/>
  <c r="C110" i="12" s="1"/>
  <c r="R118" i="12"/>
  <c r="R88" i="12"/>
  <c r="S88" i="12" s="1"/>
  <c r="C69" i="12"/>
  <c r="R69" i="12" s="1"/>
  <c r="S127" i="1"/>
  <c r="C132" i="1"/>
  <c r="S132" i="1" s="1"/>
  <c r="R241" i="12"/>
  <c r="C252" i="12"/>
  <c r="C238" i="12" s="1"/>
  <c r="C233" i="12" s="1"/>
  <c r="C164" i="1"/>
  <c r="S164" i="1" s="1"/>
  <c r="S159" i="1"/>
  <c r="C196" i="1"/>
  <c r="S196" i="1" s="1"/>
  <c r="S191" i="1"/>
  <c r="C211" i="12"/>
  <c r="C197" i="12" s="1"/>
  <c r="C192" i="12" s="1"/>
  <c r="R200" i="12"/>
  <c r="C231" i="1"/>
  <c r="S231" i="1" s="1"/>
  <c r="S226" i="1"/>
  <c r="S255" i="1"/>
  <c r="C260" i="1"/>
  <c r="S260" i="1" s="1"/>
  <c r="R159" i="12"/>
  <c r="C170" i="12"/>
  <c r="C156" i="12" s="1"/>
  <c r="C151" i="12" s="1"/>
  <c r="R282" i="12"/>
  <c r="C293" i="12"/>
  <c r="C279" i="12" l="1"/>
  <c r="C274" i="12" s="1"/>
  <c r="M12" i="19"/>
  <c r="N12" i="19" s="1"/>
  <c r="N14" i="19" s="1"/>
  <c r="R279" i="12"/>
  <c r="R156" i="12"/>
  <c r="R197" i="12"/>
  <c r="R238" i="12"/>
  <c r="R211" i="12"/>
  <c r="S213" i="12" s="1"/>
  <c r="R233" i="12"/>
  <c r="R110" i="12"/>
  <c r="R115" i="12"/>
  <c r="R170" i="12"/>
  <c r="S172" i="12" s="1"/>
  <c r="R151" i="12"/>
  <c r="R192" i="12"/>
  <c r="R129" i="12"/>
  <c r="S119" i="12" s="1"/>
  <c r="R293" i="12"/>
  <c r="S289" i="12" s="1"/>
  <c r="R274" i="12"/>
  <c r="R252" i="12"/>
  <c r="S254" i="12" s="1"/>
</calcChain>
</file>

<file path=xl/comments1.xml><?xml version="1.0" encoding="utf-8"?>
<comments xmlns="http://schemas.openxmlformats.org/spreadsheetml/2006/main">
  <authors>
    <author>CHAIGNEAU Yanis</author>
  </authors>
  <commentLis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L26" authorId="0" shapeId="0">
      <text>
        <r>
          <rPr>
            <b/>
            <sz val="9"/>
            <color indexed="81"/>
            <rFont val="Tahoma"/>
            <family val="2"/>
          </rPr>
          <t>CHAIGNEAU Yanis:</t>
        </r>
        <r>
          <rPr>
            <sz val="9"/>
            <color indexed="81"/>
            <rFont val="Tahoma"/>
            <family val="2"/>
          </rPr>
          <t xml:space="preserve">
Valeur brute sans prendre en compte la réduction d'énergie</t>
        </r>
      </text>
    </comment>
    <comment ref="A35" authorId="0" shapeId="0">
      <text>
        <r>
          <rPr>
            <b/>
            <sz val="9"/>
            <color indexed="81"/>
            <rFont val="Tahoma"/>
            <family val="2"/>
          </rPr>
          <t>CHAIGNEAU Yanis:</t>
        </r>
        <r>
          <rPr>
            <sz val="9"/>
            <color indexed="81"/>
            <rFont val="Tahoma"/>
            <family val="2"/>
          </rPr>
          <t xml:space="preserve">
Voir page 100 - 101</t>
        </r>
      </text>
    </comment>
    <comment ref="D45" authorId="0" shapeId="0">
      <text>
        <r>
          <rPr>
            <b/>
            <sz val="9"/>
            <color indexed="81"/>
            <rFont val="Tahoma"/>
            <family val="2"/>
          </rPr>
          <t>CHAIGNEAU Yanis:</t>
        </r>
        <r>
          <rPr>
            <sz val="9"/>
            <color indexed="81"/>
            <rFont val="Tahoma"/>
            <family val="2"/>
          </rPr>
          <t xml:space="preserve">
J'inclus énergies marines</t>
        </r>
      </text>
    </comment>
    <comment ref="D67"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sharedStrings.xml><?xml version="1.0" encoding="utf-8"?>
<sst xmlns="http://schemas.openxmlformats.org/spreadsheetml/2006/main" count="3166" uniqueCount="675">
  <si>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</si>
  <si>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</si>
  <si>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</si>
  <si>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</si>
  <si>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</si>
  <si>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</si>
  <si>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</si>
  <si>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</si>
  <si>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</si>
  <si>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</si>
  <si>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</si>
  <si>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</si>
  <si>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</si>
  <si>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</si>
  <si>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</si>
  <si>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</si>
  <si>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</si>
  <si>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</si>
  <si>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</si>
  <si>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</si>
  <si>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</si>
  <si>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</si>
  <si>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</si>
  <si>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</si>
  <si>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</si>
  <si>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</si>
  <si>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</si>
  <si>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</si>
  <si>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</si>
  <si>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</si>
  <si>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</si>
  <si>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</si>
  <si>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</si>
  <si>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</si>
  <si>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</si>
  <si>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</si>
  <si>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</si>
  <si>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</si>
  <si>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</si>
  <si>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</si>
  <si>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</si>
  <si>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</si>
  <si>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</si>
  <si>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</si>
  <si>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</si>
  <si>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</si>
  <si>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</si>
  <si>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</si>
  <si>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</si>
  <si>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</si>
  <si>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</si>
  <si>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</si>
  <si>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</si>
  <si>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</si>
  <si>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</si>
  <si>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</si>
  <si>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</si>
  <si>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</si>
  <si>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</si>
  <si>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</si>
  <si>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2. AMS - AME 2023</t>
  </si>
  <si>
    <t xml:space="preserve">Réunion </t>
  </si>
  <si>
    <t>DOM</t>
  </si>
  <si>
    <t>Population (en millions)</t>
  </si>
  <si>
    <t>PIB ( en millions d’euros 2014)</t>
  </si>
  <si>
    <t>PIB/habitant  (€/hab.)</t>
  </si>
  <si>
    <t xml:space="preserve">3. AME 2021 </t>
  </si>
  <si>
    <t>France</t>
  </si>
  <si>
    <t>Population (2014)</t>
  </si>
  <si>
    <t>844 886</t>
  </si>
  <si>
    <t>2 104 556</t>
  </si>
  <si>
    <t>66 290 596</t>
  </si>
  <si>
    <t>PIB (2014, en millions d’euros 2010)</t>
  </si>
  <si>
    <t>16 533</t>
  </si>
  <si>
    <t>39 198</t>
  </si>
  <si>
    <t>2 068 624</t>
  </si>
  <si>
    <t>PIB/habitant (2014, €/hab.)</t>
  </si>
  <si>
    <t>19 831</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</si>
  <si>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</si>
  <si>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</si>
  <si>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</si>
  <si>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</si>
  <si>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</si>
  <si>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</si>
  <si>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</si>
  <si>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</si>
  <si>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</si>
  <si>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</si>
  <si>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</si>
  <si>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</si>
  <si>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</si>
  <si>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</si>
  <si>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</si>
  <si>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</si>
  <si>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</si>
  <si>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</si>
  <si>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</si>
  <si>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</si>
  <si>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</si>
  <si>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</si>
  <si>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</si>
  <si>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</si>
  <si>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</si>
  <si>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</si>
  <si>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</si>
  <si>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</si>
  <si>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</si>
  <si>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</si>
  <si>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</si>
  <si>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</si>
  <si>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</si>
  <si>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</si>
  <si>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</si>
  <si>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</si>
  <si>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</si>
  <si>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</si>
  <si>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</si>
  <si>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</si>
  <si>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</si>
  <si>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</si>
  <si>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</si>
  <si>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</si>
  <si>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</si>
  <si>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</si>
  <si>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</si>
  <si>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</si>
  <si>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</si>
  <si>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</si>
  <si>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</si>
  <si>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</si>
  <si>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</si>
  <si>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</si>
  <si>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</si>
  <si>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</si>
  <si>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</si>
  <si>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</si>
  <si>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</si>
  <si>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</si>
  <si>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</si>
  <si>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</si>
  <si>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</si>
  <si>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</si>
  <si>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</si>
  <si>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</si>
  <si>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</si>
  <si>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</si>
  <si>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</si>
  <si>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</si>
  <si>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</si>
  <si>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</si>
  <si>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</si>
  <si>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</si>
  <si>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</si>
  <si>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Source : Iedom 2019, EDF</t>
  </si>
  <si>
    <t>https://energies-reunion.com/nos-actions/observation/ber-2019-edition-2020/</t>
  </si>
  <si>
    <t>Hypothèse: part ENR identique à PPE 2028 et sortie du charbon [AME18 : PPE 2023 72 %EnR]</t>
  </si>
  <si>
    <t>3. AMS 2023</t>
  </si>
  <si>
    <t>5. AMS 2018</t>
  </si>
  <si>
    <t>1 220</t>
  </si>
  <si>
    <t>1 120</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</si>
  <si>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</si>
  <si>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</si>
  <si>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</si>
  <si>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</si>
  <si>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</si>
  <si>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</si>
  <si>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</si>
  <si>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</si>
  <si>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</si>
  <si>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</si>
  <si>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</si>
  <si>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</si>
  <si>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</si>
  <si>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</si>
  <si>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</si>
  <si>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</si>
  <si>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</si>
  <si>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</si>
  <si>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</si>
  <si>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</si>
  <si>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</si>
  <si>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</si>
  <si>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</si>
  <si>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</si>
  <si>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</si>
  <si>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</si>
  <si>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</si>
  <si>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</si>
  <si>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</si>
  <si>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</si>
  <si>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</si>
  <si>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</si>
  <si>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</si>
  <si>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</si>
  <si>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</si>
  <si>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</si>
  <si>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</si>
  <si>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</si>
  <si>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</si>
  <si>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</si>
  <si>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</si>
  <si>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</si>
  <si>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</si>
  <si>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</si>
  <si>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</si>
  <si>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</si>
  <si>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</si>
  <si>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</si>
  <si>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</si>
  <si>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</si>
  <si>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</si>
  <si>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</si>
  <si>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</si>
  <si>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</si>
  <si>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</si>
  <si>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</si>
  <si>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</si>
  <si>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</si>
  <si>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</si>
  <si>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</si>
  <si>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</si>
  <si>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</si>
  <si>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</si>
  <si>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</si>
  <si>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</si>
  <si>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</si>
  <si>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</si>
  <si>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</si>
  <si>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</si>
  <si>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</si>
  <si>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</si>
  <si>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</si>
  <si>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16 949</t>
  </si>
  <si>
    <t>VA Indus</t>
  </si>
  <si>
    <t>VA BTP</t>
  </si>
  <si>
    <t>1 000</t>
  </si>
  <si>
    <t>1 704</t>
  </si>
  <si>
    <t>1 909</t>
  </si>
  <si>
    <t>4 139</t>
  </si>
  <si>
    <t>Demande fossile éner industrie (ktep)</t>
  </si>
  <si>
    <t xml:space="preserve">Calcul AME 21 </t>
  </si>
  <si>
    <t>Conso PPR non énergétique</t>
  </si>
  <si>
    <t>Conso EnRt</t>
  </si>
  <si>
    <t>Conso chaleur vendue</t>
  </si>
  <si>
    <t>Source : IEDOM – Rapport Guadeloupe 2016</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</si>
  <si>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</si>
  <si>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</si>
  <si>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</si>
  <si>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</si>
  <si>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</si>
  <si>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</si>
  <si>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</si>
  <si>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Nombre ménages</t>
  </si>
  <si>
    <t>Taux d’équipement clim</t>
  </si>
  <si>
    <t>Performance frigorifique</t>
  </si>
  <si>
    <t>AME21</t>
  </si>
  <si>
    <t>Besoin clim</t>
  </si>
  <si>
    <t>Émissions HFC (KtCO2eq)</t>
  </si>
  <si>
    <t>Émissions CO2 (ktCO2)</t>
  </si>
  <si>
    <t>Consommations électriques résidentiel (GWh)</t>
  </si>
  <si>
    <t>PIB (millions d'euros)</t>
  </si>
  <si>
    <t>Conso PPR rési (GWh)</t>
  </si>
  <si>
    <t xml:space="preserve">Bilan de l'énergie </t>
  </si>
  <si>
    <t>Conso EnRt rési (GWh)</t>
  </si>
  <si>
    <t xml:space="preserve">Cadrage marco </t>
  </si>
  <si>
    <t xml:space="preserve">Prévision linéaire </t>
  </si>
  <si>
    <t>AME2021</t>
  </si>
  <si>
    <t>Calcul AME 2021</t>
  </si>
  <si>
    <t>Émissions CO2</t>
  </si>
  <si>
    <t>PIB</t>
  </si>
  <si>
    <t>AMS 2018</t>
  </si>
  <si>
    <t>II. Parc résidentiel (Hors climatisation)</t>
  </si>
  <si>
    <t>Hors clim</t>
  </si>
  <si>
    <t>Usage</t>
  </si>
  <si>
    <t>Éclairage</t>
  </si>
  <si>
    <t>ECS</t>
  </si>
  <si>
    <t>Blanc</t>
  </si>
  <si>
    <t>Autres (électroménager, ventilation, etc.)</t>
  </si>
  <si>
    <t>Cuissons</t>
  </si>
  <si>
    <t xml:space="preserve">Climatisation </t>
  </si>
  <si>
    <t>Total hors clim</t>
  </si>
  <si>
    <t>Efficacité</t>
  </si>
  <si>
    <t>Besoin</t>
  </si>
  <si>
    <t>Bruns</t>
  </si>
  <si>
    <t>1 281</t>
  </si>
  <si>
    <t>Idem métropole</t>
  </si>
  <si>
    <t>Index communs métropole (logement, pop…) + variation tx équipement</t>
  </si>
  <si>
    <t>ECS solaire</t>
  </si>
  <si>
    <t>III. Tertiaire (Hors climatisation)</t>
  </si>
  <si>
    <t>(OREC) 2018</t>
  </si>
  <si>
    <t>Avec clim</t>
  </si>
  <si>
    <t>Froid</t>
  </si>
  <si>
    <t>Équipements divers</t>
  </si>
  <si>
    <t>TOTAL</t>
  </si>
  <si>
    <t>1 536</t>
  </si>
  <si>
    <t>Ajusté hausse climatisation</t>
  </si>
  <si>
    <t>Idem résidentiel</t>
  </si>
  <si>
    <t>Indexé PIB</t>
  </si>
  <si>
    <t>Insee, enquête budgets de famille 2011</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</si>
  <si>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</si>
  <si>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</si>
  <si>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</si>
  <si>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</si>
  <si>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</si>
  <si>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</si>
  <si>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</si>
  <si>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</si>
  <si>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</si>
  <si>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</si>
  <si>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</si>
  <si>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</si>
  <si>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</si>
  <si>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</si>
  <si>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</si>
  <si>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</si>
  <si>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</si>
  <si>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</si>
  <si>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</si>
  <si>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</si>
  <si>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</si>
  <si>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</si>
  <si>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</si>
  <si>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</si>
  <si>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</si>
  <si>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</si>
  <si>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</si>
  <si>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</si>
  <si>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</si>
  <si>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</si>
  <si>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</si>
  <si>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</si>
  <si>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</si>
  <si>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</si>
  <si>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</si>
  <si>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</si>
  <si>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</si>
  <si>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</si>
  <si>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</si>
  <si>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</si>
  <si>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</si>
  <si>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</si>
  <si>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</si>
  <si>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</si>
  <si>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</si>
  <si>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</si>
  <si>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</si>
  <si>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Citepa</t>
  </si>
  <si>
    <t>Intensité émissions (indice 2015)</t>
  </si>
  <si>
    <t>Population (indice 2015)</t>
  </si>
  <si>
    <t>Quantité de déchets (kt)</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</si>
  <si>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</si>
  <si>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</si>
  <si>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</si>
  <si>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</si>
  <si>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</si>
  <si>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</si>
  <si>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</si>
  <si>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</si>
  <si>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</si>
  <si>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</si>
  <si>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</si>
  <si>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</si>
  <si>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</si>
  <si>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</si>
  <si>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</si>
  <si>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</si>
  <si>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</si>
  <si>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</si>
  <si>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</si>
  <si>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</si>
  <si>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</si>
  <si>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</si>
  <si>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</si>
  <si>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</si>
  <si>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</si>
  <si>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</si>
  <si>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</si>
  <si>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</si>
  <si>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</si>
  <si>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</si>
  <si>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</si>
  <si>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</si>
  <si>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</si>
  <si>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</si>
  <si>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</si>
  <si>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</si>
  <si>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</si>
  <si>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</si>
  <si>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</si>
  <si>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</si>
  <si>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 taux d'équipement constant au niveau de 2019</t>
  </si>
  <si>
    <t>Hypothèses: Contrairement à l'AME, stabilité de l'évolution du kilomètrage moyen en AMS. Le % de poids lourds électriques passe à 57% en 2050.100% de véhicules électriques en 2050.</t>
  </si>
  <si>
    <t>1. Historique</t>
  </si>
  <si>
    <t>Comparaison conso carburants vs bilans SDES</t>
  </si>
  <si>
    <t>Sources</t>
  </si>
  <si>
    <t>Cadrage macroéconomique</t>
  </si>
  <si>
    <t>IEDOM 2020 + regression linéaire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</si>
  <si>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</si>
  <si>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</si>
  <si>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</si>
  <si>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</si>
  <si>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</si>
  <si>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</si>
  <si>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</si>
  <si>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</si>
  <si>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</si>
  <si>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émissions dépendante du niveau de production et de l'intensité d'émission. 95% d'intensité par rapport à 2019, 15% de rendements supplémentaires en 2050</t>
  </si>
  <si>
    <t>Hypothèses: 10% de gains énergétiques par rapport à 2019 en 2050</t>
  </si>
  <si>
    <t>Hypothèses: émissions dépendante du niveau de production et de l'intensité d'émission. 95% d'intensité par rapport à 2019 CH4, 62% N2O (engrais), 15% de rendements supplémentaires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</si>
  <si>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</si>
  <si>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</si>
  <si>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</si>
  <si>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</si>
  <si>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</si>
  <si>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</si>
  <si>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</si>
  <si>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 xml:space="preserve">  </t>
  </si>
  <si>
    <t>Hypothèses: Annulation des émissions UTCATF en 2050.</t>
  </si>
  <si>
    <t>Hypothèses: 50% d'équipements clim en 2050. Performance frigorifique 5 en 2050.</t>
  </si>
  <si>
    <t>Hypothèses: Besoin en 2050 déterminé par la hausse de la population. Mais hypothèses demande sur ECS (-20%), blanc (+20%), bruns (+10%). Efficacité en 2050 éclairage (-75%) ECS (-10%) Blanc (-60%) Bruns(-0,5%) Cuissons (-20%)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</si>
  <si>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</si>
  <si>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</si>
  <si>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</si>
  <si>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</si>
  <si>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</si>
  <si>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</si>
  <si>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r>
      <t>PIB (millions d</t>
    </r>
    <r>
      <rPr>
        <sz val="11"/>
        <color theme="1"/>
        <rFont val="Calibri"/>
        <family val="2"/>
      </rPr>
      <t>'euros base 2014)</t>
    </r>
  </si>
  <si>
    <t>PIB (millions d'euros base 2014)</t>
  </si>
  <si>
    <t>Résultats de modélisation sectoriels</t>
  </si>
  <si>
    <t>Données historiques</t>
  </si>
  <si>
    <t xml:space="preserve">Fioul lourd </t>
  </si>
  <si>
    <t>PV</t>
  </si>
  <si>
    <t>Bagasse</t>
  </si>
  <si>
    <t>Eolien, PV</t>
  </si>
  <si>
    <t>2. AME 2023 run 2</t>
  </si>
  <si>
    <t>3. AMS 2023 run 2</t>
  </si>
  <si>
    <t>Eolien &amp; PV</t>
  </si>
  <si>
    <t>2. AME 2023 run 1</t>
  </si>
  <si>
    <t>3. AMS 2023 run 1</t>
  </si>
  <si>
    <t xml:space="preserve">I. Mix électrique </t>
  </si>
  <si>
    <t>I. Modélisations passées</t>
  </si>
  <si>
    <t>Cadrage Macroéconomique</t>
  </si>
  <si>
    <t>Production d'énergie</t>
  </si>
  <si>
    <t>Hypothèses MDE</t>
  </si>
  <si>
    <t>% économie d'énergie</t>
  </si>
  <si>
    <t>% économie</t>
  </si>
  <si>
    <t>Isolation</t>
  </si>
  <si>
    <t>Climatisation</t>
  </si>
  <si>
    <t>Eclairage public</t>
  </si>
  <si>
    <t>Eclairage performant</t>
  </si>
  <si>
    <t>Autres</t>
  </si>
  <si>
    <t>Méthode MDE</t>
  </si>
  <si>
    <t>Economie d'energie / 2019 (GWh)</t>
  </si>
  <si>
    <t>Total (GWh)</t>
  </si>
  <si>
    <t>Hypothèses: Scénario Azur BP EDF 2022, décalé de 2 ans puis projeté sur 2045 - 2050. Les économies d'énergie sont projetées par rapport à 2019. La hausse des besoins est modélisée par les variations de ménages par rapport à 2019</t>
  </si>
  <si>
    <t>Hypothèses: Scénario Azur BP EDF 2022, décalé de 2 ans puis projeté sur 2045 - 2050. Les économies d'énergie sont projetées par rapport à 2019</t>
  </si>
  <si>
    <t>Codes couleurs</t>
  </si>
  <si>
    <t>Modélisations sectoriels</t>
  </si>
  <si>
    <t>Résumé des hypothèses prises (à faire)</t>
  </si>
  <si>
    <t>Modélisation statique sectorielle de la Réunion AME / AMS</t>
  </si>
  <si>
    <t>Le résultat de la modélisation est sous la forme d'un bilan d'énergie tous les 5 ans à horizon 2050.</t>
  </si>
  <si>
    <t>Les hypothèses se situent dans les feuilles de modélisation sectorielle, et sont résumées dans la feuille hypothèse.</t>
  </si>
  <si>
    <t>Demande électrique (GWh)</t>
  </si>
  <si>
    <t>Source rapport d'activité stenc + projections UN (https://population.un.org/dataportal/home)</t>
  </si>
  <si>
    <t>Source ISEE (16/03/2022), 2018,2019,2020 estimés</t>
  </si>
  <si>
    <t>NC</t>
  </si>
  <si>
    <t>Sources: ISEE et projections UN. Taux de change déterminé par la DGFIP (0,00838)</t>
  </si>
  <si>
    <t xml:space="preserve"> https://observatoire-energie.gouv.nc/public/documents/</t>
  </si>
  <si>
    <t>Bilan énergétique - 2020</t>
  </si>
  <si>
    <t>ktep</t>
  </si>
  <si>
    <t>Charbon Anthracite</t>
  </si>
  <si>
    <t>Produits pétroliers</t>
  </si>
  <si>
    <t>Gaz Naturel</t>
  </si>
  <si>
    <t>Eolien Photovoltaïque</t>
  </si>
  <si>
    <t>Production Primaire</t>
  </si>
  <si>
    <t>Importation</t>
  </si>
  <si>
    <t>Exportation</t>
  </si>
  <si>
    <t>Soutes maritimes et aériennes</t>
  </si>
  <si>
    <t>Variation de stocks</t>
  </si>
  <si>
    <t>Production électrique</t>
  </si>
  <si>
    <t>Ajustements</t>
  </si>
  <si>
    <t>Pertes</t>
  </si>
  <si>
    <t>Consommation énergétique</t>
  </si>
  <si>
    <t>Métallurgie</t>
  </si>
  <si>
    <t>Mines</t>
  </si>
  <si>
    <t>Autres industries</t>
  </si>
  <si>
    <t>Route</t>
  </si>
  <si>
    <t>Aérien</t>
  </si>
  <si>
    <t>Maritime</t>
  </si>
  <si>
    <t>Résidentiel &amp; Tertiaire</t>
  </si>
  <si>
    <t>Agriculture &amp; Pêche</t>
  </si>
  <si>
    <t>Usages non énergétiques</t>
  </si>
  <si>
    <t>Bilan énergétique - 2019</t>
  </si>
  <si>
    <t>Bilan énergétique - 2018</t>
  </si>
  <si>
    <t>Bilan énergétique - 2017</t>
  </si>
  <si>
    <t>Bilan énergétique - 2016</t>
  </si>
  <si>
    <t>Bilan énergétique - 2015</t>
  </si>
  <si>
    <t>Bilan énergétique - 2014</t>
  </si>
  <si>
    <t>Bilan énergétique - 2013</t>
  </si>
  <si>
    <t>Bilan énergétique - 2012</t>
  </si>
  <si>
    <t>Bilan énergétique - 2011</t>
  </si>
  <si>
    <t>Bilan énergétique - 2010</t>
  </si>
  <si>
    <t xml:space="preserve">Date d'export: 2022-12-01 </t>
  </si>
  <si>
    <t xml:space="preserve">Source : Direction de l'Industrie, des Mines et de l'Energie de la Nouvelle-Calédonie </t>
  </si>
  <si>
    <t>OBSERVATOIRE DES DECHETS DES ENTREPRISES NOUVELLE-CALEDONIE</t>
  </si>
  <si>
    <t>p/ménaes</t>
  </si>
  <si>
    <t>Taux d'équipement (au moins 1 veh)</t>
  </si>
  <si>
    <t>Répartition distribution publique / Métallurgie</t>
  </si>
  <si>
    <t>On observe une corrélation entre Production et consommation d'énergie</t>
  </si>
  <si>
    <t>Consommation d'énergie (MWh)</t>
  </si>
  <si>
    <t>Production de Nickel net(t)</t>
  </si>
  <si>
    <t>la Nouvelle Calédonie (France) (8,1 %)</t>
  </si>
  <si>
    <t>https://www.ifpenergiesnouvelles.fr/article/nickel-transition-energetique-pourquoi-parle-t-metal-du-diable</t>
  </si>
  <si>
    <t>Conso Nickel 2020</t>
  </si>
  <si>
    <t>Conso Nickel 2050</t>
  </si>
  <si>
    <t>Scénario 2°C BAU</t>
  </si>
  <si>
    <t>Demande 3x plus élevée ?</t>
  </si>
  <si>
    <t>On fait l'hypothèse d'une part constante dans les producteurs mondiaux.</t>
  </si>
  <si>
    <t>Distribution publique</t>
  </si>
  <si>
    <t>Demande électrique métallurgie(GWh)</t>
  </si>
  <si>
    <t>ISEE synthèse 2019</t>
  </si>
  <si>
    <t>Source ISEE atlas démographique 2009, 2014 et 2019</t>
  </si>
  <si>
    <t>AME2018</t>
  </si>
  <si>
    <t>4. AME 2018</t>
  </si>
  <si>
    <t>Conso électrique</t>
  </si>
  <si>
    <t>Quantité de déchets Entreprises (kt)</t>
  </si>
  <si>
    <t>Quantité de déchets Ménages (kt)</t>
  </si>
  <si>
    <t>SIGN (extrapolé à partir du Grand Nouméa). Ne prend pas en compte les décharges sauvages !</t>
  </si>
  <si>
    <t>Intensité émissions (indice 2019)</t>
  </si>
  <si>
    <t>Population (indice 2019)</t>
  </si>
  <si>
    <t>Intensité émissions (ktCO2eq / kt)</t>
  </si>
  <si>
    <t>Intensité émissions (ktCO2eq/kt)</t>
  </si>
  <si>
    <t xml:space="preserve">Hypothèses: valeur en 2050 obtenue par régression linéaire sur les données historiques 2010-2019 </t>
  </si>
  <si>
    <t>Bilans énergie</t>
  </si>
  <si>
    <t xml:space="preserve">Bilans énergie </t>
  </si>
  <si>
    <t>IEDOM. Indus = Nickel + autres</t>
  </si>
  <si>
    <t>Bilan SDES</t>
  </si>
  <si>
    <t>1. AME</t>
  </si>
  <si>
    <t>Consommation Maritime</t>
  </si>
  <si>
    <t>National</t>
  </si>
  <si>
    <t>Stabilité</t>
  </si>
  <si>
    <t>International</t>
  </si>
  <si>
    <t>Transport maritime national</t>
  </si>
  <si>
    <t>Evolution trafic fluvial</t>
  </si>
  <si>
    <t>Indice d'efficacité énergétique</t>
  </si>
  <si>
    <t>Essence maritime plaisance</t>
  </si>
  <si>
    <t>Electricité maritime plaisance</t>
  </si>
  <si>
    <t>Hypothèses: reprise métropole AME2023 run 2</t>
  </si>
  <si>
    <t>Consommation Maritime National (GWh)</t>
  </si>
  <si>
    <t>Tendance dépendante de la population</t>
  </si>
  <si>
    <t>dont essence (GWh)</t>
  </si>
  <si>
    <t>dont électrique (GWh)</t>
  </si>
  <si>
    <t>Hypothèse: croissance avec la population</t>
  </si>
  <si>
    <t>Soutes Internationales</t>
  </si>
  <si>
    <t>Croissance du trafic</t>
  </si>
  <si>
    <t>Indicateur d'efficacité énergétique</t>
  </si>
  <si>
    <t>Gaz naturel liquéfié</t>
  </si>
  <si>
    <t>dont GNL bio</t>
  </si>
  <si>
    <t>dont GNL fossile</t>
  </si>
  <si>
    <t>Fioul (ou autres carburants liquides yc biocarb)</t>
  </si>
  <si>
    <t>dont bio</t>
  </si>
  <si>
    <t>dont fossile</t>
  </si>
  <si>
    <t>Hypothèses: reprise des hypothèses métropoles AME 2023 run 2</t>
  </si>
  <si>
    <t>Consommation d'énergie dans les soutes maritimes avec ventilation selon le mix (Mtep)</t>
  </si>
  <si>
    <t xml:space="preserve">Soutes maritimes internationales   </t>
  </si>
  <si>
    <t>GNL bio</t>
  </si>
  <si>
    <t>GNL fossile</t>
  </si>
  <si>
    <t>Fioul fossile</t>
  </si>
  <si>
    <t xml:space="preserve">Hypothèses: </t>
  </si>
  <si>
    <t>Consommations historiques</t>
  </si>
  <si>
    <t>2018</t>
  </si>
  <si>
    <t>2019</t>
  </si>
  <si>
    <t>2020</t>
  </si>
  <si>
    <t>2021</t>
  </si>
  <si>
    <t>Internationaux (tonnes)</t>
  </si>
  <si>
    <t>Internationaux (GWh)</t>
  </si>
  <si>
    <t>Données CITEPA converties en GWH avec PCI 44GJ/t (carburéacteur)</t>
  </si>
  <si>
    <t>Métropole-OM &amp; intra OM</t>
  </si>
  <si>
    <t>Evolution trafic</t>
  </si>
  <si>
    <t>Consos unitaires</t>
  </si>
  <si>
    <t>Trafics Dom-Com</t>
  </si>
  <si>
    <t>Trafic / 2019</t>
  </si>
  <si>
    <t>Hypothèses trafics DOM-COM reprises AME2023 run 2</t>
  </si>
  <si>
    <t>Internationaux</t>
  </si>
  <si>
    <t>Trafics internationaux</t>
  </si>
  <si>
    <t>On considère qu'il n'y a pas d'introduction de biocarburants (négligeable)</t>
  </si>
  <si>
    <t>Intra-NC (tonnes)</t>
  </si>
  <si>
    <t>Intra-NC (GWh)</t>
  </si>
  <si>
    <t>Intra-NC</t>
  </si>
  <si>
    <t>EnR élec</t>
  </si>
  <si>
    <t>Biocard</t>
  </si>
  <si>
    <t>Gaz r</t>
  </si>
  <si>
    <t>Rendements métropolitains</t>
  </si>
  <si>
    <t>PPI</t>
  </si>
  <si>
    <t>Hydro</t>
  </si>
  <si>
    <t>Puissance installée MW</t>
  </si>
  <si>
    <t>PV + eolien</t>
  </si>
  <si>
    <t>Approximativement un rapport de 1 entre GWh et MWc en 2019 pour éolien + solaire</t>
  </si>
  <si>
    <t>Facteurs GWH/MW</t>
  </si>
  <si>
    <t>Eolien + Pv</t>
  </si>
  <si>
    <t>Hydrau</t>
  </si>
  <si>
    <t>Source calcul à partir de DIMENC</t>
  </si>
  <si>
    <t>Part VA Nickel</t>
  </si>
  <si>
    <t>VA Nickel (millions d'€)</t>
  </si>
  <si>
    <t>Dont métallurgie (GWh)</t>
  </si>
  <si>
    <t>Dont autres (GWh)</t>
  </si>
  <si>
    <t>Calcul</t>
  </si>
  <si>
    <t>Données ISEE + calcul 2019</t>
  </si>
  <si>
    <t>VA Nickel</t>
  </si>
  <si>
    <t>Électrification des besoins fossiles (Indus)</t>
  </si>
  <si>
    <t xml:space="preserve"> VERIFIER CETTE HYPOTHESE</t>
  </si>
  <si>
    <t>Bilan énergétique. Avant 2019 et en 2020, résidentiel et tertiaire groupés</t>
  </si>
  <si>
    <t>Production EnR / Distrib publique</t>
  </si>
  <si>
    <t>Hypothèses: On se base sur les puissances maximum autorisées par la PPI 2016-2030. On fait l'hypothèse d'un rattrapage de l'écart entre puissance installée et puissance max, en considérant une politique d'installation maximale.On considère ensuite les capacités de production constantes jusqu'en 2050. On prend les facteurs de conversion GWh MW moyens sur 2015 - 2019</t>
  </si>
  <si>
    <t>Hypothèse STENC</t>
  </si>
  <si>
    <t>Hypothèse IFP avec part de production constante</t>
  </si>
  <si>
    <t>Conso Charbon non énergétique (GWh)</t>
  </si>
  <si>
    <t>Conso charbon non énergétique</t>
  </si>
  <si>
    <t>Conso non énergétique</t>
  </si>
  <si>
    <t>Somme</t>
  </si>
  <si>
    <t>Dont métallurgie et mines (GWh)</t>
  </si>
  <si>
    <t>Calibrée sur la hausse de la demande en Nickel sans économies d'énergies</t>
  </si>
  <si>
    <t>Facteurs d'émissions</t>
  </si>
  <si>
    <t>Fioul</t>
  </si>
  <si>
    <t>Enr</t>
  </si>
  <si>
    <t>Sources: Projections UN. Cohérentes avec les projections démographiques de l'ISEE pour 2030. Hypothèse PIB, TCAM 2%/an pour cohérence avec DIMENC</t>
  </si>
  <si>
    <t>Metallurgie</t>
  </si>
  <si>
    <t>conso elec en 2030 avec *1,8 production</t>
  </si>
  <si>
    <t>On calibre pour avoir le niveau prédit par la production de nickel en 2030</t>
  </si>
  <si>
    <t>Croissance avec PIB (production élevée du Nickel)</t>
  </si>
  <si>
    <t>Demande charbon éner industrie</t>
  </si>
  <si>
    <t>Part VA Autres Indus</t>
  </si>
  <si>
    <t>Demande PP  éner industrie (GWh)</t>
  </si>
  <si>
    <t>Données STENC</t>
  </si>
  <si>
    <t>Hypothèses: Hypothèses STENC Besoin en 2050 déterminé par la hausse de la population. Mais hypothèses demande sur ECS (-20%), blanc (+20%), bruns (+10%). Efficacité en 2050 pour l'éclairage 60% par rapport à 2019.</t>
  </si>
  <si>
    <t>Hypothèses: STENC. Besoin en 2050 déterminé par la hausse du PIB. Besoin calibré sur scénario STENC.</t>
  </si>
  <si>
    <t>En 2030 18500 véhicules 100% électriques puis hausse linéaire</t>
  </si>
  <si>
    <t>charbon</t>
  </si>
  <si>
    <t>RTE</t>
  </si>
  <si>
    <t>gaz</t>
  </si>
  <si>
    <t>,</t>
  </si>
  <si>
    <t>EnR</t>
  </si>
  <si>
    <t>Emissions</t>
  </si>
  <si>
    <t>Calculs PPI</t>
  </si>
  <si>
    <t>Hypothèses: évolution du kilométrage moyen par voiture de +10% (hypothèse métropole. Trajectoires de déploiement flotte électrique basée sur l'objectif STENC en 2030 puis constant jusqu'en 2050</t>
  </si>
  <si>
    <t>Hypothèses: Stabilité de la part VA Indus + BTP dans le PIB.90% d'EE indus en 2050. Demande de nickel 1,8* plus élevée en 2030 (sTENC). On calibre alors en 2030 les paramètres pour atteindre environ 3920 Gwhde conso elec mines + metallurgie. Puis constant jusqu'à 2050 pour être cohérent avec le scénario tendanciel STENC.On considère le mix énergétique inchangé.</t>
  </si>
  <si>
    <t>Hypothèses: Taux d'équipement en clim 83% (Polynésie) en 2050 avec amélioration COP + cohérence avec STENC en 2030</t>
  </si>
  <si>
    <t>HFC</t>
  </si>
  <si>
    <t>Hydrofluorocarbures</t>
  </si>
  <si>
    <r>
      <t>Emissions dans l'air - Source Citepa édition 2021</t>
    </r>
    <r>
      <rPr>
        <sz val="10"/>
        <rFont val="Trebuchet MS"/>
        <family val="2"/>
      </rPr>
      <t xml:space="preserve"> - inventaire national d'émissions de gaz à effet de serre et de polluants atmosphériques en Outre-mer - citepa.org</t>
    </r>
  </si>
  <si>
    <r>
      <t>Emissions de HFC (tCO</t>
    </r>
    <r>
      <rPr>
        <b/>
        <i/>
        <vertAlign val="subscript"/>
        <sz val="9"/>
        <rFont val="Trebuchet MS"/>
        <family val="2"/>
      </rPr>
      <t>2</t>
    </r>
    <r>
      <rPr>
        <b/>
        <i/>
        <sz val="9"/>
        <rFont val="Trebuchet MS"/>
        <family val="2"/>
      </rPr>
      <t>e/an)
Périmètre : Nouvelle-Calédonie</t>
    </r>
  </si>
  <si>
    <t>Evolution des émissions dans l'air de HFC depuis 1990 en Nouvelle-Calédonie</t>
  </si>
  <si>
    <t>Répartition</t>
  </si>
  <si>
    <t>Mix / biomasse</t>
  </si>
  <si>
    <t>En l'absence de disponibilité historique, on considère le mix de la réunion</t>
  </si>
  <si>
    <t>Mise en place du solaire thermique</t>
  </si>
  <si>
    <t>Hypothèses: Mix PPI en 2025 et 2030. On considère l'arret des groupes charbon en 2040 et fioul en 2045?</t>
  </si>
  <si>
    <t>Taux elec</t>
  </si>
  <si>
    <t>Taux EnRt</t>
  </si>
  <si>
    <t>Mix Enr 2030</t>
  </si>
  <si>
    <t>Hypothèses: Chiffres calibrés pour avoir Taux de penetratoin EnR 50% dans le mix métallurgie</t>
  </si>
  <si>
    <t>Hypothèses: STENC, baisse de la consommation d'énergie de residentiel + tertiaire de 30%</t>
  </si>
  <si>
    <t>Hypothèses: STENC, baisse des consos unitaires de 15% d'ici à 2030</t>
  </si>
  <si>
    <t>2. AMS</t>
  </si>
  <si>
    <t>Consommation d'énergie dans les soutes maritimes avec ventilation selon le mix (GWh)</t>
  </si>
  <si>
    <t>Dont biocarburants</t>
  </si>
  <si>
    <t>Dont Ptl</t>
  </si>
  <si>
    <t>Dont kérosène</t>
  </si>
  <si>
    <t>Biocarburants (kt)</t>
  </si>
  <si>
    <t>PtL (kt)</t>
  </si>
  <si>
    <t>H2 (kt)</t>
  </si>
  <si>
    <t>kérosène fossile (kt)</t>
  </si>
  <si>
    <t>Consommation totale (kt)</t>
  </si>
  <si>
    <t>International France</t>
  </si>
  <si>
    <t>somme(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</si>
</sst>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 numFmtId="178" formatCode="_-* #,##0_-;\-* #,##0_-;_-* &quot;-&quot;??_-;_-@_-"/>
    <numFmt numFmtId="179" formatCode="#,##0&quot;  &quot;;#,##0&quot;  &quot;.&quot;  &quot;"/>
    <numFmt numFmtId="180" formatCode="&quot; &quot;#,##0.0&quot; &quot;;&quot;-&quot;#,##0.0&quot; &quot;;&quot; -&quot;00&quot; &quot;;&quot; &quot;@&quot; &quot;"/>
    <numFmt numFmtId="181" formatCode="_-* #,##0\ _€_-;\-* #,##0\ _€_-;_-* &quot;-&quot;???\ _€_-;_-@_-"/>
    <numFmt numFmtId="182" formatCode="0.000\ %"/>
  </numFmts>
  <fonts count="12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b/>
      <sz val="14"/>
      <color rgb="FF000000"/>
      <name val="Calibri"/>
      <family val="2"/>
    </font>
    <font>
      <sz val="11"/>
      <color rgb="FFFFC000"/>
      <name val="Calibri"/>
      <family val="2"/>
      <charset val="1"/>
    </font>
    <font>
      <sz val="8"/>
      <name val="Trebuchet MS"/>
      <family val="2"/>
    </font>
    <font>
      <sz val="9"/>
      <color theme="1"/>
      <name val="Trebuchet MS"/>
      <family val="2"/>
    </font>
    <font>
      <i/>
      <sz val="8"/>
      <name val="Trebuchet MS"/>
      <family val="2"/>
    </font>
    <font>
      <i/>
      <sz val="9"/>
      <color theme="1"/>
      <name val="Trebuchet MS"/>
      <family val="2"/>
    </font>
    <font>
      <b/>
      <sz val="8"/>
      <name val="Trebuchet MS"/>
      <family val="2"/>
    </font>
    <font>
      <b/>
      <sz val="9"/>
      <color theme="1"/>
      <name val="Trebuchet MS"/>
      <family val="2"/>
    </font>
    <font>
      <b/>
      <sz val="12"/>
      <color rgb="FFF47528"/>
      <name val="Calibri"/>
      <family val="2"/>
    </font>
    <font>
      <b/>
      <sz val="10"/>
      <color rgb="FF04B2B0"/>
      <name val="Calibri"/>
      <family val="2"/>
    </font>
    <font>
      <b/>
      <sz val="10"/>
      <color rgb="FF000000"/>
      <name val="Calibri"/>
      <family val="2"/>
    </font>
    <font>
      <b/>
      <i/>
      <sz val="10"/>
      <color rgb="FF000000"/>
      <name val="Calibri"/>
      <family val="2"/>
    </font>
    <font>
      <i/>
      <sz val="10"/>
      <color rgb="FF000000"/>
      <name val="Calibri"/>
      <family val="2"/>
    </font>
    <font>
      <sz val="11"/>
      <color rgb="FF000000"/>
      <name val="Arial"/>
      <family val="2"/>
    </font>
    <font>
      <i/>
      <sz val="11"/>
      <color rgb="FFFF0000"/>
      <name val="Calibri"/>
      <family val="2"/>
      <charset val="1"/>
    </font>
    <font>
      <sz val="11"/>
      <color theme="1" tint="0.499984740745262"/>
      <name val="Calibri"/>
      <family val="2"/>
      <charset val="1"/>
    </font>
    <font>
      <b/>
      <i/>
      <sz val="16"/>
      <color rgb="FF000000"/>
      <name val="Calibri"/>
      <family val="2"/>
    </font>
    <font>
      <sz val="11"/>
      <color rgb="FF000000"/>
      <name val="Calibri1"/>
    </font>
    <font>
      <b/>
      <sz val="11"/>
      <color rgb="FFFFFFFF"/>
      <name val="Calibri"/>
      <family val="2"/>
      <scheme val="minor"/>
    </font>
    <font>
      <sz val="11"/>
      <color rgb="FF000000"/>
      <name val="Calibri"/>
      <family val="2"/>
      <scheme val="minor"/>
    </font>
    <font>
      <sz val="10"/>
      <name val="Times New Roman"/>
      <family val="1"/>
    </font>
    <font>
      <i/>
      <sz val="11"/>
      <color rgb="FF000000"/>
      <name val="Calibri"/>
      <family val="2"/>
      <scheme val="minor"/>
    </font>
    <font>
      <b/>
      <sz val="11"/>
      <color rgb="FF000000"/>
      <name val="Calibri"/>
      <family val="2"/>
      <scheme val="minor"/>
    </font>
    <font>
      <b/>
      <sz val="11"/>
      <name val="Calibri"/>
      <family val="2"/>
      <scheme val="minor"/>
    </font>
    <font>
      <sz val="11"/>
      <name val="Calibri"/>
      <family val="2"/>
    </font>
    <font>
      <i/>
      <sz val="8"/>
      <color rgb="FFFF0000"/>
      <name val="Calibri"/>
      <family val="2"/>
    </font>
    <font>
      <sz val="14"/>
      <name val="Trebuchet MS"/>
      <family val="2"/>
    </font>
    <font>
      <b/>
      <sz val="20"/>
      <name val="Trebuchet MS"/>
      <family val="2"/>
    </font>
    <font>
      <b/>
      <sz val="14"/>
      <name val="Trebuchet MS"/>
      <family val="2"/>
    </font>
    <font>
      <sz val="14"/>
      <color theme="1"/>
      <name val="Trebuchet MS"/>
      <family val="2"/>
    </font>
    <font>
      <sz val="11"/>
      <color theme="1"/>
      <name val="Trebuchet MS"/>
      <family val="2"/>
    </font>
    <font>
      <b/>
      <sz val="10"/>
      <name val="Trebuchet MS"/>
      <family val="2"/>
    </font>
    <font>
      <sz val="10"/>
      <name val="Trebuchet MS"/>
      <family val="2"/>
    </font>
    <font>
      <i/>
      <sz val="10"/>
      <name val="Trebuchet MS"/>
      <family val="2"/>
    </font>
    <font>
      <b/>
      <sz val="16"/>
      <name val="Trebuchet MS"/>
      <family val="2"/>
    </font>
    <font>
      <sz val="14"/>
      <color theme="0"/>
      <name val="Trebuchet MS"/>
      <family val="2"/>
    </font>
    <font>
      <b/>
      <sz val="14"/>
      <color theme="0"/>
      <name val="Trebuchet MS"/>
      <family val="2"/>
    </font>
    <font>
      <b/>
      <i/>
      <sz val="9"/>
      <name val="Trebuchet MS"/>
      <family val="2"/>
    </font>
    <font>
      <b/>
      <i/>
      <vertAlign val="subscript"/>
      <sz val="9"/>
      <name val="Trebuchet MS"/>
      <family val="2"/>
    </font>
    <font>
      <b/>
      <sz val="9"/>
      <name val="Trebuchet MS"/>
      <family val="2"/>
    </font>
    <font>
      <b/>
      <sz val="8"/>
      <color theme="1"/>
      <name val="Trebuchet MS"/>
      <family val="2"/>
    </font>
    <font>
      <sz val="8"/>
      <color theme="1"/>
      <name val="Trebuchet MS"/>
      <family val="2"/>
    </font>
    <font>
      <sz val="8"/>
      <color theme="0"/>
      <name val="Trebuchet MS"/>
      <family val="2"/>
    </font>
    <font>
      <i/>
      <sz val="8"/>
      <color theme="1"/>
      <name val="Trebuchet MS"/>
      <family val="2"/>
    </font>
    <font>
      <b/>
      <i/>
      <sz val="8"/>
      <name val="Trebuchet MS"/>
      <family val="2"/>
    </font>
    <font>
      <b/>
      <sz val="8"/>
      <color theme="0"/>
      <name val="Trebuchet MS"/>
      <family val="2"/>
    </font>
    <font>
      <b/>
      <sz val="10"/>
      <color rgb="FF233F85"/>
      <name val="Trebuchet MS"/>
      <family val="2"/>
    </font>
    <font>
      <sz val="10"/>
      <color theme="0" tint="-0.499984740745262"/>
      <name val="Trebuchet MS"/>
      <family val="2"/>
    </font>
  </fonts>
  <fills count="90">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DEAF7"/>
        <bgColor rgb="FFDBE4F3"/>
      </patternFill>
    </fill>
    <fill>
      <patternFill patternType="solid">
        <fgColor rgb="FFD6E3B4"/>
        <bgColor rgb="FFD9D9DB"/>
      </patternFill>
    </fill>
    <fill>
      <patternFill patternType="solid">
        <fgColor rgb="FFA1B86B"/>
        <bgColor rgb="FFA7A6A8"/>
      </patternFill>
    </fill>
    <fill>
      <patternFill patternType="solid">
        <fgColor rgb="FF393396"/>
        <bgColor rgb="FF333399"/>
      </patternFill>
    </fill>
    <fill>
      <patternFill patternType="solid">
        <fgColor rgb="FFD9D9DB"/>
        <bgColor rgb="FFD8D7D7"/>
      </patternFill>
    </fill>
    <fill>
      <patternFill patternType="solid">
        <fgColor rgb="FFF2F2F2"/>
        <bgColor rgb="FFE7E6E6"/>
      </patternFill>
    </fill>
    <fill>
      <patternFill patternType="solid">
        <fgColor rgb="FF000000"/>
        <bgColor rgb="FF333333"/>
      </patternFill>
    </fill>
    <fill>
      <patternFill patternType="solid">
        <fgColor rgb="FF2A9A65"/>
        <bgColor rgb="FF309B80"/>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D6E3B4"/>
        <bgColor rgb="FFD8D7D7"/>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theme="0"/>
        <bgColor rgb="FFFFC000"/>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rgb="FFF5F5F5"/>
        <bgColor rgb="FF000000"/>
      </patternFill>
    </fill>
    <fill>
      <patternFill patternType="solid">
        <fgColor rgb="FF00758F"/>
        <bgColor rgb="FF00758F"/>
      </patternFill>
    </fill>
    <fill>
      <patternFill patternType="solid">
        <fgColor theme="0"/>
        <bgColor indexed="28"/>
      </patternFill>
    </fill>
    <fill>
      <patternFill patternType="solid">
        <fgColor theme="5" tint="0.79998168889431442"/>
        <bgColor indexed="64"/>
      </patternFill>
    </fill>
    <fill>
      <patternFill patternType="solid">
        <fgColor rgb="FFFFFF99"/>
        <bgColor rgb="FFFFFF99"/>
      </patternFill>
    </fill>
    <fill>
      <patternFill patternType="solid">
        <fgColor theme="1" tint="0.499984740745262"/>
        <bgColor indexed="64"/>
      </patternFill>
    </fill>
    <fill>
      <patternFill patternType="solid">
        <fgColor rgb="FFFFFF00"/>
        <bgColor indexed="64"/>
      </patternFill>
    </fill>
    <fill>
      <patternFill patternType="solid">
        <fgColor rgb="FFBDC921"/>
        <bgColor indexed="64"/>
      </patternFill>
    </fill>
    <fill>
      <patternFill patternType="solid">
        <fgColor theme="4" tint="-0.499984740745262"/>
        <bgColor indexed="64"/>
      </patternFill>
    </fill>
    <fill>
      <patternFill patternType="solid">
        <fgColor rgb="FFDDEBF7"/>
        <bgColor indexed="64"/>
      </patternFill>
    </fill>
    <fill>
      <patternFill patternType="solid">
        <fgColor rgb="FFB3A2C7"/>
        <bgColor indexed="64"/>
      </patternFill>
    </fill>
    <fill>
      <patternFill patternType="solid">
        <fgColor rgb="FFE0E5B3"/>
        <bgColor indexed="64"/>
      </patternFill>
    </fill>
    <fill>
      <patternFill patternType="solid">
        <fgColor rgb="FF92D050"/>
        <bgColor indexed="64"/>
      </patternFill>
    </fill>
    <fill>
      <patternFill patternType="solid">
        <fgColor rgb="FF7030A0"/>
        <bgColor indexed="64"/>
      </patternFill>
    </fill>
    <fill>
      <patternFill patternType="solid">
        <fgColor theme="1"/>
        <bgColor indexed="64"/>
      </patternFill>
    </fill>
    <fill>
      <patternFill patternType="solid">
        <fgColor rgb="FF00B050"/>
        <bgColor indexed="64"/>
      </patternFill>
    </fill>
    <fill>
      <patternFill patternType="solid">
        <fgColor theme="0"/>
        <bgColor rgb="FFCCCCFF"/>
      </patternFill>
    </fill>
    <fill>
      <patternFill patternType="solid">
        <fgColor theme="4" tint="0.79998168889431442"/>
        <bgColor indexed="64"/>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indexed="64"/>
      </left>
      <right/>
      <top/>
      <bottom/>
      <diagonal/>
    </border>
  </borders>
  <cellStyleXfs count="7795">
    <xf numFmtId="0" fontId="0" fillId="0" borderId="0"/>
    <xf numFmtId="167" fontId="48" fillId="0" borderId="0" applyBorder="0" applyProtection="0"/>
    <xf numFmtId="168" fontId="48" fillId="0" borderId="0" applyBorder="0" applyProtection="0"/>
    <xf numFmtId="0" fontId="9" fillId="0" borderId="0" applyBorder="0" applyProtection="0"/>
    <xf numFmtId="164" fontId="48" fillId="0" borderId="0" applyBorder="0" applyProtection="0"/>
    <xf numFmtId="164" fontId="48" fillId="0" borderId="0" applyBorder="0" applyProtection="0"/>
    <xf numFmtId="0" fontId="48" fillId="2" borderId="0" applyBorder="0" applyProtection="0"/>
    <xf numFmtId="0" fontId="4" fillId="3" borderId="0" applyBorder="0" applyProtection="0"/>
    <xf numFmtId="0" fontId="48" fillId="4" borderId="0" applyBorder="0" applyProtection="0"/>
    <xf numFmtId="0" fontId="48" fillId="4" borderId="0" applyBorder="0" applyProtection="0"/>
    <xf numFmtId="0" fontId="4" fillId="3" borderId="0" applyBorder="0" applyProtection="0"/>
    <xf numFmtId="0" fontId="48" fillId="4" borderId="0" applyBorder="0" applyProtection="0"/>
    <xf numFmtId="0" fontId="4" fillId="3" borderId="0" applyBorder="0" applyProtection="0"/>
    <xf numFmtId="0" fontId="48" fillId="2" borderId="0" applyBorder="0" applyProtection="0"/>
    <xf numFmtId="0" fontId="4" fillId="3" borderId="0" applyBorder="0" applyProtection="0"/>
    <xf numFmtId="0" fontId="4" fillId="3" borderId="0" applyBorder="0" applyProtection="0"/>
    <xf numFmtId="0" fontId="48" fillId="4" borderId="0" applyBorder="0" applyProtection="0"/>
    <xf numFmtId="0" fontId="48" fillId="4" borderId="0" applyBorder="0" applyProtection="0"/>
    <xf numFmtId="0" fontId="4" fillId="3" borderId="0" applyBorder="0" applyProtection="0"/>
    <xf numFmtId="0" fontId="48" fillId="2" borderId="0" applyBorder="0" applyProtection="0"/>
    <xf numFmtId="0" fontId="4" fillId="3" borderId="0" applyBorder="0" applyProtection="0"/>
    <xf numFmtId="0" fontId="4"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 fillId="3" borderId="0" applyBorder="0" applyProtection="0"/>
    <xf numFmtId="0" fontId="48" fillId="2"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 fillId="3" borderId="0" applyBorder="0" applyProtection="0"/>
    <xf numFmtId="0" fontId="48" fillId="2"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 fillId="3" borderId="0" applyBorder="0" applyProtection="0"/>
    <xf numFmtId="0" fontId="48" fillId="2" borderId="0" applyBorder="0" applyProtection="0"/>
    <xf numFmtId="0" fontId="48" fillId="2" borderId="0" applyBorder="0" applyProtection="0"/>
    <xf numFmtId="0" fontId="4" fillId="3" borderId="0" applyBorder="0" applyProtection="0"/>
    <xf numFmtId="0" fontId="4" fillId="3" borderId="0" applyBorder="0" applyProtection="0"/>
    <xf numFmtId="0" fontId="48" fillId="4" borderId="0" applyBorder="0" applyProtection="0"/>
    <xf numFmtId="0" fontId="48" fillId="2" borderId="0" applyBorder="0" applyProtection="0"/>
    <xf numFmtId="0" fontId="4" fillId="3" borderId="0" applyBorder="0" applyProtection="0"/>
    <xf numFmtId="0" fontId="4" fillId="3"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8" fillId="5" borderId="0" applyBorder="0" applyProtection="0"/>
    <xf numFmtId="0" fontId="4" fillId="3" borderId="0" applyBorder="0" applyProtection="0"/>
    <xf numFmtId="0" fontId="48" fillId="6"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6" borderId="0" applyBorder="0" applyProtection="0"/>
    <xf numFmtId="0" fontId="48" fillId="6"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8" fillId="5" borderId="0" applyBorder="0" applyProtection="0"/>
    <xf numFmtId="0" fontId="4" fillId="3" borderId="0" applyBorder="0" applyProtection="0"/>
    <xf numFmtId="0" fontId="4" fillId="3" borderId="0" applyBorder="0" applyProtection="0"/>
    <xf numFmtId="0" fontId="48" fillId="6"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7" borderId="0" applyBorder="0" applyProtection="0"/>
    <xf numFmtId="0" fontId="4" fillId="3" borderId="0" applyBorder="0" applyProtection="0"/>
    <xf numFmtId="0" fontId="48" fillId="8" borderId="0" applyBorder="0" applyProtection="0"/>
    <xf numFmtId="0" fontId="48" fillId="8" borderId="0" applyBorder="0" applyProtection="0"/>
    <xf numFmtId="0" fontId="4" fillId="3" borderId="0" applyBorder="0" applyProtection="0"/>
    <xf numFmtId="0" fontId="48" fillId="8"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8" borderId="0" applyBorder="0" applyProtection="0"/>
    <xf numFmtId="0" fontId="48" fillId="8"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7" borderId="0" applyBorder="0" applyProtection="0"/>
    <xf numFmtId="0" fontId="4" fillId="3" borderId="0" applyBorder="0" applyProtection="0"/>
    <xf numFmtId="0" fontId="48" fillId="7" borderId="0" applyBorder="0" applyProtection="0"/>
    <xf numFmtId="0" fontId="48" fillId="9" borderId="0" applyBorder="0" applyProtection="0"/>
    <xf numFmtId="0" fontId="4" fillId="3"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7" borderId="0" applyBorder="0" applyProtection="0"/>
    <xf numFmtId="0" fontId="4" fillId="3" borderId="0" applyBorder="0" applyProtection="0"/>
    <xf numFmtId="0" fontId="4" fillId="3" borderId="0" applyBorder="0" applyProtection="0"/>
    <xf numFmtId="0" fontId="48" fillId="8"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10" borderId="0" applyBorder="0" applyProtection="0"/>
    <xf numFmtId="0" fontId="4" fillId="3" borderId="0" applyBorder="0" applyProtection="0"/>
    <xf numFmtId="0" fontId="48" fillId="11" borderId="0" applyBorder="0" applyProtection="0"/>
    <xf numFmtId="0" fontId="48" fillId="11" borderId="0" applyBorder="0" applyProtection="0"/>
    <xf numFmtId="0" fontId="4" fillId="3" borderId="0" applyBorder="0" applyProtection="0"/>
    <xf numFmtId="0" fontId="48" fillId="11" borderId="0" applyBorder="0" applyProtection="0"/>
    <xf numFmtId="0" fontId="4" fillId="3" borderId="0" applyBorder="0" applyProtection="0"/>
    <xf numFmtId="0" fontId="48" fillId="10" borderId="0" applyBorder="0" applyProtection="0"/>
    <xf numFmtId="0" fontId="4" fillId="3" borderId="0" applyBorder="0" applyProtection="0"/>
    <xf numFmtId="0" fontId="4" fillId="3" borderId="0" applyBorder="0" applyProtection="0"/>
    <xf numFmtId="0" fontId="48" fillId="11" borderId="0" applyBorder="0" applyProtection="0"/>
    <xf numFmtId="0" fontId="48" fillId="11" borderId="0" applyBorder="0" applyProtection="0"/>
    <xf numFmtId="0" fontId="4" fillId="3" borderId="0" applyBorder="0" applyProtection="0"/>
    <xf numFmtId="0" fontId="48" fillId="10" borderId="0" applyBorder="0" applyProtection="0"/>
    <xf numFmtId="0" fontId="4" fillId="3" borderId="0" applyBorder="0" applyProtection="0"/>
    <xf numFmtId="0" fontId="4"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 fillId="3" borderId="0" applyBorder="0" applyProtection="0"/>
    <xf numFmtId="0" fontId="48" fillId="10"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 fillId="3" borderId="0" applyBorder="0" applyProtection="0"/>
    <xf numFmtId="0" fontId="48" fillId="10"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 fillId="3" borderId="0" applyBorder="0" applyProtection="0"/>
    <xf numFmtId="0" fontId="48" fillId="10" borderId="0" applyBorder="0" applyProtection="0"/>
    <xf numFmtId="0" fontId="48" fillId="10" borderId="0" applyBorder="0" applyProtection="0"/>
    <xf numFmtId="0" fontId="4" fillId="3" borderId="0" applyBorder="0" applyProtection="0"/>
    <xf numFmtId="0" fontId="4" fillId="3" borderId="0" applyBorder="0" applyProtection="0"/>
    <xf numFmtId="0" fontId="48" fillId="11" borderId="0" applyBorder="0" applyProtection="0"/>
    <xf numFmtId="0" fontId="48" fillId="10" borderId="0" applyBorder="0" applyProtection="0"/>
    <xf numFmtId="0" fontId="4" fillId="3" borderId="0" applyBorder="0" applyProtection="0"/>
    <xf numFmtId="0" fontId="4" fillId="3"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 fillId="3" borderId="0" applyBorder="0" applyProtection="0"/>
    <xf numFmtId="0" fontId="48" fillId="13" borderId="0" applyBorder="0" applyProtection="0"/>
    <xf numFmtId="0" fontId="48" fillId="14" borderId="0" applyBorder="0" applyProtection="0"/>
    <xf numFmtId="0" fontId="48" fillId="14"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7" borderId="0" applyBorder="0" applyProtection="0"/>
    <xf numFmtId="0" fontId="4" fillId="3" borderId="0" applyBorder="0" applyProtection="0"/>
    <xf numFmtId="0" fontId="48" fillId="10" borderId="0" applyBorder="0" applyProtection="0"/>
    <xf numFmtId="0" fontId="48" fillId="10" borderId="0" applyBorder="0" applyProtection="0"/>
    <xf numFmtId="0" fontId="4" fillId="3" borderId="0" applyBorder="0" applyProtection="0"/>
    <xf numFmtId="0" fontId="48" fillId="10"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10" borderId="0" applyBorder="0" applyProtection="0"/>
    <xf numFmtId="0" fontId="48" fillId="10"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7" borderId="0" applyBorder="0" applyProtection="0"/>
    <xf numFmtId="0" fontId="4" fillId="3" borderId="0" applyBorder="0" applyProtection="0"/>
    <xf numFmtId="0" fontId="48" fillId="7" borderId="0" applyBorder="0" applyProtection="0"/>
    <xf numFmtId="0" fontId="48" fillId="9" borderId="0" applyBorder="0" applyProtection="0"/>
    <xf numFmtId="0" fontId="4" fillId="3"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8" fillId="7" borderId="0" applyBorder="0" applyProtection="0"/>
    <xf numFmtId="0" fontId="4" fillId="3" borderId="0" applyBorder="0" applyProtection="0"/>
    <xf numFmtId="0" fontId="4" fillId="3" borderId="0" applyBorder="0" applyProtection="0"/>
    <xf numFmtId="0" fontId="48" fillId="10" borderId="0" applyBorder="0" applyProtection="0"/>
    <xf numFmtId="0" fontId="48" fillId="7" borderId="0" applyBorder="0" applyProtection="0"/>
    <xf numFmtId="0" fontId="4" fillId="3"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7" borderId="0" applyBorder="0" applyProtection="0"/>
    <xf numFmtId="0" fontId="4" fillId="3" borderId="0" applyBorder="0" applyProtection="0"/>
    <xf numFmtId="0" fontId="48" fillId="0" borderId="0" applyBorder="0" applyProtection="0">
      <alignment horizontal="left" vertical="center" indent="4"/>
    </xf>
    <xf numFmtId="0" fontId="48" fillId="0" borderId="0" applyBorder="0" applyProtection="0">
      <alignment horizontal="left" vertical="center" indent="3"/>
    </xf>
    <xf numFmtId="0" fontId="48" fillId="12" borderId="0" applyBorder="0" applyProtection="0"/>
    <xf numFmtId="0" fontId="4" fillId="3" borderId="0" applyBorder="0" applyProtection="0"/>
    <xf numFmtId="0" fontId="48" fillId="2"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2" borderId="0" applyBorder="0" applyProtection="0"/>
    <xf numFmtId="0" fontId="48" fillId="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 fillId="3" borderId="0" applyBorder="0" applyProtection="0"/>
    <xf numFmtId="0" fontId="48" fillId="15"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 fillId="3" borderId="0" applyBorder="0" applyProtection="0"/>
    <xf numFmtId="0" fontId="48" fillId="16" borderId="0" applyBorder="0" applyProtection="0"/>
    <xf numFmtId="0" fontId="48" fillId="16" borderId="0" applyBorder="0" applyProtection="0"/>
    <xf numFmtId="0" fontId="48" fillId="16" borderId="0" applyBorder="0" applyProtection="0"/>
    <xf numFmtId="0" fontId="48" fillId="5"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8" fillId="5" borderId="0" applyBorder="0" applyProtection="0"/>
    <xf numFmtId="0" fontId="4" fillId="3"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5" borderId="0" applyBorder="0" applyProtection="0"/>
    <xf numFmtId="0" fontId="4" fillId="3" borderId="0" applyBorder="0" applyProtection="0"/>
    <xf numFmtId="0" fontId="48" fillId="9" borderId="0" applyBorder="0" applyProtection="0"/>
    <xf numFmtId="0" fontId="4" fillId="3" borderId="0" applyBorder="0" applyProtection="0"/>
    <xf numFmtId="0" fontId="48" fillId="17" borderId="0" applyBorder="0" applyProtection="0"/>
    <xf numFmtId="0" fontId="48" fillId="17" borderId="0" applyBorder="0" applyProtection="0"/>
    <xf numFmtId="0" fontId="4" fillId="3" borderId="0" applyBorder="0" applyProtection="0"/>
    <xf numFmtId="0" fontId="48" fillId="17"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17" borderId="0" applyBorder="0" applyProtection="0"/>
    <xf numFmtId="0" fontId="48" fillId="17"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9" borderId="0" applyBorder="0" applyProtection="0"/>
    <xf numFmtId="0" fontId="4" fillId="3" borderId="0" applyBorder="0" applyProtection="0"/>
    <xf numFmtId="0" fontId="48" fillId="9" borderId="0" applyBorder="0" applyProtection="0"/>
    <xf numFmtId="0" fontId="48" fillId="7" borderId="0" applyBorder="0" applyProtection="0"/>
    <xf numFmtId="0" fontId="4" fillId="3"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9" borderId="0" applyBorder="0" applyProtection="0"/>
    <xf numFmtId="0" fontId="4" fillId="3" borderId="0" applyBorder="0" applyProtection="0"/>
    <xf numFmtId="0" fontId="4" fillId="3" borderId="0" applyBorder="0" applyProtection="0"/>
    <xf numFmtId="0" fontId="48" fillId="7"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6" borderId="0" applyBorder="0" applyProtection="0"/>
    <xf numFmtId="0" fontId="4" fillId="3" borderId="0" applyBorder="0" applyProtection="0"/>
    <xf numFmtId="0" fontId="48" fillId="11" borderId="0" applyBorder="0" applyProtection="0"/>
    <xf numFmtId="0" fontId="48" fillId="11" borderId="0" applyBorder="0" applyProtection="0"/>
    <xf numFmtId="0" fontId="4" fillId="3" borderId="0" applyBorder="0" applyProtection="0"/>
    <xf numFmtId="0" fontId="48" fillId="11" borderId="0" applyBorder="0" applyProtection="0"/>
    <xf numFmtId="0" fontId="4" fillId="3" borderId="0" applyBorder="0" applyProtection="0"/>
    <xf numFmtId="0" fontId="48" fillId="6" borderId="0" applyBorder="0" applyProtection="0"/>
    <xf numFmtId="0" fontId="4" fillId="3" borderId="0" applyBorder="0" applyProtection="0"/>
    <xf numFmtId="0" fontId="4" fillId="3" borderId="0" applyBorder="0" applyProtection="0"/>
    <xf numFmtId="0" fontId="48" fillId="11" borderId="0" applyBorder="0" applyProtection="0"/>
    <xf numFmtId="0" fontId="48" fillId="11" borderId="0" applyBorder="0" applyProtection="0"/>
    <xf numFmtId="0" fontId="4" fillId="3" borderId="0" applyBorder="0" applyProtection="0"/>
    <xf numFmtId="0" fontId="48" fillId="6" borderId="0" applyBorder="0" applyProtection="0"/>
    <xf numFmtId="0" fontId="4" fillId="3" borderId="0" applyBorder="0" applyProtection="0"/>
    <xf numFmtId="0" fontId="4"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 fillId="3" borderId="0" applyBorder="0" applyProtection="0"/>
    <xf numFmtId="0" fontId="48" fillId="6"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 fillId="3" borderId="0" applyBorder="0" applyProtection="0"/>
    <xf numFmtId="0" fontId="48" fillId="6"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 fillId="3" borderId="0" applyBorder="0" applyProtection="0"/>
    <xf numFmtId="0" fontId="48" fillId="6" borderId="0" applyBorder="0" applyProtection="0"/>
    <xf numFmtId="0" fontId="48" fillId="6" borderId="0" applyBorder="0" applyProtection="0"/>
    <xf numFmtId="0" fontId="4" fillId="3" borderId="0" applyBorder="0" applyProtection="0"/>
    <xf numFmtId="0" fontId="4" fillId="3" borderId="0" applyBorder="0" applyProtection="0"/>
    <xf numFmtId="0" fontId="48" fillId="15" borderId="0" applyBorder="0" applyProtection="0"/>
    <xf numFmtId="0" fontId="48" fillId="6" borderId="0" applyBorder="0" applyProtection="0"/>
    <xf numFmtId="0" fontId="4" fillId="3" borderId="0" applyBorder="0" applyProtection="0"/>
    <xf numFmtId="0" fontId="4" fillId="3"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8" fillId="6" borderId="0" applyBorder="0" applyProtection="0"/>
    <xf numFmtId="0" fontId="4" fillId="3" borderId="0" applyBorder="0" applyProtection="0"/>
    <xf numFmtId="0" fontId="48" fillId="12" borderId="0" applyBorder="0" applyProtection="0"/>
    <xf numFmtId="0" fontId="4" fillId="3" borderId="0" applyBorder="0" applyProtection="0"/>
    <xf numFmtId="0" fontId="48" fillId="2" borderId="0" applyBorder="0" applyProtection="0"/>
    <xf numFmtId="0" fontId="48" fillId="2" borderId="0" applyBorder="0" applyProtection="0"/>
    <xf numFmtId="0" fontId="4" fillId="3" borderId="0" applyBorder="0" applyProtection="0"/>
    <xf numFmtId="0" fontId="48" fillId="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2" borderId="0" applyBorder="0" applyProtection="0"/>
    <xf numFmtId="0" fontId="48" fillId="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8" fillId="12" borderId="0" applyBorder="0" applyProtection="0"/>
    <xf numFmtId="0" fontId="4" fillId="3" borderId="0" applyBorder="0" applyProtection="0"/>
    <xf numFmtId="0" fontId="4" fillId="3" borderId="0" applyBorder="0" applyProtection="0"/>
    <xf numFmtId="0" fontId="48" fillId="2" borderId="0" applyBorder="0" applyProtection="0"/>
    <xf numFmtId="0" fontId="48" fillId="12" borderId="0" applyBorder="0" applyProtection="0"/>
    <xf numFmtId="0" fontId="4" fillId="3"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12" borderId="0" applyBorder="0" applyProtection="0"/>
    <xf numFmtId="0" fontId="4" fillId="3" borderId="0" applyBorder="0" applyProtection="0"/>
    <xf numFmtId="0" fontId="48" fillId="9" borderId="0" applyBorder="0" applyProtection="0"/>
    <xf numFmtId="0" fontId="4" fillId="3" borderId="0" applyBorder="0" applyProtection="0"/>
    <xf numFmtId="0" fontId="48" fillId="18" borderId="0" applyBorder="0" applyProtection="0"/>
    <xf numFmtId="0" fontId="48" fillId="18" borderId="0" applyBorder="0" applyProtection="0"/>
    <xf numFmtId="0" fontId="4" fillId="3" borderId="0" applyBorder="0" applyProtection="0"/>
    <xf numFmtId="0" fontId="48" fillId="18"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18" borderId="0" applyBorder="0" applyProtection="0"/>
    <xf numFmtId="0" fontId="48" fillId="18"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8" fillId="9" borderId="0" applyBorder="0" applyProtection="0"/>
    <xf numFmtId="0" fontId="4" fillId="3" borderId="0" applyBorder="0" applyProtection="0"/>
    <xf numFmtId="0" fontId="4" fillId="3" borderId="0" applyBorder="0" applyProtection="0"/>
    <xf numFmtId="0" fontId="48" fillId="7" borderId="0" applyBorder="0" applyProtection="0"/>
    <xf numFmtId="0" fontId="48" fillId="9" borderId="0" applyBorder="0" applyProtection="0"/>
    <xf numFmtId="0" fontId="4" fillId="3"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9" borderId="0" applyBorder="0" applyProtection="0"/>
    <xf numFmtId="0" fontId="4" fillId="3" borderId="0" applyBorder="0" applyProtection="0"/>
    <xf numFmtId="0" fontId="48" fillId="0" borderId="0" applyBorder="0" applyProtection="0">
      <alignment horizontal="left" vertical="center" indent="9"/>
    </xf>
    <xf numFmtId="0" fontId="48" fillId="0" borderId="0" applyBorder="0" applyProtection="0">
      <alignment horizontal="left" vertical="center" indent="7"/>
    </xf>
    <xf numFmtId="0" fontId="5" fillId="12" borderId="0" applyBorder="0" applyProtection="0"/>
    <xf numFmtId="0" fontId="4" fillId="3" borderId="0" applyBorder="0" applyProtection="0"/>
    <xf numFmtId="0" fontId="5" fillId="19" borderId="0" applyBorder="0" applyProtection="0"/>
    <xf numFmtId="0" fontId="5" fillId="19" borderId="0" applyBorder="0" applyProtection="0"/>
    <xf numFmtId="0" fontId="4" fillId="3" borderId="0" applyBorder="0" applyProtection="0"/>
    <xf numFmtId="0" fontId="5" fillId="19"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9" borderId="0" applyBorder="0" applyProtection="0"/>
    <xf numFmtId="0" fontId="5" fillId="19"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3" borderId="0" applyBorder="0" applyProtection="0"/>
    <xf numFmtId="0" fontId="5" fillId="12" borderId="0" applyBorder="0" applyProtection="0"/>
    <xf numFmtId="0" fontId="5" fillId="3" borderId="0" applyBorder="0" applyProtection="0"/>
    <xf numFmtId="0" fontId="5" fillId="12" borderId="0" applyBorder="0" applyProtection="0"/>
    <xf numFmtId="0" fontId="5" fillId="3" borderId="0" applyBorder="0" applyProtection="0"/>
    <xf numFmtId="0" fontId="5" fillId="12"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12" borderId="0" applyBorder="0" applyProtection="0"/>
    <xf numFmtId="0" fontId="4" fillId="3" borderId="0" applyBorder="0" applyProtection="0"/>
    <xf numFmtId="0" fontId="4" fillId="3" borderId="0" applyBorder="0" applyProtection="0"/>
    <xf numFmtId="0" fontId="5" fillId="20"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21" borderId="0" applyBorder="0" applyProtection="0"/>
    <xf numFmtId="0" fontId="4" fillId="3" borderId="0" applyBorder="0" applyProtection="0"/>
    <xf numFmtId="0" fontId="5" fillId="5"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5" borderId="0" applyBorder="0" applyProtection="0"/>
    <xf numFmtId="0" fontId="5" fillId="5"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5" fillId="3" borderId="0" applyBorder="0" applyProtection="0"/>
    <xf numFmtId="0" fontId="5" fillId="21" borderId="0" applyBorder="0" applyProtection="0"/>
    <xf numFmtId="0" fontId="5" fillId="3" borderId="0" applyBorder="0" applyProtection="0"/>
    <xf numFmtId="0" fontId="5" fillId="21" borderId="0" applyBorder="0" applyProtection="0"/>
    <xf numFmtId="0" fontId="5" fillId="3" borderId="0" applyBorder="0" applyProtection="0"/>
    <xf numFmtId="0" fontId="5" fillId="21"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5" fillId="21" borderId="0" applyBorder="0" applyProtection="0"/>
    <xf numFmtId="0" fontId="4" fillId="3" borderId="0" applyBorder="0" applyProtection="0"/>
    <xf numFmtId="0" fontId="4" fillId="3" borderId="0" applyBorder="0" applyProtection="0"/>
    <xf numFmtId="0" fontId="5" fillId="5"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18" borderId="0" applyBorder="0" applyProtection="0"/>
    <xf numFmtId="0" fontId="4" fillId="3" borderId="0" applyBorder="0" applyProtection="0"/>
    <xf numFmtId="0" fontId="5" fillId="17" borderId="0" applyBorder="0" applyProtection="0"/>
    <xf numFmtId="0" fontId="5" fillId="17" borderId="0" applyBorder="0" applyProtection="0"/>
    <xf numFmtId="0" fontId="4" fillId="3" borderId="0" applyBorder="0" applyProtection="0"/>
    <xf numFmtId="0" fontId="5" fillId="17"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7" borderId="0" applyBorder="0" applyProtection="0"/>
    <xf numFmtId="0" fontId="5" fillId="17"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5" fillId="3" borderId="0" applyBorder="0" applyProtection="0"/>
    <xf numFmtId="0" fontId="5" fillId="18" borderId="0" applyBorder="0" applyProtection="0"/>
    <xf numFmtId="0" fontId="5" fillId="3" borderId="0" applyBorder="0" applyProtection="0"/>
    <xf numFmtId="0" fontId="5" fillId="18" borderId="0" applyBorder="0" applyProtection="0"/>
    <xf numFmtId="0" fontId="5" fillId="3" borderId="0" applyBorder="0" applyProtection="0"/>
    <xf numFmtId="0" fontId="5" fillId="18"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5" fillId="18" borderId="0" applyBorder="0" applyProtection="0"/>
    <xf numFmtId="0" fontId="4" fillId="3" borderId="0" applyBorder="0" applyProtection="0"/>
    <xf numFmtId="0" fontId="4" fillId="3" borderId="0" applyBorder="0" applyProtection="0"/>
    <xf numFmtId="0" fontId="5" fillId="7"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6" borderId="0" applyBorder="0" applyProtection="0"/>
    <xf numFmtId="0" fontId="4" fillId="3" borderId="0" applyBorder="0" applyProtection="0"/>
    <xf numFmtId="0" fontId="5" fillId="22" borderId="0" applyBorder="0" applyProtection="0"/>
    <xf numFmtId="0" fontId="5" fillId="22" borderId="0" applyBorder="0" applyProtection="0"/>
    <xf numFmtId="0" fontId="4" fillId="3" borderId="0" applyBorder="0" applyProtection="0"/>
    <xf numFmtId="0" fontId="5" fillId="22" borderId="0" applyBorder="0" applyProtection="0"/>
    <xf numFmtId="0" fontId="4" fillId="3" borderId="0" applyBorder="0" applyProtection="0"/>
    <xf numFmtId="0" fontId="5" fillId="6" borderId="0" applyBorder="0" applyProtection="0"/>
    <xf numFmtId="0" fontId="4" fillId="3" borderId="0" applyBorder="0" applyProtection="0"/>
    <xf numFmtId="0" fontId="4" fillId="3" borderId="0" applyBorder="0" applyProtection="0"/>
    <xf numFmtId="0" fontId="5" fillId="22" borderId="0" applyBorder="0" applyProtection="0"/>
    <xf numFmtId="0" fontId="5" fillId="22" borderId="0" applyBorder="0" applyProtection="0"/>
    <xf numFmtId="0" fontId="4" fillId="3" borderId="0" applyBorder="0" applyProtection="0"/>
    <xf numFmtId="0" fontId="5" fillId="6" borderId="0" applyBorder="0" applyProtection="0"/>
    <xf numFmtId="0" fontId="4" fillId="3" borderId="0" applyBorder="0" applyProtection="0"/>
    <xf numFmtId="0" fontId="4" fillId="3" borderId="0" applyBorder="0" applyProtection="0"/>
    <xf numFmtId="0" fontId="5" fillId="6" borderId="0" applyBorder="0" applyProtection="0"/>
    <xf numFmtId="0" fontId="5" fillId="3" borderId="0" applyBorder="0" applyProtection="0"/>
    <xf numFmtId="0" fontId="5" fillId="6" borderId="0" applyBorder="0" applyProtection="0"/>
    <xf numFmtId="0" fontId="5" fillId="3" borderId="0" applyBorder="0" applyProtection="0"/>
    <xf numFmtId="0" fontId="5" fillId="6" borderId="0" applyBorder="0" applyProtection="0"/>
    <xf numFmtId="0" fontId="5" fillId="3" borderId="0" applyBorder="0" applyProtection="0"/>
    <xf numFmtId="0" fontId="5" fillId="6"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4" fillId="3" borderId="0" applyBorder="0" applyProtection="0"/>
    <xf numFmtId="0" fontId="5" fillId="6"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4" fillId="3" borderId="0" applyBorder="0" applyProtection="0"/>
    <xf numFmtId="0" fontId="5" fillId="6"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4" fillId="3" borderId="0" applyBorder="0" applyProtection="0"/>
    <xf numFmtId="0" fontId="5" fillId="6" borderId="0" applyBorder="0" applyProtection="0"/>
    <xf numFmtId="0" fontId="5" fillId="6" borderId="0" applyBorder="0" applyProtection="0"/>
    <xf numFmtId="0" fontId="4" fillId="3" borderId="0" applyBorder="0" applyProtection="0"/>
    <xf numFmtId="0" fontId="4" fillId="3" borderId="0" applyBorder="0" applyProtection="0"/>
    <xf numFmtId="0" fontId="5" fillId="15" borderId="0" applyBorder="0" applyProtection="0"/>
    <xf numFmtId="0" fontId="5" fillId="6" borderId="0" applyBorder="0" applyProtection="0"/>
    <xf numFmtId="0" fontId="4" fillId="3" borderId="0" applyBorder="0" applyProtection="0"/>
    <xf numFmtId="0" fontId="4" fillId="3"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5" fillId="6" borderId="0" applyBorder="0" applyProtection="0"/>
    <xf numFmtId="0" fontId="4" fillId="3" borderId="0" applyBorder="0" applyProtection="0"/>
    <xf numFmtId="0" fontId="5" fillId="12" borderId="0" applyBorder="0" applyProtection="0"/>
    <xf numFmtId="0" fontId="4" fillId="3" borderId="0" applyBorder="0" applyProtection="0"/>
    <xf numFmtId="0" fontId="5" fillId="20"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20" borderId="0" applyBorder="0" applyProtection="0"/>
    <xf numFmtId="0" fontId="5" fillId="20"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3" borderId="0" applyBorder="0" applyProtection="0"/>
    <xf numFmtId="0" fontId="5" fillId="12" borderId="0" applyBorder="0" applyProtection="0"/>
    <xf numFmtId="0" fontId="5" fillId="3" borderId="0" applyBorder="0" applyProtection="0"/>
    <xf numFmtId="0" fontId="5" fillId="12" borderId="0" applyBorder="0" applyProtection="0"/>
    <xf numFmtId="0" fontId="5" fillId="3" borderId="0" applyBorder="0" applyProtection="0"/>
    <xf numFmtId="0" fontId="5" fillId="12"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5" fillId="12" borderId="0" applyBorder="0" applyProtection="0"/>
    <xf numFmtId="0" fontId="4" fillId="3" borderId="0" applyBorder="0" applyProtection="0"/>
    <xf numFmtId="0" fontId="4" fillId="3" borderId="0" applyBorder="0" applyProtection="0"/>
    <xf numFmtId="0" fontId="5" fillId="20" borderId="0" applyBorder="0" applyProtection="0"/>
    <xf numFmtId="0" fontId="5" fillId="12" borderId="0" applyBorder="0" applyProtection="0"/>
    <xf numFmtId="0" fontId="4" fillId="3"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12" borderId="0" applyBorder="0" applyProtection="0"/>
    <xf numFmtId="0" fontId="4" fillId="3" borderId="0" applyBorder="0" applyProtection="0"/>
    <xf numFmtId="0" fontId="5" fillId="5" borderId="0" applyBorder="0" applyProtection="0"/>
    <xf numFmtId="0" fontId="4" fillId="3" borderId="0" applyBorder="0" applyProtection="0"/>
    <xf numFmtId="0" fontId="5" fillId="23" borderId="0" applyBorder="0" applyProtection="0"/>
    <xf numFmtId="0" fontId="5" fillId="23" borderId="0" applyBorder="0" applyProtection="0"/>
    <xf numFmtId="0" fontId="4" fillId="3" borderId="0" applyBorder="0" applyProtection="0"/>
    <xf numFmtId="0" fontId="5" fillId="23" borderId="0" applyBorder="0" applyProtection="0"/>
    <xf numFmtId="0" fontId="4" fillId="3" borderId="0" applyBorder="0" applyProtection="0"/>
    <xf numFmtId="0" fontId="5" fillId="5" borderId="0" applyBorder="0" applyProtection="0"/>
    <xf numFmtId="0" fontId="4" fillId="3" borderId="0" applyBorder="0" applyProtection="0"/>
    <xf numFmtId="0" fontId="4" fillId="3" borderId="0" applyBorder="0" applyProtection="0"/>
    <xf numFmtId="0" fontId="5" fillId="23" borderId="0" applyBorder="0" applyProtection="0"/>
    <xf numFmtId="0" fontId="5" fillId="23" borderId="0" applyBorder="0" applyProtection="0"/>
    <xf numFmtId="0" fontId="4" fillId="3" borderId="0" applyBorder="0" applyProtection="0"/>
    <xf numFmtId="0" fontId="5" fillId="5" borderId="0" applyBorder="0" applyProtection="0"/>
    <xf numFmtId="0" fontId="4" fillId="3" borderId="0" applyBorder="0" applyProtection="0"/>
    <xf numFmtId="0" fontId="4" fillId="3" borderId="0" applyBorder="0" applyProtection="0"/>
    <xf numFmtId="0" fontId="5" fillId="5" borderId="0" applyBorder="0" applyProtection="0"/>
    <xf numFmtId="0" fontId="5" fillId="3" borderId="0" applyBorder="0" applyProtection="0"/>
    <xf numFmtId="0" fontId="5" fillId="5" borderId="0" applyBorder="0" applyProtection="0"/>
    <xf numFmtId="0" fontId="5" fillId="3" borderId="0" applyBorder="0" applyProtection="0"/>
    <xf numFmtId="0" fontId="5" fillId="5" borderId="0" applyBorder="0" applyProtection="0"/>
    <xf numFmtId="0" fontId="5" fillId="3" borderId="0" applyBorder="0" applyProtection="0"/>
    <xf numFmtId="0" fontId="5" fillId="5"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4" fillId="3" borderId="0" applyBorder="0" applyProtection="0"/>
    <xf numFmtId="0" fontId="5" fillId="5"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4" fillId="3" borderId="0" applyBorder="0" applyProtection="0"/>
    <xf numFmtId="0" fontId="5" fillId="5"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4" fillId="3" borderId="0" applyBorder="0" applyProtection="0"/>
    <xf numFmtId="0" fontId="5" fillId="5" borderId="0" applyBorder="0" applyProtection="0"/>
    <xf numFmtId="0" fontId="5" fillId="5" borderId="0" applyBorder="0" applyProtection="0"/>
    <xf numFmtId="0" fontId="4" fillId="3" borderId="0" applyBorder="0" applyProtection="0"/>
    <xf numFmtId="0" fontId="4" fillId="3"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5" fillId="5" borderId="0" applyBorder="0" applyProtection="0"/>
    <xf numFmtId="0" fontId="4" fillId="3" borderId="0" applyBorder="0" applyProtection="0"/>
    <xf numFmtId="0" fontId="6" fillId="0" borderId="0"/>
    <xf numFmtId="0" fontId="6" fillId="0" borderId="0"/>
    <xf numFmtId="165" fontId="6" fillId="4" borderId="0"/>
    <xf numFmtId="165" fontId="6" fillId="3" borderId="0"/>
    <xf numFmtId="0" fontId="48" fillId="4" borderId="0" applyBorder="0" applyProtection="0"/>
    <xf numFmtId="0" fontId="4" fillId="3" borderId="0" applyBorder="0" applyProtection="0"/>
    <xf numFmtId="0" fontId="48" fillId="4" borderId="0" applyBorder="0" applyProtection="0"/>
    <xf numFmtId="0" fontId="4" fillId="3" borderId="0" applyBorder="0" applyProtection="0"/>
    <xf numFmtId="0" fontId="5" fillId="2" borderId="0" applyBorder="0" applyProtection="0"/>
    <xf numFmtId="0" fontId="4" fillId="3" borderId="0" applyBorder="0" applyProtection="0"/>
    <xf numFmtId="0" fontId="5" fillId="24" borderId="0" applyBorder="0" applyProtection="0"/>
    <xf numFmtId="0" fontId="4" fillId="24" borderId="0" applyBorder="0" applyProtection="0"/>
    <xf numFmtId="0" fontId="5" fillId="24" borderId="0" applyBorder="0" applyProtection="0"/>
    <xf numFmtId="0" fontId="5" fillId="25" borderId="0" applyBorder="0" applyProtection="0"/>
    <xf numFmtId="0" fontId="4" fillId="26" borderId="0" applyBorder="0" applyProtection="0"/>
    <xf numFmtId="0" fontId="5" fillId="25" borderId="0" applyBorder="0" applyProtection="0"/>
    <xf numFmtId="0" fontId="4" fillId="26" borderId="0" applyBorder="0" applyProtection="0"/>
    <xf numFmtId="0" fontId="5" fillId="24" borderId="0" applyBorder="0" applyProtection="0"/>
    <xf numFmtId="0" fontId="4" fillId="24" borderId="0" applyBorder="0" applyProtection="0"/>
    <xf numFmtId="0" fontId="5" fillId="25" borderId="0" applyBorder="0" applyProtection="0"/>
    <xf numFmtId="0" fontId="4" fillId="26" borderId="0" applyBorder="0" applyProtection="0"/>
    <xf numFmtId="0" fontId="4" fillId="24" borderId="0" applyBorder="0" applyProtection="0"/>
    <xf numFmtId="0" fontId="5" fillId="24" borderId="0" applyBorder="0" applyProtection="0"/>
    <xf numFmtId="0" fontId="5" fillId="25" borderId="0" applyBorder="0" applyProtection="0"/>
    <xf numFmtId="0" fontId="4" fillId="26" borderId="0" applyBorder="0" applyProtection="0"/>
    <xf numFmtId="0" fontId="5" fillId="24" borderId="0" applyBorder="0" applyProtection="0"/>
    <xf numFmtId="0" fontId="4" fillId="24" borderId="0" applyBorder="0" applyProtection="0"/>
    <xf numFmtId="0" fontId="5" fillId="25" borderId="0" applyBorder="0" applyProtection="0"/>
    <xf numFmtId="0" fontId="4" fillId="26" borderId="0" applyBorder="0" applyProtection="0"/>
    <xf numFmtId="0" fontId="4" fillId="24" borderId="0" applyBorder="0" applyProtection="0"/>
    <xf numFmtId="0" fontId="5" fillId="24" borderId="0" applyBorder="0" applyProtection="0"/>
    <xf numFmtId="0" fontId="5" fillId="24" borderId="0" applyBorder="0" applyProtection="0"/>
    <xf numFmtId="0" fontId="5" fillId="24" borderId="0" applyBorder="0" applyProtection="0"/>
    <xf numFmtId="0" fontId="4" fillId="24" borderId="0" applyBorder="0" applyProtection="0"/>
    <xf numFmtId="0" fontId="5" fillId="24" borderId="0" applyBorder="0" applyProtection="0"/>
    <xf numFmtId="0" fontId="5" fillId="24" borderId="0" applyBorder="0" applyProtection="0"/>
    <xf numFmtId="0" fontId="5" fillId="24" borderId="0" applyBorder="0" applyProtection="0"/>
    <xf numFmtId="0" fontId="5"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4" fillId="24" borderId="0" applyBorder="0" applyProtection="0"/>
    <xf numFmtId="0" fontId="5"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5" fillId="24" borderId="0" applyBorder="0" applyProtection="0"/>
    <xf numFmtId="0" fontId="4" fillId="24" borderId="0" applyBorder="0" applyProtection="0"/>
    <xf numFmtId="0" fontId="4" fillId="24" borderId="0" applyBorder="0" applyProtection="0"/>
    <xf numFmtId="0" fontId="5" fillId="24" borderId="0" applyBorder="0" applyProtection="0"/>
    <xf numFmtId="0" fontId="5" fillId="24" borderId="0" applyBorder="0" applyProtection="0"/>
    <xf numFmtId="0" fontId="4" fillId="24" borderId="0" applyBorder="0" applyProtection="0"/>
    <xf numFmtId="0" fontId="4" fillId="24" borderId="0" applyBorder="0" applyProtection="0"/>
    <xf numFmtId="0" fontId="5" fillId="20" borderId="0" applyBorder="0" applyProtection="0"/>
    <xf numFmtId="0" fontId="5" fillId="24" borderId="0" applyBorder="0" applyProtection="0"/>
    <xf numFmtId="0" fontId="4" fillId="24" borderId="0" applyBorder="0" applyProtection="0"/>
    <xf numFmtId="0" fontId="4" fillId="3" borderId="0" applyBorder="0" applyProtection="0"/>
    <xf numFmtId="0" fontId="5" fillId="20" borderId="0" applyBorder="0" applyProtection="0"/>
    <xf numFmtId="0" fontId="5" fillId="24" borderId="0" applyBorder="0" applyProtection="0"/>
    <xf numFmtId="0" fontId="4" fillId="24" borderId="0" applyBorder="0" applyProtection="0"/>
    <xf numFmtId="0" fontId="4" fillId="3" borderId="0" applyBorder="0" applyProtection="0"/>
    <xf numFmtId="0" fontId="5" fillId="20" borderId="0" applyBorder="0" applyProtection="0"/>
    <xf numFmtId="0" fontId="5" fillId="24" borderId="0" applyBorder="0" applyProtection="0"/>
    <xf numFmtId="0" fontId="4" fillId="24" borderId="0" applyBorder="0" applyProtection="0"/>
    <xf numFmtId="0" fontId="4" fillId="3" borderId="0" applyBorder="0" applyProtection="0"/>
    <xf numFmtId="0" fontId="5" fillId="24" borderId="0" applyBorder="0" applyProtection="0"/>
    <xf numFmtId="0" fontId="4" fillId="24" borderId="0" applyBorder="0" applyProtection="0"/>
    <xf numFmtId="0" fontId="48" fillId="9" borderId="0" applyBorder="0" applyProtection="0"/>
    <xf numFmtId="0" fontId="4" fillId="3" borderId="0" applyBorder="0" applyProtection="0"/>
    <xf numFmtId="0" fontId="48" fillId="15" borderId="0" applyBorder="0" applyProtection="0"/>
    <xf numFmtId="0" fontId="4" fillId="3" borderId="0" applyBorder="0" applyProtection="0"/>
    <xf numFmtId="0" fontId="5" fillId="27"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5" fillId="28" borderId="0" applyBorder="0" applyProtection="0"/>
    <xf numFmtId="0" fontId="4" fillId="3" borderId="0" applyBorder="0" applyProtection="0"/>
    <xf numFmtId="0" fontId="5" fillId="28" borderId="0" applyBorder="0" applyProtection="0"/>
    <xf numFmtId="0" fontId="4" fillId="3" borderId="0" applyBorder="0" applyProtection="0"/>
    <xf numFmtId="0" fontId="5" fillId="21" borderId="0" applyBorder="0" applyProtection="0"/>
    <xf numFmtId="0" fontId="4" fillId="3" borderId="0" applyBorder="0" applyProtection="0"/>
    <xf numFmtId="0" fontId="5" fillId="28" borderId="0" applyBorder="0" applyProtection="0"/>
    <xf numFmtId="0" fontId="4" fillId="3" borderId="0" applyBorder="0" applyProtection="0"/>
    <xf numFmtId="0" fontId="4" fillId="3" borderId="0" applyBorder="0" applyProtection="0"/>
    <xf numFmtId="0" fontId="5" fillId="21" borderId="0" applyBorder="0" applyProtection="0"/>
    <xf numFmtId="0" fontId="5" fillId="28" borderId="0" applyBorder="0" applyProtection="0"/>
    <xf numFmtId="0" fontId="4" fillId="3" borderId="0" applyBorder="0" applyProtection="0"/>
    <xf numFmtId="0" fontId="5" fillId="21" borderId="0" applyBorder="0" applyProtection="0"/>
    <xf numFmtId="0" fontId="4" fillId="3" borderId="0" applyBorder="0" applyProtection="0"/>
    <xf numFmtId="0" fontId="5" fillId="28" borderId="0" applyBorder="0" applyProtection="0"/>
    <xf numFmtId="0" fontId="4" fillId="3" borderId="0" applyBorder="0" applyProtection="0"/>
    <xf numFmtId="0" fontId="4" fillId="3" borderId="0" applyBorder="0" applyProtection="0"/>
    <xf numFmtId="0" fontId="5" fillId="21" borderId="0" applyBorder="0" applyProtection="0"/>
    <xf numFmtId="0" fontId="5" fillId="21" borderId="0" applyBorder="0" applyProtection="0"/>
    <xf numFmtId="0" fontId="5" fillId="3" borderId="0" applyBorder="0" applyProtection="0"/>
    <xf numFmtId="0" fontId="4" fillId="3" borderId="0" applyBorder="0" applyProtection="0"/>
    <xf numFmtId="0" fontId="5" fillId="21" borderId="0" applyBorder="0" applyProtection="0"/>
    <xf numFmtId="0" fontId="5" fillId="3" borderId="0" applyBorder="0" applyProtection="0"/>
    <xf numFmtId="0" fontId="5" fillId="21" borderId="0" applyBorder="0" applyProtection="0"/>
    <xf numFmtId="0" fontId="5"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5" fillId="21" borderId="0" applyBorder="0" applyProtection="0"/>
    <xf numFmtId="0" fontId="4" fillId="3" borderId="0" applyBorder="0" applyProtection="0"/>
    <xf numFmtId="0" fontId="4" fillId="3" borderId="0" applyBorder="0" applyProtection="0"/>
    <xf numFmtId="0" fontId="5" fillId="28" borderId="0" applyBorder="0" applyProtection="0"/>
    <xf numFmtId="0" fontId="5" fillId="21" borderId="0" applyBorder="0" applyProtection="0"/>
    <xf numFmtId="0" fontId="4" fillId="3" borderId="0" applyBorder="0" applyProtection="0"/>
    <xf numFmtId="0" fontId="4" fillId="3" borderId="0" applyBorder="0" applyProtection="0"/>
    <xf numFmtId="0" fontId="5" fillId="28" borderId="0" applyBorder="0" applyProtection="0"/>
    <xf numFmtId="0" fontId="5" fillId="21" borderId="0" applyBorder="0" applyProtection="0"/>
    <xf numFmtId="0" fontId="4" fillId="3" borderId="0" applyBorder="0" applyProtection="0"/>
    <xf numFmtId="0" fontId="4" fillId="3" borderId="0" applyBorder="0" applyProtection="0"/>
    <xf numFmtId="0" fontId="5" fillId="28" borderId="0" applyBorder="0" applyProtection="0"/>
    <xf numFmtId="0" fontId="5" fillId="21" borderId="0" applyBorder="0" applyProtection="0"/>
    <xf numFmtId="0" fontId="4" fillId="3" borderId="0" applyBorder="0" applyProtection="0"/>
    <xf numFmtId="0" fontId="4" fillId="3" borderId="0" applyBorder="0" applyProtection="0"/>
    <xf numFmtId="0" fontId="5" fillId="21" borderId="0" applyBorder="0" applyProtection="0"/>
    <xf numFmtId="0" fontId="4" fillId="3" borderId="0" applyBorder="0" applyProtection="0"/>
    <xf numFmtId="0" fontId="48" fillId="9" borderId="0" applyBorder="0" applyProtection="0"/>
    <xf numFmtId="0" fontId="4" fillId="3" borderId="0" applyBorder="0" applyProtection="0"/>
    <xf numFmtId="0" fontId="48" fillId="8" borderId="0" applyBorder="0" applyProtection="0"/>
    <xf numFmtId="0" fontId="4" fillId="3" borderId="0" applyBorder="0" applyProtection="0"/>
    <xf numFmtId="0" fontId="5" fillId="15"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5" fillId="29" borderId="0" applyBorder="0" applyProtection="0"/>
    <xf numFmtId="0" fontId="4" fillId="30" borderId="0" applyBorder="0" applyProtection="0"/>
    <xf numFmtId="0" fontId="5" fillId="29" borderId="0" applyBorder="0" applyProtection="0"/>
    <xf numFmtId="0" fontId="4" fillId="30" borderId="0" applyBorder="0" applyProtection="0"/>
    <xf numFmtId="0" fontId="5" fillId="18" borderId="0" applyBorder="0" applyProtection="0"/>
    <xf numFmtId="0" fontId="4" fillId="3" borderId="0" applyBorder="0" applyProtection="0"/>
    <xf numFmtId="0" fontId="5" fillId="29" borderId="0" applyBorder="0" applyProtection="0"/>
    <xf numFmtId="0" fontId="4" fillId="30" borderId="0" applyBorder="0" applyProtection="0"/>
    <xf numFmtId="0" fontId="4" fillId="3" borderId="0" applyBorder="0" applyProtection="0"/>
    <xf numFmtId="0" fontId="5" fillId="18" borderId="0" applyBorder="0" applyProtection="0"/>
    <xf numFmtId="0" fontId="5" fillId="29" borderId="0" applyBorder="0" applyProtection="0"/>
    <xf numFmtId="0" fontId="4" fillId="30" borderId="0" applyBorder="0" applyProtection="0"/>
    <xf numFmtId="0" fontId="5" fillId="18" borderId="0" applyBorder="0" applyProtection="0"/>
    <xf numFmtId="0" fontId="4" fillId="3" borderId="0" applyBorder="0" applyProtection="0"/>
    <xf numFmtId="0" fontId="5" fillId="29" borderId="0" applyBorder="0" applyProtection="0"/>
    <xf numFmtId="0" fontId="4" fillId="30" borderId="0" applyBorder="0" applyProtection="0"/>
    <xf numFmtId="0" fontId="4" fillId="3" borderId="0" applyBorder="0" applyProtection="0"/>
    <xf numFmtId="0" fontId="5" fillId="18" borderId="0" applyBorder="0" applyProtection="0"/>
    <xf numFmtId="0" fontId="5" fillId="18" borderId="0" applyBorder="0" applyProtection="0"/>
    <xf numFmtId="0" fontId="5" fillId="3" borderId="0" applyBorder="0" applyProtection="0"/>
    <xf numFmtId="0" fontId="4" fillId="3" borderId="0" applyBorder="0" applyProtection="0"/>
    <xf numFmtId="0" fontId="5" fillId="18" borderId="0" applyBorder="0" applyProtection="0"/>
    <xf numFmtId="0" fontId="5" fillId="3" borderId="0" applyBorder="0" applyProtection="0"/>
    <xf numFmtId="0" fontId="5" fillId="18" borderId="0" applyBorder="0" applyProtection="0"/>
    <xf numFmtId="0" fontId="5"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5" fillId="18" borderId="0" applyBorder="0" applyProtection="0"/>
    <xf numFmtId="0" fontId="4" fillId="3" borderId="0" applyBorder="0" applyProtection="0"/>
    <xf numFmtId="0" fontId="4" fillId="3" borderId="0" applyBorder="0" applyProtection="0"/>
    <xf numFmtId="0" fontId="5" fillId="18" borderId="0" applyBorder="0" applyProtection="0"/>
    <xf numFmtId="0" fontId="5" fillId="18" borderId="0" applyBorder="0" applyProtection="0"/>
    <xf numFmtId="0" fontId="4" fillId="3" borderId="0" applyBorder="0" applyProtection="0"/>
    <xf numFmtId="0" fontId="4" fillId="3" borderId="0" applyBorder="0" applyProtection="0"/>
    <xf numFmtId="0" fontId="5" fillId="29" borderId="0" applyBorder="0" applyProtection="0"/>
    <xf numFmtId="0" fontId="5" fillId="18" borderId="0" applyBorder="0" applyProtection="0"/>
    <xf numFmtId="0" fontId="4" fillId="3" borderId="0" applyBorder="0" applyProtection="0"/>
    <xf numFmtId="0" fontId="4" fillId="30" borderId="0" applyBorder="0" applyProtection="0"/>
    <xf numFmtId="0" fontId="5" fillId="29" borderId="0" applyBorder="0" applyProtection="0"/>
    <xf numFmtId="0" fontId="5" fillId="18" borderId="0" applyBorder="0" applyProtection="0"/>
    <xf numFmtId="0" fontId="4" fillId="3" borderId="0" applyBorder="0" applyProtection="0"/>
    <xf numFmtId="0" fontId="4" fillId="30" borderId="0" applyBorder="0" applyProtection="0"/>
    <xf numFmtId="0" fontId="5" fillId="29" borderId="0" applyBorder="0" applyProtection="0"/>
    <xf numFmtId="0" fontId="5" fillId="18" borderId="0" applyBorder="0" applyProtection="0"/>
    <xf numFmtId="0" fontId="4" fillId="3" borderId="0" applyBorder="0" applyProtection="0"/>
    <xf numFmtId="0" fontId="4" fillId="30" borderId="0" applyBorder="0" applyProtection="0"/>
    <xf numFmtId="0" fontId="5" fillId="18" borderId="0" applyBorder="0" applyProtection="0"/>
    <xf numFmtId="0" fontId="4" fillId="3" borderId="0" applyBorder="0" applyProtection="0"/>
    <xf numFmtId="0" fontId="48" fillId="4" borderId="0" applyBorder="0" applyProtection="0"/>
    <xf numFmtId="0" fontId="4" fillId="3" borderId="0" applyBorder="0" applyProtection="0"/>
    <xf numFmtId="0" fontId="48" fillId="15" borderId="0" applyBorder="0" applyProtection="0"/>
    <xf numFmtId="0" fontId="4" fillId="3" borderId="0" applyBorder="0" applyProtection="0"/>
    <xf numFmtId="0" fontId="5" fillId="15" borderId="0" applyBorder="0" applyProtection="0"/>
    <xf numFmtId="0" fontId="4" fillId="3" borderId="0" applyBorder="0" applyProtection="0"/>
    <xf numFmtId="0" fontId="5" fillId="31" borderId="0" applyBorder="0" applyProtection="0"/>
    <xf numFmtId="0" fontId="4" fillId="3" borderId="0" applyBorder="0" applyProtection="0"/>
    <xf numFmtId="0" fontId="5" fillId="22" borderId="0" applyBorder="0" applyProtection="0"/>
    <xf numFmtId="0" fontId="5" fillId="22" borderId="0" applyBorder="0" applyProtection="0"/>
    <xf numFmtId="0" fontId="4" fillId="3" borderId="0" applyBorder="0" applyProtection="0"/>
    <xf numFmtId="0" fontId="5" fillId="22" borderId="0" applyBorder="0" applyProtection="0"/>
    <xf numFmtId="0" fontId="4" fillId="3" borderId="0" applyBorder="0" applyProtection="0"/>
    <xf numFmtId="0" fontId="5" fillId="31" borderId="0" applyBorder="0" applyProtection="0"/>
    <xf numFmtId="0" fontId="4" fillId="3" borderId="0" applyBorder="0" applyProtection="0"/>
    <xf numFmtId="0" fontId="4" fillId="3" borderId="0" applyBorder="0" applyProtection="0"/>
    <xf numFmtId="0" fontId="5" fillId="22" borderId="0" applyBorder="0" applyProtection="0"/>
    <xf numFmtId="0" fontId="5" fillId="22" borderId="0" applyBorder="0" applyProtection="0"/>
    <xf numFmtId="0" fontId="4" fillId="3" borderId="0" applyBorder="0" applyProtection="0"/>
    <xf numFmtId="0" fontId="5" fillId="31" borderId="0" applyBorder="0" applyProtection="0"/>
    <xf numFmtId="0" fontId="4" fillId="3" borderId="0" applyBorder="0" applyProtection="0"/>
    <xf numFmtId="0" fontId="4" fillId="3" borderId="0" applyBorder="0" applyProtection="0"/>
    <xf numFmtId="0" fontId="5" fillId="31" borderId="0" applyBorder="0" applyProtection="0"/>
    <xf numFmtId="0" fontId="5" fillId="3" borderId="0" applyBorder="0" applyProtection="0"/>
    <xf numFmtId="0" fontId="5" fillId="31" borderId="0" applyBorder="0" applyProtection="0"/>
    <xf numFmtId="0" fontId="5" fillId="3" borderId="0" applyBorder="0" applyProtection="0"/>
    <xf numFmtId="0" fontId="5" fillId="31" borderId="0" applyBorder="0" applyProtection="0"/>
    <xf numFmtId="0" fontId="5"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4" fillId="3" borderId="0" applyBorder="0" applyProtection="0"/>
    <xf numFmtId="0" fontId="5" fillId="31"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4" fillId="3" borderId="0" applyBorder="0" applyProtection="0"/>
    <xf numFmtId="0" fontId="5" fillId="31" borderId="0" applyBorder="0" applyProtection="0"/>
    <xf numFmtId="0" fontId="5" fillId="31" borderId="0" applyBorder="0" applyProtection="0"/>
    <xf numFmtId="0" fontId="4" fillId="3"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5" fillId="31" borderId="0" applyBorder="0" applyProtection="0"/>
    <xf numFmtId="0" fontId="4" fillId="3" borderId="0" applyBorder="0" applyProtection="0"/>
    <xf numFmtId="0" fontId="48" fillId="12" borderId="0" applyBorder="0" applyProtection="0"/>
    <xf numFmtId="0" fontId="4" fillId="3" borderId="0" applyBorder="0" applyProtection="0"/>
    <xf numFmtId="0" fontId="48" fillId="4" borderId="0" applyBorder="0" applyProtection="0"/>
    <xf numFmtId="0" fontId="4" fillId="3" borderId="0" applyBorder="0" applyProtection="0"/>
    <xf numFmtId="0" fontId="5" fillId="2"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5" fillId="20" borderId="0" applyBorder="0" applyProtection="0"/>
    <xf numFmtId="0" fontId="4" fillId="3"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4" fillId="3" borderId="0" applyBorder="0" applyProtection="0"/>
    <xf numFmtId="0" fontId="5" fillId="32" borderId="0" applyBorder="0" applyProtection="0"/>
    <xf numFmtId="0" fontId="5" fillId="32" borderId="0" applyBorder="0" applyProtection="0"/>
    <xf numFmtId="0" fontId="5" fillId="32" borderId="0" applyBorder="0" applyProtection="0"/>
    <xf numFmtId="0" fontId="5" fillId="32" borderId="0" applyBorder="0" applyProtection="0"/>
    <xf numFmtId="0" fontId="5" fillId="20"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4" fillId="3" borderId="0" applyBorder="0" applyProtection="0"/>
    <xf numFmtId="0" fontId="5" fillId="20"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4" fillId="3" borderId="0" applyBorder="0" applyProtection="0"/>
    <xf numFmtId="0" fontId="5" fillId="20" borderId="0" applyBorder="0" applyProtection="0"/>
    <xf numFmtId="0" fontId="5" fillId="20" borderId="0" applyBorder="0" applyProtection="0"/>
    <xf numFmtId="0" fontId="4" fillId="3"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5" fillId="20" borderId="0" applyBorder="0" applyProtection="0"/>
    <xf numFmtId="0" fontId="4" fillId="3" borderId="0" applyBorder="0" applyProtection="0"/>
    <xf numFmtId="0" fontId="48" fillId="9" borderId="0" applyBorder="0" applyProtection="0"/>
    <xf numFmtId="0" fontId="4" fillId="3" borderId="0" applyBorder="0" applyProtection="0"/>
    <xf numFmtId="0" fontId="48" fillId="10" borderId="0" applyBorder="0" applyProtection="0"/>
    <xf numFmtId="0" fontId="4" fillId="3" borderId="0" applyBorder="0" applyProtection="0"/>
    <xf numFmtId="0" fontId="5" fillId="10" borderId="0" applyBorder="0" applyProtection="0"/>
    <xf numFmtId="0" fontId="4" fillId="3" borderId="0" applyBorder="0" applyProtection="0"/>
    <xf numFmtId="0" fontId="5" fillId="28" borderId="0" applyBorder="0" applyProtection="0"/>
    <xf numFmtId="0" fontId="4" fillId="3" borderId="0" applyBorder="0" applyProtection="0"/>
    <xf numFmtId="0" fontId="5" fillId="28" borderId="0" applyBorder="0" applyProtection="0"/>
    <xf numFmtId="0" fontId="5" fillId="21" borderId="0" applyBorder="0" applyProtection="0"/>
    <xf numFmtId="0" fontId="4" fillId="3" borderId="0" applyBorder="0" applyProtection="0"/>
    <xf numFmtId="0" fontId="5" fillId="21" borderId="0" applyBorder="0" applyProtection="0"/>
    <xf numFmtId="0" fontId="4" fillId="3" borderId="0" applyBorder="0" applyProtection="0"/>
    <xf numFmtId="0" fontId="5" fillId="28" borderId="0" applyBorder="0" applyProtection="0"/>
    <xf numFmtId="0" fontId="4" fillId="3" borderId="0" applyBorder="0" applyProtection="0"/>
    <xf numFmtId="0" fontId="5" fillId="21" borderId="0" applyBorder="0" applyProtection="0"/>
    <xf numFmtId="0" fontId="4" fillId="3" borderId="0" applyBorder="0" applyProtection="0"/>
    <xf numFmtId="0" fontId="4" fillId="3" borderId="0" applyBorder="0" applyProtection="0"/>
    <xf numFmtId="0" fontId="5" fillId="28" borderId="0" applyBorder="0" applyProtection="0"/>
    <xf numFmtId="0" fontId="5" fillId="21" borderId="0" applyBorder="0" applyProtection="0"/>
    <xf numFmtId="0" fontId="4" fillId="3" borderId="0" applyBorder="0" applyProtection="0"/>
    <xf numFmtId="0" fontId="5" fillId="28" borderId="0" applyBorder="0" applyProtection="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0" fillId="0" borderId="0" applyNumberFormat="0" applyBorder="0" applyProtection="0"/>
    <xf numFmtId="0" fontId="93" fillId="0" borderId="0"/>
    <xf numFmtId="0" fontId="5" fillId="35" borderId="0" applyBorder="0" applyProtection="0"/>
    <xf numFmtId="0" fontId="5" fillId="35" borderId="0" applyBorder="0" applyProtection="0"/>
    <xf numFmtId="0" fontId="5" fillId="35" borderId="0" applyBorder="0" applyProtection="0"/>
    <xf numFmtId="0" fontId="5" fillId="35" borderId="0" applyBorder="0" applyProtection="0"/>
    <xf numFmtId="0" fontId="5" fillId="35" borderId="0" applyBorder="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609">
    <xf numFmtId="0" fontId="0" fillId="0" borderId="0" xfId="0"/>
    <xf numFmtId="0" fontId="0" fillId="0" borderId="1" xfId="1540" applyFont="1" applyBorder="1"/>
    <xf numFmtId="166" fontId="0" fillId="0" borderId="2" xfId="1540" applyNumberFormat="1" applyFont="1" applyBorder="1"/>
    <xf numFmtId="0" fontId="8" fillId="33" borderId="0" xfId="1540" applyFont="1" applyFill="1"/>
    <xf numFmtId="0" fontId="0" fillId="0" borderId="0" xfId="1540" applyFont="1"/>
    <xf numFmtId="0" fontId="0" fillId="34" borderId="0" xfId="1540" applyFont="1" applyFill="1"/>
    <xf numFmtId="0" fontId="4" fillId="34" borderId="0" xfId="1540" applyFont="1" applyFill="1" applyAlignment="1">
      <alignment horizontal="center" vertical="top" wrapText="1"/>
    </xf>
    <xf numFmtId="0" fontId="4" fillId="34" borderId="0" xfId="1540" applyFont="1" applyFill="1" applyAlignment="1">
      <alignment horizontal="center" vertical="top" wrapText="1"/>
    </xf>
    <xf numFmtId="0" fontId="4" fillId="0" borderId="0" xfId="1540" applyFont="1"/>
    <xf numFmtId="1" fontId="4" fillId="0" borderId="0" xfId="1540" applyNumberFormat="1" applyFont="1"/>
    <xf numFmtId="1" fontId="7" fillId="0" borderId="0" xfId="1540" applyNumberFormat="1" applyFont="1"/>
    <xf numFmtId="1" fontId="4" fillId="0" borderId="0" xfId="1540" applyNumberFormat="1" applyFont="1"/>
    <xf numFmtId="0" fontId="4" fillId="34" borderId="0" xfId="1540" applyFont="1" applyFill="1"/>
    <xf numFmtId="1" fontId="4" fillId="34" borderId="0" xfId="1540" applyNumberFormat="1" applyFont="1" applyFill="1"/>
    <xf numFmtId="1" fontId="7" fillId="34" borderId="0" xfId="1540" applyNumberFormat="1" applyFont="1" applyFill="1"/>
    <xf numFmtId="1" fontId="4" fillId="35" borderId="0" xfId="1540" applyNumberFormat="1" applyFont="1" applyFill="1"/>
    <xf numFmtId="0" fontId="4" fillId="36" borderId="0" xfId="1540" applyFont="1" applyFill="1"/>
    <xf numFmtId="1" fontId="4" fillId="36" borderId="0" xfId="1540" applyNumberFormat="1" applyFont="1" applyFill="1"/>
    <xf numFmtId="1" fontId="7" fillId="36" borderId="0" xfId="1540" applyNumberFormat="1" applyFont="1" applyFill="1"/>
    <xf numFmtId="1" fontId="4" fillId="37" borderId="0" xfId="1540" applyNumberFormat="1" applyFont="1" applyFill="1"/>
    <xf numFmtId="0" fontId="11" fillId="34" borderId="0" xfId="1540" applyFont="1" applyFill="1" applyAlignment="1">
      <alignment horizontal="left" vertical="top"/>
    </xf>
    <xf numFmtId="0" fontId="11" fillId="34" borderId="0" xfId="1540" applyFont="1" applyFill="1" applyAlignment="1">
      <alignment horizontal="left" vertical="top" wrapText="1"/>
    </xf>
    <xf numFmtId="0" fontId="4" fillId="0" borderId="0" xfId="1540" applyFont="1"/>
    <xf numFmtId="170" fontId="4" fillId="0" borderId="0" xfId="1" applyNumberFormat="1" applyFont="1" applyBorder="1" applyAlignment="1" applyProtection="1"/>
    <xf numFmtId="0" fontId="4" fillId="34" borderId="0" xfId="1540" applyFont="1" applyFill="1"/>
    <xf numFmtId="2" fontId="0" fillId="0" borderId="0" xfId="1540" applyNumberFormat="1" applyFont="1"/>
    <xf numFmtId="0" fontId="4"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4" fillId="3" borderId="1" xfId="1540" applyNumberFormat="1" applyFont="1" applyFill="1" applyBorder="1"/>
    <xf numFmtId="0" fontId="0" fillId="0" borderId="3" xfId="1540" applyFont="1" applyBorder="1"/>
    <xf numFmtId="0" fontId="14"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169" fontId="0" fillId="0" borderId="6" xfId="1540" applyNumberFormat="1" applyFont="1" applyBorder="1"/>
    <xf numFmtId="0" fontId="15" fillId="41" borderId="0" xfId="1540" applyFont="1" applyFill="1"/>
    <xf numFmtId="0" fontId="16" fillId="41" borderId="0" xfId="1540" applyFont="1" applyFill="1"/>
    <xf numFmtId="0" fontId="17" fillId="0" borderId="0" xfId="1540" applyFont="1" applyAlignment="1">
      <alignment horizontal="center" vertical="center" wrapText="1"/>
    </xf>
    <xf numFmtId="0" fontId="19" fillId="0" borderId="1" xfId="1540" applyFont="1" applyBorder="1" applyAlignment="1">
      <alignment horizontal="center"/>
    </xf>
    <xf numFmtId="0" fontId="20" fillId="3" borderId="0" xfId="1540" applyFont="1" applyFill="1"/>
    <xf numFmtId="0" fontId="21" fillId="3" borderId="0" xfId="1540" applyFont="1" applyFill="1" applyAlignment="1">
      <alignment horizontal="center" vertical="center"/>
    </xf>
    <xf numFmtId="0" fontId="23" fillId="3" borderId="1" xfId="1540" applyFont="1" applyFill="1" applyBorder="1" applyAlignment="1">
      <alignment horizontal="center" vertical="center" wrapText="1"/>
    </xf>
    <xf numFmtId="0" fontId="24" fillId="0" borderId="1" xfId="1540" applyFont="1" applyBorder="1"/>
    <xf numFmtId="0" fontId="25" fillId="3" borderId="0" xfId="1540" applyFont="1" applyFill="1"/>
    <xf numFmtId="0" fontId="25" fillId="42" borderId="1" xfId="1540" applyFont="1" applyFill="1" applyBorder="1"/>
    <xf numFmtId="0" fontId="26" fillId="34" borderId="1" xfId="1540" applyFont="1" applyFill="1" applyBorder="1"/>
    <xf numFmtId="0" fontId="25" fillId="43" borderId="1" xfId="1540" applyFont="1" applyFill="1" applyBorder="1"/>
    <xf numFmtId="0" fontId="25" fillId="44" borderId="1" xfId="1540" applyFont="1" applyFill="1" applyBorder="1"/>
    <xf numFmtId="0" fontId="26" fillId="45" borderId="1" xfId="1540" applyFont="1" applyFill="1" applyBorder="1"/>
    <xf numFmtId="0" fontId="27" fillId="0" borderId="1" xfId="1540" applyFont="1" applyBorder="1"/>
    <xf numFmtId="0" fontId="28" fillId="3" borderId="0" xfId="1540" applyFont="1" applyFill="1"/>
    <xf numFmtId="0" fontId="24" fillId="47" borderId="1" xfId="1540" applyFont="1" applyFill="1" applyBorder="1"/>
    <xf numFmtId="0" fontId="26" fillId="48" borderId="1" xfId="1540" applyFont="1" applyFill="1" applyBorder="1"/>
    <xf numFmtId="0" fontId="25" fillId="49" borderId="1" xfId="1540" applyFont="1" applyFill="1" applyBorder="1"/>
    <xf numFmtId="0" fontId="23" fillId="3" borderId="0" xfId="1540" applyFont="1" applyFill="1"/>
    <xf numFmtId="0" fontId="29" fillId="48" borderId="1" xfId="1540" applyFont="1" applyFill="1" applyBorder="1"/>
    <xf numFmtId="0" fontId="30" fillId="0" borderId="0" xfId="1540" applyFont="1"/>
    <xf numFmtId="0" fontId="32" fillId="3" borderId="0" xfId="1540" applyFont="1" applyFill="1"/>
    <xf numFmtId="0" fontId="33" fillId="3" borderId="0" xfId="1540" applyFont="1" applyFill="1"/>
    <xf numFmtId="0" fontId="21" fillId="3" borderId="7" xfId="1540" applyFont="1" applyFill="1" applyBorder="1" applyAlignment="1">
      <alignment horizontal="justify" vertical="center" wrapText="1"/>
    </xf>
    <xf numFmtId="0" fontId="21" fillId="0" borderId="7" xfId="1540" applyFont="1" applyBorder="1" applyAlignment="1">
      <alignment horizontal="justify" vertical="center" wrapText="1"/>
    </xf>
    <xf numFmtId="0" fontId="34" fillId="3" borderId="8" xfId="1540" applyFont="1" applyFill="1" applyBorder="1" applyAlignment="1">
      <alignment horizontal="center" vertical="center" wrapText="1"/>
    </xf>
    <xf numFmtId="0" fontId="21" fillId="3" borderId="8" xfId="1540" applyFont="1" applyFill="1" applyBorder="1" applyAlignment="1">
      <alignment horizontal="center" vertical="center" wrapText="1"/>
    </xf>
    <xf numFmtId="0" fontId="34" fillId="3" borderId="5" xfId="1540" applyFont="1" applyFill="1" applyBorder="1" applyAlignment="1">
      <alignment horizontal="center" vertical="center" wrapText="1"/>
    </xf>
    <xf numFmtId="0" fontId="21" fillId="3" borderId="5" xfId="1540" applyFont="1" applyFill="1" applyBorder="1" applyAlignment="1">
      <alignment horizontal="center" vertical="center" wrapText="1"/>
    </xf>
    <xf numFmtId="0" fontId="25" fillId="0" borderId="1" xfId="1540" applyFont="1" applyBorder="1" applyAlignment="1">
      <alignment horizontal="center" vertical="center" wrapText="1"/>
    </xf>
    <xf numFmtId="0" fontId="38" fillId="3" borderId="1" xfId="1540" applyFont="1" applyFill="1" applyBorder="1" applyAlignment="1">
      <alignment horizontal="center" vertical="center" wrapText="1"/>
    </xf>
    <xf numFmtId="0" fontId="38" fillId="0" borderId="1" xfId="1540" applyFont="1" applyBorder="1" applyAlignment="1">
      <alignment horizontal="center" vertical="center" wrapText="1"/>
    </xf>
    <xf numFmtId="0" fontId="23" fillId="0" borderId="1" xfId="1540" applyFont="1" applyBorder="1" applyAlignment="1">
      <alignment horizontal="center" vertical="center" wrapText="1"/>
    </xf>
    <xf numFmtId="0" fontId="38" fillId="0" borderId="1" xfId="1540" applyFont="1" applyBorder="1" applyAlignment="1">
      <alignment vertical="center" wrapText="1"/>
    </xf>
    <xf numFmtId="3" fontId="38" fillId="0" borderId="1" xfId="1540" applyNumberFormat="1" applyFont="1" applyBorder="1" applyAlignment="1">
      <alignment horizontal="center" vertical="center" wrapText="1"/>
    </xf>
    <xf numFmtId="3" fontId="23" fillId="0" borderId="1" xfId="1540" applyNumberFormat="1" applyFont="1" applyBorder="1" applyAlignment="1">
      <alignment horizontal="center" vertical="center" wrapText="1"/>
    </xf>
    <xf numFmtId="0" fontId="0" fillId="46" borderId="1" xfId="1540" applyFont="1" applyFill="1" applyBorder="1"/>
    <xf numFmtId="0" fontId="0" fillId="51" borderId="1" xfId="1540" applyFont="1" applyFill="1" applyBorder="1"/>
    <xf numFmtId="169" fontId="0" fillId="0" borderId="1" xfId="1540" applyNumberFormat="1" applyFont="1" applyBorder="1" applyAlignment="1">
      <alignment horizontal="right"/>
    </xf>
    <xf numFmtId="0" fontId="0" fillId="0" borderId="0" xfId="1540" applyFont="1" applyBorder="1" applyAlignment="1"/>
    <xf numFmtId="0" fontId="0" fillId="16" borderId="1" xfId="1540" applyFont="1" applyFill="1" applyBorder="1"/>
    <xf numFmtId="0" fontId="0" fillId="50" borderId="1" xfId="1540" applyFont="1" applyFill="1" applyBorder="1"/>
    <xf numFmtId="168" fontId="0" fillId="16" borderId="1" xfId="1540" applyNumberFormat="1" applyFont="1" applyFill="1" applyBorder="1"/>
    <xf numFmtId="169" fontId="0" fillId="0" borderId="1" xfId="1540" applyNumberFormat="1" applyFont="1" applyBorder="1"/>
    <xf numFmtId="168" fontId="0" fillId="50"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6" borderId="1" xfId="1540" applyNumberFormat="1" applyFont="1" applyFill="1" applyBorder="1"/>
    <xf numFmtId="168" fontId="48" fillId="0" borderId="1" xfId="2" applyBorder="1" applyProtection="1"/>
    <xf numFmtId="168" fontId="0" fillId="0" borderId="0" xfId="1540" applyNumberFormat="1" applyFont="1"/>
    <xf numFmtId="169" fontId="0" fillId="46" borderId="1" xfId="1540" applyNumberFormat="1" applyFont="1" applyFill="1" applyBorder="1"/>
    <xf numFmtId="0" fontId="0" fillId="46" borderId="1" xfId="1540" applyFont="1" applyFill="1" applyBorder="1" applyAlignment="1">
      <alignment horizontal="right"/>
    </xf>
    <xf numFmtId="0" fontId="0" fillId="40" borderId="1" xfId="1540" applyFont="1" applyFill="1" applyBorder="1"/>
    <xf numFmtId="0" fontId="40" fillId="0" borderId="0" xfId="1540" applyFont="1"/>
    <xf numFmtId="0" fontId="40" fillId="0" borderId="0" xfId="1540" applyFont="1" applyAlignment="1">
      <alignment wrapText="1"/>
    </xf>
    <xf numFmtId="0" fontId="5" fillId="53" borderId="1" xfId="1540" applyFont="1" applyFill="1" applyBorder="1" applyAlignment="1">
      <alignment horizontal="center"/>
    </xf>
    <xf numFmtId="0" fontId="5" fillId="53" borderId="1" xfId="1540" applyFont="1" applyFill="1" applyBorder="1" applyAlignment="1">
      <alignment horizontal="center"/>
    </xf>
    <xf numFmtId="0" fontId="5" fillId="53"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41"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40" fillId="0" borderId="1" xfId="1540" applyFont="1" applyBorder="1" applyAlignment="1">
      <alignment horizontal="center"/>
    </xf>
    <xf numFmtId="0" fontId="40" fillId="0" borderId="1" xfId="1540" applyFont="1" applyBorder="1"/>
    <xf numFmtId="0" fontId="42" fillId="53" borderId="1" xfId="1540" applyFont="1" applyFill="1" applyBorder="1" applyAlignment="1">
      <alignment horizontal="center"/>
    </xf>
    <xf numFmtId="0" fontId="43" fillId="53" borderId="1" xfId="1540" applyFont="1" applyFill="1" applyBorder="1" applyAlignment="1">
      <alignment horizontal="center"/>
    </xf>
    <xf numFmtId="0" fontId="40" fillId="0" borderId="0" xfId="1540" applyFont="1" applyAlignment="1">
      <alignment wrapText="1"/>
    </xf>
    <xf numFmtId="0" fontId="5" fillId="53" borderId="1" xfId="1540" applyFont="1" applyFill="1" applyBorder="1" applyAlignment="1">
      <alignment horizontal="left"/>
    </xf>
    <xf numFmtId="0" fontId="44" fillId="0" borderId="1" xfId="1540" applyFont="1" applyBorder="1" applyAlignment="1">
      <alignment horizontal="center"/>
    </xf>
    <xf numFmtId="3" fontId="40" fillId="0" borderId="1" xfId="1540" applyNumberFormat="1" applyFont="1" applyBorder="1" applyAlignment="1">
      <alignment horizontal="center"/>
    </xf>
    <xf numFmtId="3" fontId="40" fillId="51" borderId="1" xfId="1540" applyNumberFormat="1" applyFont="1" applyFill="1" applyBorder="1" applyAlignment="1">
      <alignment horizontal="center"/>
    </xf>
    <xf numFmtId="4" fontId="40" fillId="0" borderId="1" xfId="1540" applyNumberFormat="1" applyFont="1" applyBorder="1" applyAlignment="1">
      <alignment horizontal="center"/>
    </xf>
    <xf numFmtId="172" fontId="40" fillId="51" borderId="1" xfId="1540" applyNumberFormat="1" applyFont="1" applyFill="1" applyBorder="1" applyAlignment="1">
      <alignment horizontal="center"/>
    </xf>
    <xf numFmtId="168" fontId="40" fillId="0" borderId="0" xfId="2" applyFont="1" applyBorder="1" applyProtection="1"/>
    <xf numFmtId="4" fontId="40" fillId="51" borderId="1" xfId="1540" applyNumberFormat="1" applyFont="1" applyFill="1" applyBorder="1" applyAlignment="1">
      <alignment horizontal="center"/>
    </xf>
    <xf numFmtId="0" fontId="40" fillId="0" borderId="1" xfId="1540" applyFont="1" applyBorder="1" applyAlignment="1">
      <alignment horizontal="center"/>
    </xf>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3" fontId="0" fillId="0" borderId="1" xfId="1540" applyNumberFormat="1" applyFont="1" applyBorder="1"/>
    <xf numFmtId="173" fontId="4"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4" fillId="0" borderId="1" xfId="2" applyFont="1" applyBorder="1" applyAlignment="1" applyProtection="1">
      <alignment horizontal="right"/>
    </xf>
    <xf numFmtId="0" fontId="30" fillId="0" borderId="1" xfId="1540" applyFont="1" applyBorder="1" applyAlignment="1">
      <alignment wrapText="1"/>
    </xf>
    <xf numFmtId="171" fontId="30" fillId="0" borderId="1" xfId="1" applyNumberFormat="1" applyFont="1" applyBorder="1" applyAlignment="1" applyProtection="1">
      <alignment horizontal="right"/>
    </xf>
    <xf numFmtId="0" fontId="45" fillId="0" borderId="0" xfId="1540" applyFont="1"/>
    <xf numFmtId="168" fontId="0" fillId="0" borderId="1" xfId="1540" applyNumberFormat="1" applyFont="1" applyBorder="1" applyAlignment="1">
      <alignment horizontal="right"/>
    </xf>
    <xf numFmtId="0" fontId="0" fillId="54" borderId="1" xfId="1540" applyFont="1" applyFill="1" applyBorder="1" applyAlignment="1">
      <alignment wrapText="1"/>
    </xf>
    <xf numFmtId="171" fontId="0" fillId="54"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4" fillId="0" borderId="1" xfId="2" applyFont="1" applyBorder="1" applyAlignment="1" applyProtection="1">
      <alignment horizontal="right"/>
    </xf>
    <xf numFmtId="169" fontId="48" fillId="0" borderId="1" xfId="2" applyNumberFormat="1" applyBorder="1" applyProtection="1"/>
    <xf numFmtId="169" fontId="30" fillId="0" borderId="1" xfId="2" applyNumberFormat="1" applyFont="1" applyBorder="1" applyProtection="1"/>
    <xf numFmtId="2" fontId="30" fillId="0" borderId="1" xfId="1540" applyNumberFormat="1" applyFont="1" applyBorder="1"/>
    <xf numFmtId="0" fontId="13" fillId="0" borderId="0" xfId="1540" applyFont="1"/>
    <xf numFmtId="1" fontId="0" fillId="0" borderId="1" xfId="1540" applyNumberFormat="1" applyFont="1" applyBorder="1"/>
    <xf numFmtId="168" fontId="0" fillId="0" borderId="1" xfId="1540" applyNumberFormat="1" applyFont="1" applyBorder="1"/>
    <xf numFmtId="2" fontId="30" fillId="0" borderId="1" xfId="1540" applyNumberFormat="1" applyFont="1" applyBorder="1"/>
    <xf numFmtId="2" fontId="0" fillId="0" borderId="1" xfId="1540" applyNumberFormat="1" applyFont="1" applyBorder="1"/>
    <xf numFmtId="0" fontId="0" fillId="55" borderId="0" xfId="1540" applyFont="1" applyFill="1"/>
    <xf numFmtId="0" fontId="0" fillId="55" borderId="1" xfId="1540" applyFont="1" applyFill="1" applyBorder="1"/>
    <xf numFmtId="166" fontId="0" fillId="0" borderId="1" xfId="1540" applyNumberFormat="1" applyFont="1" applyBorder="1"/>
    <xf numFmtId="2" fontId="7" fillId="0" borderId="1" xfId="1540" applyNumberFormat="1" applyFont="1" applyBorder="1"/>
    <xf numFmtId="169" fontId="30" fillId="0" borderId="1" xfId="1540" applyNumberFormat="1" applyFont="1" applyBorder="1"/>
    <xf numFmtId="169" fontId="0" fillId="0" borderId="1" xfId="1540" applyNumberFormat="1" applyFont="1" applyBorder="1"/>
    <xf numFmtId="166" fontId="0" fillId="0" borderId="1" xfId="1540" applyNumberFormat="1" applyFont="1" applyBorder="1"/>
    <xf numFmtId="0" fontId="0" fillId="56" borderId="1" xfId="1540" applyFont="1" applyFill="1" applyBorder="1"/>
    <xf numFmtId="169" fontId="0" fillId="0" borderId="1" xfId="1540" applyNumberFormat="1" applyFont="1" applyBorder="1"/>
    <xf numFmtId="174" fontId="0" fillId="0" borderId="1" xfId="1540" applyNumberFormat="1" applyFont="1" applyBorder="1"/>
    <xf numFmtId="0" fontId="0" fillId="57" borderId="1" xfId="1540" applyFont="1" applyFill="1" applyBorder="1"/>
    <xf numFmtId="169" fontId="0" fillId="57"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6" borderId="1" xfId="1540" applyNumberFormat="1" applyFont="1" applyFill="1" applyBorder="1" applyAlignment="1">
      <alignment horizontal="right"/>
    </xf>
    <xf numFmtId="166" fontId="0" fillId="57" borderId="1" xfId="1540" applyNumberFormat="1" applyFont="1" applyFill="1" applyBorder="1"/>
    <xf numFmtId="169" fontId="0" fillId="0" borderId="1" xfId="1540" applyNumberFormat="1" applyFont="1" applyBorder="1" applyAlignment="1">
      <alignment vertical="center"/>
    </xf>
    <xf numFmtId="2" fontId="0" fillId="57" borderId="1" xfId="1540" applyNumberFormat="1" applyFont="1" applyFill="1" applyBorder="1"/>
    <xf numFmtId="1" fontId="0" fillId="46"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1" fontId="30" fillId="0" borderId="1" xfId="1540" applyNumberFormat="1" applyFont="1" applyBorder="1"/>
    <xf numFmtId="2" fontId="46" fillId="0" borderId="0" xfId="1540" applyNumberFormat="1" applyFont="1"/>
    <xf numFmtId="4" fontId="0" fillId="0" borderId="1" xfId="1540" applyNumberFormat="1" applyFont="1" applyBorder="1"/>
    <xf numFmtId="0" fontId="0" fillId="0" borderId="0" xfId="1540" applyFont="1" applyBorder="1"/>
    <xf numFmtId="0" fontId="4" fillId="0" borderId="1" xfId="1540" applyFont="1" applyBorder="1"/>
    <xf numFmtId="0" fontId="10" fillId="0" borderId="1" xfId="1540" applyFont="1" applyBorder="1"/>
    <xf numFmtId="0" fontId="30" fillId="0" borderId="0" xfId="1540" applyFont="1" applyBorder="1"/>
    <xf numFmtId="0" fontId="30"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4" fillId="0" borderId="20" xfId="1540" applyFont="1" applyBorder="1"/>
    <xf numFmtId="0" fontId="40"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7" fillId="0" borderId="0" xfId="1540" applyFont="1" applyBorder="1" applyAlignment="1">
      <alignment horizontal="center"/>
    </xf>
    <xf numFmtId="0" fontId="4" fillId="34" borderId="0" xfId="1540" applyFont="1" applyFill="1" applyAlignment="1">
      <alignment horizontal="center" vertical="top" wrapText="1"/>
    </xf>
    <xf numFmtId="0" fontId="0" fillId="0" borderId="1" xfId="1540" applyFont="1" applyBorder="1" applyAlignment="1">
      <alignment horizontal="center"/>
    </xf>
    <xf numFmtId="0" fontId="0" fillId="0" borderId="3" xfId="1540" applyFont="1" applyBorder="1" applyAlignment="1">
      <alignment horizontal="center"/>
    </xf>
    <xf numFmtId="0" fontId="0" fillId="0" borderId="6" xfId="1540" applyFont="1" applyBorder="1" applyAlignment="1">
      <alignment horizontal="right"/>
    </xf>
    <xf numFmtId="0" fontId="0" fillId="58" borderId="0" xfId="0" applyFont="1" applyFill="1" applyBorder="1" applyAlignment="1">
      <alignment horizontal="center" vertical="top" wrapText="1"/>
    </xf>
    <xf numFmtId="1" fontId="51" fillId="0" borderId="0" xfId="0" applyNumberFormat="1" applyFont="1"/>
    <xf numFmtId="1" fontId="51" fillId="59" borderId="0" xfId="0" applyNumberFormat="1" applyFont="1" applyFill="1"/>
    <xf numFmtId="0" fontId="52" fillId="34" borderId="0" xfId="1540" applyFont="1" applyFill="1" applyAlignment="1">
      <alignment horizontal="center" vertical="top" wrapText="1"/>
    </xf>
    <xf numFmtId="1" fontId="53" fillId="0" borderId="0" xfId="1540" applyNumberFormat="1" applyFont="1"/>
    <xf numFmtId="1" fontId="53" fillId="34" borderId="0" xfId="1540" applyNumberFormat="1" applyFont="1" applyFill="1"/>
    <xf numFmtId="1" fontId="53" fillId="36" borderId="0" xfId="1540" applyNumberFormat="1" applyFont="1" applyFill="1"/>
    <xf numFmtId="1" fontId="0" fillId="0" borderId="0" xfId="0" applyNumberFormat="1"/>
    <xf numFmtId="10" fontId="0" fillId="0" borderId="1" xfId="1540" applyNumberFormat="1" applyFont="1" applyBorder="1"/>
    <xf numFmtId="9" fontId="0" fillId="46" borderId="1" xfId="1540" applyNumberFormat="1" applyFont="1" applyFill="1" applyBorder="1"/>
    <xf numFmtId="0" fontId="0" fillId="0" borderId="1" xfId="0" applyFont="1" applyBorder="1"/>
    <xf numFmtId="0" fontId="0" fillId="60" borderId="1" xfId="0" applyFill="1" applyBorder="1"/>
    <xf numFmtId="0" fontId="7" fillId="0" borderId="0" xfId="0" applyFont="1"/>
    <xf numFmtId="0" fontId="0" fillId="0" borderId="0" xfId="0" applyBorder="1"/>
    <xf numFmtId="0" fontId="54" fillId="0" borderId="1" xfId="0" applyFont="1" applyBorder="1" applyAlignment="1">
      <alignment horizontal="center" vertical="center"/>
    </xf>
    <xf numFmtId="0" fontId="54" fillId="0" borderId="1" xfId="0" applyFont="1" applyBorder="1" applyAlignment="1">
      <alignment horizontal="center" vertical="center" wrapText="1"/>
    </xf>
    <xf numFmtId="0" fontId="0" fillId="0" borderId="0" xfId="0" applyBorder="1" applyAlignment="1"/>
    <xf numFmtId="0" fontId="54" fillId="0" borderId="1" xfId="0" applyFont="1" applyBorder="1" applyAlignment="1"/>
    <xf numFmtId="175" fontId="0" fillId="0" borderId="1" xfId="0" applyNumberFormat="1" applyBorder="1"/>
    <xf numFmtId="0" fontId="54" fillId="0" borderId="1" xfId="0" applyFont="1" applyBorder="1"/>
    <xf numFmtId="0" fontId="0" fillId="0" borderId="1" xfId="0" applyBorder="1"/>
    <xf numFmtId="0" fontId="54" fillId="0" borderId="0" xfId="0" applyFont="1" applyBorder="1" applyAlignment="1"/>
    <xf numFmtId="175" fontId="0" fillId="0" borderId="0" xfId="0" applyNumberFormat="1" applyBorder="1"/>
    <xf numFmtId="4" fontId="58" fillId="0" borderId="1" xfId="0" applyNumberFormat="1" applyFont="1" applyBorder="1" applyAlignment="1">
      <alignment horizontal="center" vertical="center" wrapText="1"/>
    </xf>
    <xf numFmtId="0" fontId="58" fillId="0" borderId="1" xfId="0" applyFont="1" applyBorder="1" applyAlignment="1">
      <alignment horizontal="center" vertical="center" wrapText="1"/>
    </xf>
    <xf numFmtId="0" fontId="59" fillId="0" borderId="1" xfId="0" applyFont="1" applyBorder="1" applyAlignment="1">
      <alignment horizontal="left" vertical="center"/>
    </xf>
    <xf numFmtId="166" fontId="60" fillId="0" borderId="1" xfId="0" applyNumberFormat="1" applyFont="1" applyBorder="1" applyAlignment="1">
      <alignment horizontal="right"/>
    </xf>
    <xf numFmtId="166" fontId="59" fillId="61" borderId="1" xfId="0" applyNumberFormat="1" applyFont="1" applyFill="1" applyBorder="1" applyAlignment="1">
      <alignment horizontal="right"/>
    </xf>
    <xf numFmtId="175" fontId="59" fillId="61" borderId="1" xfId="0" applyNumberFormat="1" applyFont="1" applyFill="1" applyBorder="1" applyAlignment="1">
      <alignment horizontal="right"/>
    </xf>
    <xf numFmtId="166" fontId="57" fillId="61" borderId="1" xfId="0" applyNumberFormat="1" applyFont="1" applyFill="1" applyBorder="1" applyAlignment="1">
      <alignment horizontal="right"/>
    </xf>
    <xf numFmtId="0" fontId="57" fillId="62" borderId="1" xfId="0" applyFont="1" applyFill="1" applyBorder="1" applyAlignment="1">
      <alignment horizontal="left" vertical="center"/>
    </xf>
    <xf numFmtId="166" fontId="57" fillId="62" borderId="1" xfId="0" applyNumberFormat="1" applyFont="1" applyFill="1" applyBorder="1" applyAlignment="1">
      <alignment horizontal="right"/>
    </xf>
    <xf numFmtId="0" fontId="57" fillId="0" borderId="12" xfId="0" applyFont="1" applyBorder="1" applyAlignment="1">
      <alignment horizontal="left" vertical="center"/>
    </xf>
    <xf numFmtId="166" fontId="57" fillId="0" borderId="12" xfId="0" applyNumberFormat="1" applyFont="1" applyBorder="1" applyAlignment="1">
      <alignment horizontal="right"/>
    </xf>
    <xf numFmtId="1" fontId="51" fillId="0" borderId="0" xfId="0" applyNumberFormat="1" applyFont="1" applyFill="1"/>
    <xf numFmtId="0" fontId="60" fillId="0" borderId="1" xfId="0" applyFont="1" applyBorder="1" applyAlignment="1">
      <alignment horizontal="left" vertical="center"/>
    </xf>
    <xf numFmtId="1" fontId="60" fillId="0" borderId="1" xfId="0" applyNumberFormat="1" applyFont="1" applyBorder="1" applyAlignment="1">
      <alignment horizontal="right"/>
    </xf>
    <xf numFmtId="166" fontId="56" fillId="0" borderId="1" xfId="0" applyNumberFormat="1" applyFont="1" applyBorder="1" applyAlignment="1">
      <alignment horizontal="right"/>
    </xf>
    <xf numFmtId="166" fontId="60" fillId="0" borderId="1" xfId="0" quotePrefix="1" applyNumberFormat="1" applyFont="1" applyBorder="1" applyAlignment="1">
      <alignment horizontal="right"/>
    </xf>
    <xf numFmtId="176" fontId="60" fillId="0" borderId="1" xfId="0" applyNumberFormat="1" applyFont="1" applyBorder="1" applyAlignment="1">
      <alignment horizontal="right"/>
    </xf>
    <xf numFmtId="176" fontId="57" fillId="0" borderId="12" xfId="0" applyNumberFormat="1" applyFont="1" applyBorder="1" applyAlignment="1">
      <alignment horizontal="right"/>
    </xf>
    <xf numFmtId="175" fontId="57" fillId="0" borderId="12" xfId="0" applyNumberFormat="1" applyFont="1" applyBorder="1" applyAlignment="1">
      <alignment horizontal="right"/>
    </xf>
    <xf numFmtId="166" fontId="0" fillId="0" borderId="0" xfId="0" applyNumberFormat="1"/>
    <xf numFmtId="0" fontId="12" fillId="33" borderId="0" xfId="0" applyFont="1" applyFill="1" applyAlignment="1">
      <alignment horizontal="center" vertical="center"/>
    </xf>
    <xf numFmtId="9" fontId="0" fillId="50" borderId="1" xfId="1540" applyNumberFormat="1" applyFont="1" applyFill="1" applyBorder="1"/>
    <xf numFmtId="10" fontId="0" fillId="46" borderId="1" xfId="1540" applyNumberFormat="1" applyFont="1" applyFill="1" applyBorder="1"/>
    <xf numFmtId="0" fontId="0" fillId="38" borderId="0" xfId="1540" applyFont="1" applyFill="1" applyBorder="1" applyAlignment="1">
      <alignment horizontal="center"/>
    </xf>
    <xf numFmtId="0" fontId="61"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3" fillId="0" borderId="12" xfId="1540" applyFont="1" applyBorder="1" applyAlignment="1">
      <alignment horizontal="center"/>
    </xf>
    <xf numFmtId="171" fontId="40" fillId="0" borderId="1" xfId="1" applyNumberFormat="1" applyFont="1" applyBorder="1" applyAlignment="1" applyProtection="1"/>
    <xf numFmtId="168" fontId="40" fillId="0" borderId="1" xfId="2" applyFont="1" applyBorder="1" applyProtection="1"/>
    <xf numFmtId="171" fontId="40" fillId="0" borderId="1" xfId="1540" applyNumberFormat="1" applyFont="1" applyBorder="1"/>
    <xf numFmtId="0" fontId="40" fillId="63" borderId="1" xfId="1540" applyFont="1" applyFill="1" applyBorder="1" applyAlignment="1">
      <alignment horizontal="center"/>
    </xf>
    <xf numFmtId="0" fontId="40" fillId="64" borderId="1" xfId="1540" applyFont="1" applyFill="1" applyBorder="1" applyAlignment="1">
      <alignment horizontal="center"/>
    </xf>
    <xf numFmtId="169" fontId="30" fillId="0" borderId="11" xfId="2" applyNumberFormat="1" applyFont="1" applyBorder="1" applyProtection="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4" fillId="63" borderId="1" xfId="1540" applyFont="1" applyFill="1" applyBorder="1" applyAlignment="1">
      <alignment wrapText="1"/>
    </xf>
    <xf numFmtId="0" fontId="64" fillId="0" borderId="1" xfId="0" applyFont="1" applyBorder="1" applyAlignment="1">
      <alignment wrapText="1"/>
    </xf>
    <xf numFmtId="0" fontId="62" fillId="0" borderId="1" xfId="1540" applyFont="1" applyBorder="1"/>
    <xf numFmtId="0" fontId="64"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8" fillId="0" borderId="11" xfId="2" applyBorder="1" applyProtection="1"/>
    <xf numFmtId="0" fontId="65" fillId="0" borderId="1" xfId="0" applyFont="1" applyBorder="1"/>
    <xf numFmtId="0" fontId="65" fillId="0" borderId="0" xfId="0" applyFont="1" applyBorder="1"/>
    <xf numFmtId="0" fontId="0" fillId="63" borderId="1" xfId="1540" applyFont="1" applyFill="1" applyBorder="1" applyAlignment="1">
      <alignment wrapText="1"/>
    </xf>
    <xf numFmtId="166" fontId="0" fillId="0" borderId="11" xfId="1540" applyNumberFormat="1" applyFont="1" applyBorder="1"/>
    <xf numFmtId="0" fontId="66" fillId="0" borderId="1" xfId="0" applyFont="1" applyBorder="1"/>
    <xf numFmtId="0" fontId="66" fillId="0" borderId="0" xfId="0" applyFont="1" applyBorder="1"/>
    <xf numFmtId="0" fontId="0" fillId="64" borderId="1" xfId="1540" applyFont="1" applyFill="1" applyBorder="1"/>
    <xf numFmtId="0" fontId="0" fillId="64" borderId="0" xfId="0" applyFill="1"/>
    <xf numFmtId="0" fontId="66" fillId="64" borderId="1" xfId="0" applyFont="1" applyFill="1" applyBorder="1"/>
    <xf numFmtId="0" fontId="68" fillId="0" borderId="1" xfId="0" applyFont="1" applyBorder="1" applyAlignment="1">
      <alignment horizontal="right"/>
    </xf>
    <xf numFmtId="2" fontId="0" fillId="64" borderId="1" xfId="1540" applyNumberFormat="1" applyFont="1" applyFill="1" applyBorder="1"/>
    <xf numFmtId="0" fontId="66" fillId="0" borderId="1" xfId="1540" applyFont="1" applyBorder="1"/>
    <xf numFmtId="0" fontId="66" fillId="63" borderId="1" xfId="1540" applyFont="1" applyFill="1" applyBorder="1"/>
    <xf numFmtId="0" fontId="61" fillId="0" borderId="0" xfId="1540" applyFont="1" applyBorder="1" applyAlignment="1">
      <alignment horizontal="center"/>
    </xf>
    <xf numFmtId="0" fontId="0" fillId="0" borderId="1" xfId="1540" applyFont="1" applyFill="1" applyBorder="1"/>
    <xf numFmtId="2" fontId="0" fillId="0" borderId="1" xfId="0" applyNumberFormat="1" applyBorder="1"/>
    <xf numFmtId="2" fontId="62" fillId="0" borderId="1" xfId="1540" applyNumberFormat="1" applyFont="1" applyBorder="1"/>
    <xf numFmtId="1" fontId="62" fillId="0" borderId="1" xfId="1540" applyNumberFormat="1" applyFont="1" applyBorder="1"/>
    <xf numFmtId="0" fontId="0" fillId="0" borderId="0" xfId="0" applyBorder="1" applyAlignment="1">
      <alignment horizontal="center"/>
    </xf>
    <xf numFmtId="0" fontId="69" fillId="0" borderId="1" xfId="1540" applyFont="1" applyBorder="1"/>
    <xf numFmtId="168" fontId="62" fillId="0" borderId="1" xfId="2" applyFont="1" applyBorder="1" applyProtection="1"/>
    <xf numFmtId="168" fontId="62" fillId="0" borderId="11" xfId="2" applyFont="1" applyBorder="1" applyProtection="1"/>
    <xf numFmtId="0" fontId="62" fillId="0" borderId="11" xfId="1540" applyFont="1" applyBorder="1"/>
    <xf numFmtId="169" fontId="62" fillId="0" borderId="1" xfId="1540" applyNumberFormat="1" applyFont="1" applyBorder="1"/>
    <xf numFmtId="169" fontId="62" fillId="0" borderId="11" xfId="1540" applyNumberFormat="1" applyFont="1" applyBorder="1"/>
    <xf numFmtId="171" fontId="30" fillId="63" borderId="1" xfId="1" applyNumberFormat="1" applyFont="1" applyFill="1" applyBorder="1" applyAlignment="1" applyProtection="1">
      <alignment horizontal="right"/>
    </xf>
    <xf numFmtId="171" fontId="0" fillId="63" borderId="1" xfId="1" applyNumberFormat="1" applyFont="1" applyFill="1" applyBorder="1" applyAlignment="1" applyProtection="1">
      <alignment horizontal="right"/>
    </xf>
    <xf numFmtId="0" fontId="9" fillId="0" borderId="0" xfId="3"/>
    <xf numFmtId="0" fontId="62" fillId="3" borderId="1" xfId="1540" applyFont="1" applyFill="1" applyBorder="1"/>
    <xf numFmtId="0" fontId="71" fillId="3" borderId="1" xfId="3" applyFont="1" applyFill="1" applyBorder="1" applyAlignment="1" applyProtection="1"/>
    <xf numFmtId="0" fontId="0" fillId="66"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2" fillId="0" borderId="1" xfId="1540" applyNumberFormat="1" applyFont="1" applyBorder="1"/>
    <xf numFmtId="0" fontId="0" fillId="67" borderId="0" xfId="0" applyFill="1"/>
    <xf numFmtId="0" fontId="0" fillId="68" borderId="0" xfId="0" applyFill="1"/>
    <xf numFmtId="0" fontId="0" fillId="69" borderId="0" xfId="0" applyFill="1"/>
    <xf numFmtId="168" fontId="0" fillId="57" borderId="1" xfId="1540" applyNumberFormat="1" applyFont="1" applyFill="1" applyBorder="1"/>
    <xf numFmtId="0" fontId="0" fillId="0" borderId="0" xfId="1540" applyFont="1" applyFill="1" applyBorder="1" applyAlignment="1">
      <alignment horizontal="center"/>
    </xf>
    <xf numFmtId="0" fontId="0" fillId="0" borderId="0" xfId="1540" applyFont="1" applyFill="1" applyBorder="1"/>
    <xf numFmtId="10" fontId="0" fillId="0" borderId="0" xfId="1540" applyNumberFormat="1" applyFont="1" applyFill="1" applyBorder="1"/>
    <xf numFmtId="9" fontId="0" fillId="0" borderId="0" xfId="1540" applyNumberFormat="1" applyFont="1" applyFill="1" applyBorder="1"/>
    <xf numFmtId="0" fontId="61" fillId="0" borderId="0" xfId="0" applyFont="1" applyFill="1" applyBorder="1" applyAlignment="1">
      <alignment horizontal="center"/>
    </xf>
    <xf numFmtId="0" fontId="0" fillId="0" borderId="0" xfId="0" applyFill="1"/>
    <xf numFmtId="0" fontId="0" fillId="0" borderId="0" xfId="1540" applyFont="1" applyFill="1"/>
    <xf numFmtId="0" fontId="0" fillId="65" borderId="0" xfId="0" applyFill="1"/>
    <xf numFmtId="0" fontId="61" fillId="65" borderId="0" xfId="0" applyFont="1" applyFill="1" applyAlignment="1">
      <alignment horizontal="center"/>
    </xf>
    <xf numFmtId="0" fontId="0" fillId="65" borderId="0" xfId="1540" applyFont="1" applyFill="1" applyBorder="1"/>
    <xf numFmtId="0" fontId="0" fillId="65" borderId="0" xfId="1540" applyFont="1" applyFill="1" applyBorder="1" applyAlignment="1">
      <alignment horizontal="center"/>
    </xf>
    <xf numFmtId="10" fontId="0" fillId="65" borderId="0" xfId="1540" applyNumberFormat="1" applyFont="1" applyFill="1" applyBorder="1"/>
    <xf numFmtId="9" fontId="0" fillId="65" borderId="0" xfId="1540" applyNumberFormat="1" applyFont="1" applyFill="1" applyBorder="1"/>
    <xf numFmtId="0" fontId="61" fillId="65" borderId="0" xfId="0" applyFont="1" applyFill="1" applyBorder="1" applyAlignment="1">
      <alignment horizontal="center"/>
    </xf>
    <xf numFmtId="0" fontId="0" fillId="65" borderId="0" xfId="1540" applyFont="1" applyFill="1" applyBorder="1" applyAlignment="1"/>
    <xf numFmtId="0" fontId="0" fillId="65" borderId="0" xfId="1540" applyFont="1" applyFill="1"/>
    <xf numFmtId="168" fontId="0" fillId="65" borderId="0" xfId="1540" applyNumberFormat="1" applyFont="1" applyFill="1"/>
    <xf numFmtId="0" fontId="0" fillId="70" borderId="0" xfId="0" applyFill="1"/>
    <xf numFmtId="168" fontId="48" fillId="0" borderId="1" xfId="2" applyBorder="1"/>
    <xf numFmtId="9" fontId="0" fillId="0" borderId="1" xfId="0" applyNumberFormat="1" applyBorder="1"/>
    <xf numFmtId="168" fontId="0" fillId="0" borderId="0" xfId="0" applyNumberFormat="1"/>
    <xf numFmtId="0" fontId="0" fillId="0" borderId="0" xfId="0"/>
    <xf numFmtId="0" fontId="0" fillId="0" borderId="11" xfId="0" applyFont="1" applyBorder="1"/>
    <xf numFmtId="0" fontId="0" fillId="0" borderId="12" xfId="0" applyFont="1" applyBorder="1"/>
    <xf numFmtId="0" fontId="0" fillId="0" borderId="3" xfId="0" applyFont="1" applyBorder="1"/>
    <xf numFmtId="0" fontId="74" fillId="3" borderId="1" xfId="1540" applyFont="1" applyFill="1" applyBorder="1"/>
    <xf numFmtId="166" fontId="75" fillId="0" borderId="1" xfId="0" applyNumberFormat="1" applyFont="1" applyBorder="1"/>
    <xf numFmtId="168" fontId="76" fillId="64" borderId="1" xfId="2" applyFont="1" applyFill="1" applyBorder="1" applyAlignment="1">
      <alignment horizontal="center"/>
    </xf>
    <xf numFmtId="0" fontId="25" fillId="56" borderId="1" xfId="1540" applyFont="1" applyFill="1" applyBorder="1"/>
    <xf numFmtId="166" fontId="77" fillId="0" borderId="1" xfId="0" applyNumberFormat="1" applyFont="1" applyBorder="1"/>
    <xf numFmtId="0" fontId="28" fillId="57" borderId="1" xfId="1540" applyFont="1" applyFill="1" applyBorder="1"/>
    <xf numFmtId="168" fontId="78" fillId="64" borderId="1" xfId="2" applyFont="1" applyFill="1" applyBorder="1" applyAlignment="1">
      <alignment horizontal="center"/>
    </xf>
    <xf numFmtId="3" fontId="79" fillId="71" borderId="1" xfId="0" applyNumberFormat="1" applyFont="1" applyFill="1" applyBorder="1"/>
    <xf numFmtId="168" fontId="80" fillId="65" borderId="1" xfId="2" applyFont="1" applyFill="1" applyBorder="1" applyAlignment="1">
      <alignment horizontal="center"/>
    </xf>
    <xf numFmtId="0" fontId="81" fillId="0" borderId="0" xfId="0" applyFont="1" applyAlignment="1">
      <alignment vertical="center"/>
    </xf>
    <xf numFmtId="0" fontId="0" fillId="0" borderId="0" xfId="0" applyAlignment="1">
      <alignment vertical="center"/>
    </xf>
    <xf numFmtId="0" fontId="82" fillId="0" borderId="0" xfId="0" applyFont="1" applyAlignment="1">
      <alignment vertical="center"/>
    </xf>
    <xf numFmtId="0" fontId="83" fillId="72" borderId="0" xfId="0" applyFont="1" applyFill="1" applyAlignment="1">
      <alignment vertical="center"/>
    </xf>
    <xf numFmtId="0" fontId="0" fillId="72" borderId="0" xfId="0" applyFill="1" applyAlignment="1">
      <alignment vertical="center"/>
    </xf>
    <xf numFmtId="0" fontId="84" fillId="0" borderId="0" xfId="0" applyFont="1" applyAlignment="1">
      <alignment vertical="center"/>
    </xf>
    <xf numFmtId="0" fontId="84" fillId="72" borderId="0" xfId="0" applyFont="1" applyFill="1" applyAlignment="1">
      <alignment vertical="center"/>
    </xf>
    <xf numFmtId="0" fontId="85" fillId="0" borderId="0" xfId="0" applyFont="1" applyAlignment="1">
      <alignment vertical="center"/>
    </xf>
    <xf numFmtId="0" fontId="85" fillId="72" borderId="0" xfId="0" applyFont="1" applyFill="1" applyAlignment="1">
      <alignment vertical="center"/>
    </xf>
    <xf numFmtId="178" fontId="0" fillId="0" borderId="1" xfId="0" applyNumberFormat="1" applyFont="1" applyBorder="1" applyAlignment="1">
      <alignment horizontal="right"/>
    </xf>
    <xf numFmtId="0" fontId="0" fillId="0" borderId="0" xfId="0"/>
    <xf numFmtId="0" fontId="61" fillId="0" borderId="1" xfId="0" applyFont="1" applyBorder="1" applyAlignment="1">
      <alignment horizontal="center"/>
    </xf>
    <xf numFmtId="0" fontId="61" fillId="0" borderId="1" xfId="0" applyFont="1" applyBorder="1" applyAlignment="1">
      <alignment horizontal="center" wrapText="1"/>
    </xf>
    <xf numFmtId="9" fontId="40" fillId="0" borderId="0" xfId="1540" applyNumberFormat="1" applyFont="1"/>
    <xf numFmtId="171" fontId="40" fillId="0" borderId="0" xfId="1540" applyNumberFormat="1" applyFont="1"/>
    <xf numFmtId="0" fontId="0" fillId="0" borderId="0" xfId="0"/>
    <xf numFmtId="0" fontId="61" fillId="0" borderId="0" xfId="0" applyFont="1" applyBorder="1" applyAlignment="1">
      <alignment horizontal="center"/>
    </xf>
    <xf numFmtId="0" fontId="61" fillId="0" borderId="0" xfId="0" applyFont="1" applyFill="1" applyBorder="1" applyAlignment="1">
      <alignment horizontal="center" vertical="center"/>
    </xf>
    <xf numFmtId="179" fontId="3" fillId="0" borderId="0" xfId="0" applyNumberFormat="1" applyFont="1" applyFill="1" applyBorder="1" applyAlignment="1">
      <alignment horizontal="right"/>
    </xf>
    <xf numFmtId="179" fontId="0" fillId="0" borderId="1" xfId="0" applyNumberFormat="1" applyFont="1" applyBorder="1"/>
    <xf numFmtId="0" fontId="86" fillId="0" borderId="0" xfId="0" applyFont="1"/>
    <xf numFmtId="0" fontId="7" fillId="0" borderId="1" xfId="1540" applyFont="1" applyBorder="1"/>
    <xf numFmtId="2" fontId="87" fillId="0" borderId="1" xfId="1540" applyNumberFormat="1" applyFont="1" applyBorder="1"/>
    <xf numFmtId="1" fontId="7" fillId="0" borderId="1" xfId="1540" applyNumberFormat="1" applyFont="1" applyBorder="1"/>
    <xf numFmtId="0" fontId="0" fillId="0" borderId="23" xfId="1540" applyFont="1" applyFill="1" applyBorder="1"/>
    <xf numFmtId="4" fontId="0" fillId="0" borderId="0" xfId="1540" applyNumberFormat="1" applyFont="1" applyBorder="1"/>
    <xf numFmtId="4" fontId="7" fillId="0" borderId="1" xfId="1540" applyNumberFormat="1" applyFont="1" applyBorder="1"/>
    <xf numFmtId="0" fontId="88" fillId="0" borderId="1" xfId="1540" applyFont="1" applyBorder="1"/>
    <xf numFmtId="4" fontId="88" fillId="0" borderId="1" xfId="1540" applyNumberFormat="1" applyFont="1" applyBorder="1"/>
    <xf numFmtId="4" fontId="88" fillId="0" borderId="0" xfId="1540" applyNumberFormat="1" applyFont="1" applyBorder="1"/>
    <xf numFmtId="2" fontId="0" fillId="0" borderId="8" xfId="1540" applyNumberFormat="1" applyFont="1" applyBorder="1"/>
    <xf numFmtId="2" fontId="4" fillId="0" borderId="1" xfId="1540" applyNumberFormat="1" applyFont="1" applyBorder="1"/>
    <xf numFmtId="167" fontId="7" fillId="0" borderId="1" xfId="1" applyFont="1" applyBorder="1" applyAlignment="1" applyProtection="1"/>
    <xf numFmtId="2" fontId="0" fillId="0" borderId="0" xfId="0" applyNumberFormat="1"/>
    <xf numFmtId="0" fontId="0" fillId="0" borderId="0" xfId="0"/>
    <xf numFmtId="0" fontId="0" fillId="0" borderId="0" xfId="0"/>
    <xf numFmtId="0" fontId="89" fillId="0" borderId="0" xfId="0" applyFont="1"/>
    <xf numFmtId="0" fontId="0" fillId="0" borderId="8" xfId="0" applyBorder="1"/>
    <xf numFmtId="0" fontId="0" fillId="0" borderId="1" xfId="0" applyFill="1" applyBorder="1"/>
    <xf numFmtId="4" fontId="0" fillId="0" borderId="1" xfId="0" applyNumberFormat="1" applyBorder="1"/>
    <xf numFmtId="0" fontId="54" fillId="0" borderId="0" xfId="0" applyFont="1"/>
    <xf numFmtId="0" fontId="91" fillId="73" borderId="24" xfId="7784" applyFont="1" applyFill="1" applyBorder="1" applyAlignment="1">
      <alignment horizontal="left" vertical="center"/>
    </xf>
    <xf numFmtId="0" fontId="91" fillId="73" borderId="24" xfId="7784" applyFont="1" applyFill="1" applyBorder="1" applyAlignment="1">
      <alignment horizontal="center" vertical="center"/>
    </xf>
    <xf numFmtId="0" fontId="91" fillId="73" borderId="24" xfId="7784" applyFont="1" applyFill="1" applyBorder="1" applyAlignment="1">
      <alignment horizontal="center" vertical="center" wrapText="1"/>
    </xf>
    <xf numFmtId="0" fontId="92" fillId="0" borderId="1" xfId="0" applyFont="1" applyFill="1" applyBorder="1"/>
    <xf numFmtId="0" fontId="92" fillId="0" borderId="1" xfId="0" applyFont="1" applyFill="1" applyBorder="1" applyAlignment="1">
      <alignment horizontal="left"/>
    </xf>
    <xf numFmtId="180" fontId="92" fillId="0" borderId="1" xfId="1" applyNumberFormat="1" applyFont="1" applyFill="1" applyBorder="1" applyAlignment="1">
      <alignment horizontal="center"/>
    </xf>
    <xf numFmtId="2" fontId="92" fillId="0" borderId="1" xfId="0" applyNumberFormat="1" applyFont="1" applyFill="1" applyBorder="1" applyAlignment="1">
      <alignment horizontal="center"/>
    </xf>
    <xf numFmtId="0" fontId="51" fillId="74" borderId="1" xfId="7785" applyFont="1" applyFill="1" applyBorder="1"/>
    <xf numFmtId="168" fontId="92" fillId="0" borderId="1" xfId="2" applyFont="1" applyFill="1" applyBorder="1" applyAlignment="1">
      <alignment horizontal="center"/>
    </xf>
    <xf numFmtId="168" fontId="51" fillId="74" borderId="1" xfId="2" applyFont="1" applyFill="1" applyBorder="1" applyAlignment="1">
      <alignment horizontal="center"/>
    </xf>
    <xf numFmtId="167" fontId="48" fillId="0" borderId="1" xfId="1" applyBorder="1"/>
    <xf numFmtId="0" fontId="92" fillId="0" borderId="1" xfId="0" applyFont="1" applyFill="1" applyBorder="1" applyAlignment="1">
      <alignment horizontal="center"/>
    </xf>
    <xf numFmtId="0" fontId="92" fillId="75" borderId="1" xfId="0" applyFont="1" applyFill="1" applyBorder="1" applyAlignment="1">
      <alignment vertical="top"/>
    </xf>
    <xf numFmtId="9" fontId="92" fillId="75" borderId="1" xfId="0" applyNumberFormat="1" applyFont="1" applyFill="1" applyBorder="1" applyAlignment="1">
      <alignment horizontal="center" vertical="top"/>
    </xf>
    <xf numFmtId="0" fontId="94" fillId="0" borderId="1" xfId="0" applyFont="1" applyBorder="1" applyAlignment="1">
      <alignment horizontal="right" vertical="top"/>
    </xf>
    <xf numFmtId="9" fontId="94" fillId="0" borderId="1" xfId="0" applyNumberFormat="1" applyFont="1" applyBorder="1" applyAlignment="1">
      <alignment horizontal="center" vertical="top"/>
    </xf>
    <xf numFmtId="9" fontId="94" fillId="0" borderId="1" xfId="0" applyNumberFormat="1" applyFont="1" applyFill="1" applyBorder="1" applyAlignment="1">
      <alignment horizontal="center" vertical="top"/>
    </xf>
    <xf numFmtId="0" fontId="92" fillId="75" borderId="1" xfId="0" applyFont="1" applyFill="1" applyBorder="1"/>
    <xf numFmtId="9" fontId="92" fillId="75" borderId="1" xfId="0" applyNumberFormat="1" applyFont="1" applyFill="1" applyBorder="1" applyAlignment="1">
      <alignment horizontal="center"/>
    </xf>
    <xf numFmtId="0" fontId="94" fillId="0" borderId="1" xfId="0" applyFont="1" applyFill="1" applyBorder="1" applyAlignment="1">
      <alignment horizontal="right"/>
    </xf>
    <xf numFmtId="9" fontId="94" fillId="0" borderId="1" xfId="0" applyNumberFormat="1" applyFont="1" applyFill="1" applyBorder="1" applyAlignment="1">
      <alignment horizontal="center"/>
    </xf>
    <xf numFmtId="0" fontId="95" fillId="0" borderId="0" xfId="0" applyFont="1" applyFill="1"/>
    <xf numFmtId="0" fontId="95" fillId="0" borderId="0" xfId="0" applyFont="1" applyFill="1" applyAlignment="1">
      <alignment vertical="top"/>
    </xf>
    <xf numFmtId="0" fontId="92" fillId="0" borderId="0" xfId="0" applyFont="1" applyFill="1" applyAlignment="1">
      <alignment horizontal="center" vertical="top"/>
    </xf>
    <xf numFmtId="2" fontId="92" fillId="0" borderId="1" xfId="1" applyNumberFormat="1" applyFont="1" applyBorder="1" applyAlignment="1">
      <alignment horizontal="center" vertical="top"/>
    </xf>
    <xf numFmtId="178" fontId="0" fillId="0" borderId="1" xfId="1" applyNumberFormat="1" applyFont="1" applyBorder="1"/>
    <xf numFmtId="0" fontId="51" fillId="76" borderId="25" xfId="0" applyFont="1" applyFill="1" applyBorder="1" applyAlignment="1">
      <alignment horizontal="left" vertical="center"/>
    </xf>
    <xf numFmtId="0" fontId="96" fillId="76" borderId="25" xfId="0" applyFont="1" applyFill="1" applyBorder="1" applyAlignment="1">
      <alignment horizontal="center" vertical="center" wrapText="1"/>
    </xf>
    <xf numFmtId="0" fontId="97" fillId="0" borderId="1" xfId="0" applyFont="1" applyBorder="1"/>
    <xf numFmtId="167" fontId="51" fillId="0" borderId="25" xfId="1" applyFont="1" applyFill="1" applyBorder="1" applyAlignment="1">
      <alignment vertical="center"/>
    </xf>
    <xf numFmtId="0" fontId="97" fillId="0" borderId="0" xfId="0" applyFont="1" applyBorder="1"/>
    <xf numFmtId="175" fontId="51" fillId="0" borderId="1" xfId="0" applyNumberFormat="1" applyFont="1" applyFill="1" applyBorder="1" applyAlignment="1">
      <alignment vertical="center"/>
    </xf>
    <xf numFmtId="0" fontId="51" fillId="0" borderId="24" xfId="0" applyFont="1" applyFill="1" applyBorder="1" applyAlignment="1">
      <alignment vertical="center"/>
    </xf>
    <xf numFmtId="3" fontId="51" fillId="0" borderId="24" xfId="0" applyNumberFormat="1" applyFont="1" applyFill="1" applyBorder="1" applyAlignment="1">
      <alignment vertical="center"/>
    </xf>
    <xf numFmtId="0" fontId="0" fillId="0" borderId="1" xfId="0" applyBorder="1" applyAlignment="1"/>
    <xf numFmtId="2" fontId="0" fillId="0" borderId="1" xfId="0" applyNumberFormat="1" applyBorder="1" applyAlignment="1"/>
    <xf numFmtId="167" fontId="51" fillId="0" borderId="25" xfId="1" applyFont="1" applyFill="1" applyBorder="1" applyAlignment="1">
      <alignment horizontal="center" vertical="center"/>
    </xf>
    <xf numFmtId="3" fontId="51" fillId="0" borderId="25" xfId="0" applyNumberFormat="1" applyFont="1" applyFill="1" applyBorder="1" applyAlignment="1">
      <alignment horizontal="center" vertical="center"/>
    </xf>
    <xf numFmtId="181" fontId="0" fillId="0" borderId="0" xfId="0" applyNumberFormat="1"/>
    <xf numFmtId="2" fontId="51" fillId="0" borderId="0" xfId="0" applyNumberFormat="1" applyFont="1" applyFill="1"/>
    <xf numFmtId="175" fontId="60" fillId="0" borderId="1" xfId="0" applyNumberFormat="1" applyFont="1" applyBorder="1" applyAlignment="1">
      <alignment horizontal="right"/>
    </xf>
    <xf numFmtId="10" fontId="0" fillId="0" borderId="0" xfId="0" applyNumberFormat="1"/>
    <xf numFmtId="0" fontId="98" fillId="0" borderId="1" xfId="0" applyFont="1" applyBorder="1"/>
    <xf numFmtId="0" fontId="0" fillId="77" borderId="0" xfId="0" applyFill="1" applyBorder="1" applyAlignment="1">
      <alignment horizontal="center"/>
    </xf>
    <xf numFmtId="0" fontId="0" fillId="77" borderId="1" xfId="0" applyFill="1" applyBorder="1"/>
    <xf numFmtId="1" fontId="0" fillId="77" borderId="1" xfId="0" applyNumberFormat="1" applyFill="1" applyBorder="1"/>
    <xf numFmtId="168" fontId="0" fillId="50" borderId="0" xfId="1540" applyNumberFormat="1" applyFont="1" applyFill="1" applyBorder="1"/>
    <xf numFmtId="169" fontId="0" fillId="16" borderId="0" xfId="1540" applyNumberFormat="1" applyFont="1" applyFill="1" applyBorder="1"/>
    <xf numFmtId="168" fontId="0" fillId="0" borderId="0" xfId="1540" applyNumberFormat="1" applyFont="1" applyBorder="1"/>
    <xf numFmtId="0" fontId="0" fillId="0" borderId="0" xfId="0"/>
    <xf numFmtId="0" fontId="0" fillId="0" borderId="1" xfId="1540" applyFont="1" applyBorder="1"/>
    <xf numFmtId="2" fontId="0" fillId="0" borderId="1" xfId="1540" applyNumberFormat="1" applyFont="1" applyBorder="1"/>
    <xf numFmtId="0" fontId="0" fillId="55" borderId="1" xfId="1540" applyFont="1" applyFill="1" applyBorder="1"/>
    <xf numFmtId="166" fontId="60" fillId="0" borderId="1" xfId="0" applyNumberFormat="1" applyFont="1" applyBorder="1" applyAlignment="1">
      <alignment horizontal="right"/>
    </xf>
    <xf numFmtId="166" fontId="59" fillId="61" borderId="1" xfId="0" applyNumberFormat="1" applyFont="1" applyFill="1" applyBorder="1" applyAlignment="1">
      <alignment horizontal="right"/>
    </xf>
    <xf numFmtId="166" fontId="57" fillId="62" borderId="1" xfId="0" applyNumberFormat="1" applyFont="1" applyFill="1" applyBorder="1" applyAlignment="1">
      <alignment horizontal="right"/>
    </xf>
    <xf numFmtId="166" fontId="0" fillId="0" borderId="0" xfId="0" applyNumberFormat="1"/>
    <xf numFmtId="1" fontId="0" fillId="0" borderId="11" xfId="1540" applyNumberFormat="1" applyFont="1" applyBorder="1"/>
    <xf numFmtId="0" fontId="64" fillId="0" borderId="1" xfId="0" applyFont="1" applyBorder="1" applyAlignment="1">
      <alignment wrapText="1"/>
    </xf>
    <xf numFmtId="0" fontId="65" fillId="0" borderId="1" xfId="0" applyFont="1" applyBorder="1"/>
    <xf numFmtId="0" fontId="0" fillId="0" borderId="0" xfId="0"/>
    <xf numFmtId="169" fontId="48" fillId="0" borderId="1" xfId="2" applyNumberFormat="1" applyBorder="1"/>
    <xf numFmtId="0" fontId="0" fillId="55" borderId="0" xfId="1540" applyFont="1" applyFill="1" applyBorder="1"/>
    <xf numFmtId="0" fontId="0" fillId="78" borderId="0" xfId="0" applyFill="1"/>
    <xf numFmtId="0" fontId="0" fillId="0" borderId="1" xfId="0" applyBorder="1" applyAlignment="1">
      <alignment horizontal="center"/>
    </xf>
    <xf numFmtId="0" fontId="99" fillId="79" borderId="0" xfId="7793" applyFont="1" applyFill="1"/>
    <xf numFmtId="0" fontId="100" fillId="79" borderId="0" xfId="7793" applyFont="1" applyFill="1" applyAlignment="1">
      <alignment horizontal="center"/>
    </xf>
    <xf numFmtId="0" fontId="101" fillId="79" borderId="0" xfId="7793" applyFont="1" applyFill="1"/>
    <xf numFmtId="0" fontId="102" fillId="64" borderId="0" xfId="7793" applyFont="1" applyFill="1"/>
    <xf numFmtId="0" fontId="103" fillId="64" borderId="0" xfId="7793" applyFont="1" applyFill="1"/>
    <xf numFmtId="0" fontId="105" fillId="64" borderId="0" xfId="7793" applyFont="1" applyFill="1" applyAlignment="1">
      <alignment horizontal="left"/>
    </xf>
    <xf numFmtId="0" fontId="106" fillId="64" borderId="0" xfId="7793" applyFont="1" applyFill="1" applyAlignment="1">
      <alignment horizontal="left"/>
    </xf>
    <xf numFmtId="0" fontId="107" fillId="64" borderId="0" xfId="7793" applyFont="1" applyFill="1"/>
    <xf numFmtId="0" fontId="105" fillId="64" borderId="0" xfId="7793" applyFont="1" applyFill="1"/>
    <xf numFmtId="0" fontId="108" fillId="80" borderId="0" xfId="7793" applyFont="1" applyFill="1"/>
    <xf numFmtId="0" fontId="109" fillId="80" borderId="0" xfId="7793" applyFont="1" applyFill="1"/>
    <xf numFmtId="0" fontId="80" fillId="64" borderId="0" xfId="7793" applyFont="1" applyFill="1"/>
    <xf numFmtId="0" fontId="110" fillId="0" borderId="0" xfId="7793" applyFont="1" applyAlignment="1">
      <alignment horizontal="center" vertical="center" wrapText="1"/>
    </xf>
    <xf numFmtId="0" fontId="112" fillId="0" borderId="1" xfId="7793" applyFont="1" applyBorder="1" applyAlignment="1">
      <alignment horizontal="center"/>
    </xf>
    <xf numFmtId="0" fontId="76" fillId="64" borderId="0" xfId="7793" applyFont="1" applyFill="1" applyAlignment="1">
      <alignment horizontal="center" vertical="center"/>
    </xf>
    <xf numFmtId="0" fontId="113" fillId="64" borderId="1" xfId="7793" applyFont="1" applyFill="1" applyBorder="1" applyAlignment="1">
      <alignment horizontal="center" vertical="center" wrapText="1"/>
    </xf>
    <xf numFmtId="0" fontId="114" fillId="81" borderId="1" xfId="7793" applyFont="1" applyFill="1" applyBorder="1"/>
    <xf numFmtId="0" fontId="79" fillId="0" borderId="1" xfId="7793" applyFont="1" applyBorder="1"/>
    <xf numFmtId="166" fontId="75" fillId="0" borderId="1" xfId="7793" applyNumberFormat="1" applyFont="1" applyBorder="1"/>
    <xf numFmtId="0" fontId="114" fillId="64" borderId="0" xfId="7793" applyFont="1" applyFill="1"/>
    <xf numFmtId="9" fontId="76" fillId="64" borderId="1" xfId="7794" applyFont="1" applyFill="1" applyBorder="1" applyAlignment="1">
      <alignment horizontal="center"/>
    </xf>
    <xf numFmtId="0" fontId="114" fillId="58" borderId="1" xfId="7793" applyFont="1" applyFill="1" applyBorder="1"/>
    <xf numFmtId="0" fontId="115" fillId="58" borderId="1" xfId="7793" applyFont="1" applyFill="1" applyBorder="1"/>
    <xf numFmtId="0" fontId="114" fillId="82" borderId="1" xfId="7793" applyFont="1" applyFill="1" applyBorder="1"/>
    <xf numFmtId="0" fontId="114" fillId="83" borderId="1" xfId="7793" applyFont="1" applyFill="1" applyBorder="1"/>
    <xf numFmtId="1" fontId="75" fillId="0" borderId="1" xfId="7793" applyNumberFormat="1" applyFont="1" applyBorder="1"/>
    <xf numFmtId="0" fontId="114" fillId="84" borderId="1" xfId="7793" applyFont="1" applyFill="1" applyBorder="1"/>
    <xf numFmtId="0" fontId="114" fillId="85" borderId="1" xfId="7793" applyFont="1" applyFill="1" applyBorder="1"/>
    <xf numFmtId="0" fontId="115" fillId="85" borderId="1" xfId="7793" applyFont="1" applyFill="1" applyBorder="1"/>
    <xf numFmtId="0" fontId="116" fillId="65" borderId="1" xfId="7793" applyFont="1" applyFill="1" applyBorder="1"/>
    <xf numFmtId="0" fontId="117" fillId="0" borderId="1" xfId="7793" applyFont="1" applyBorder="1"/>
    <xf numFmtId="166" fontId="77" fillId="0" borderId="1" xfId="7793" applyNumberFormat="1" applyFont="1" applyBorder="1"/>
    <xf numFmtId="0" fontId="116" fillId="64" borderId="0" xfId="7793" applyFont="1" applyFill="1"/>
    <xf numFmtId="9" fontId="78" fillId="64" borderId="1" xfId="7794" applyFont="1" applyFill="1" applyBorder="1" applyAlignment="1">
      <alignment horizontal="center"/>
    </xf>
    <xf numFmtId="0" fontId="114" fillId="86" borderId="1" xfId="7793" applyFont="1" applyFill="1" applyBorder="1"/>
    <xf numFmtId="0" fontId="79" fillId="71" borderId="1" xfId="7793" applyFont="1" applyFill="1" applyBorder="1"/>
    <xf numFmtId="3" fontId="79" fillId="71" borderId="1" xfId="7793" applyNumberFormat="1" applyFont="1" applyFill="1" applyBorder="1"/>
    <xf numFmtId="0" fontId="115" fillId="86" borderId="1" xfId="7793" applyFont="1" applyFill="1" applyBorder="1"/>
    <xf numFmtId="9" fontId="80" fillId="65" borderId="1" xfId="7794" applyFont="1" applyFill="1" applyBorder="1" applyAlignment="1">
      <alignment horizontal="center"/>
    </xf>
    <xf numFmtId="0" fontId="114" fillId="87" borderId="1" xfId="7793" applyFont="1" applyFill="1" applyBorder="1"/>
    <xf numFmtId="0" fontId="113" fillId="86" borderId="1" xfId="7793" applyFont="1" applyFill="1" applyBorder="1"/>
    <xf numFmtId="0" fontId="113" fillId="64" borderId="0" xfId="7793" applyFont="1" applyFill="1"/>
    <xf numFmtId="0" fontId="118" fillId="86" borderId="1" xfId="7793" applyFont="1" applyFill="1" applyBorder="1"/>
    <xf numFmtId="0" fontId="108" fillId="64" borderId="0" xfId="7793" applyFont="1" applyFill="1"/>
    <xf numFmtId="0" fontId="119" fillId="0" borderId="0" xfId="7793" applyFont="1" applyAlignment="1">
      <alignment horizontal="center"/>
    </xf>
    <xf numFmtId="0" fontId="109" fillId="64" borderId="0" xfId="7793" applyFont="1" applyFill="1"/>
    <xf numFmtId="0" fontId="120" fillId="0" borderId="0" xfId="7793" applyFont="1" applyAlignment="1">
      <alignment horizontal="center"/>
    </xf>
    <xf numFmtId="166" fontId="0" fillId="0" borderId="1" xfId="0" applyNumberFormat="1" applyBorder="1"/>
    <xf numFmtId="0" fontId="0" fillId="0" borderId="0" xfId="0"/>
    <xf numFmtId="0" fontId="0" fillId="0" borderId="0" xfId="0"/>
    <xf numFmtId="182" fontId="0" fillId="46" borderId="1" xfId="1540" applyNumberFormat="1" applyFont="1" applyFill="1" applyBorder="1"/>
    <xf numFmtId="0" fontId="0" fillId="0" borderId="1" xfId="0" applyBorder="1" applyAlignment="1">
      <alignment horizontal="center" vertical="center" wrapText="1"/>
    </xf>
    <xf numFmtId="10" fontId="0" fillId="88" borderId="1" xfId="1540" applyNumberFormat="1" applyFont="1" applyFill="1" applyBorder="1"/>
    <xf numFmtId="0" fontId="0" fillId="0" borderId="0" xfId="0"/>
    <xf numFmtId="0" fontId="92" fillId="0" borderId="1" xfId="0" applyFont="1" applyFill="1" applyBorder="1" applyAlignment="1">
      <alignment horizontal="center"/>
    </xf>
    <xf numFmtId="0" fontId="0" fillId="0" borderId="0" xfId="0"/>
    <xf numFmtId="167" fontId="48" fillId="0" borderId="1" xfId="1" applyBorder="1" applyAlignment="1">
      <alignment horizontal="center" vertical="center"/>
    </xf>
    <xf numFmtId="2" fontId="92" fillId="0" borderId="1" xfId="0" applyNumberFormat="1" applyFont="1" applyFill="1" applyBorder="1" applyAlignment="1">
      <alignment horizontal="center" vertical="center"/>
    </xf>
    <xf numFmtId="0" fontId="0" fillId="89" borderId="26" xfId="0" applyFill="1" applyBorder="1" applyAlignment="1">
      <alignment horizontal="center"/>
    </xf>
    <xf numFmtId="0" fontId="12" fillId="33" borderId="0" xfId="1540" applyFont="1" applyFill="1" applyBorder="1" applyAlignment="1">
      <alignment horizontal="center" vertical="center"/>
    </xf>
    <xf numFmtId="0" fontId="0" fillId="0" borderId="0" xfId="0"/>
    <xf numFmtId="0" fontId="73" fillId="0" borderId="0" xfId="0" applyFont="1"/>
    <xf numFmtId="0" fontId="72" fillId="0" borderId="0" xfId="0" applyFont="1" applyAlignment="1">
      <alignment horizontal="center"/>
    </xf>
    <xf numFmtId="0" fontId="12" fillId="33" borderId="0" xfId="0" applyFont="1" applyFill="1" applyAlignment="1">
      <alignment horizontal="center" vertical="center"/>
    </xf>
    <xf numFmtId="0" fontId="47" fillId="33" borderId="0" xfId="0" applyFont="1" applyFill="1" applyAlignment="1">
      <alignment horizontal="center"/>
    </xf>
    <xf numFmtId="0" fontId="55" fillId="0" borderId="0" xfId="0" applyFont="1" applyAlignment="1">
      <alignment horizontal="center" vertical="center"/>
    </xf>
    <xf numFmtId="0" fontId="56"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57" fillId="0" borderId="8" xfId="0" applyFont="1" applyBorder="1" applyAlignment="1">
      <alignment horizontal="center" vertical="center" wrapText="1"/>
    </xf>
    <xf numFmtId="0" fontId="57" fillId="0" borderId="5" xfId="0" applyFont="1" applyBorder="1" applyAlignment="1">
      <alignment horizontal="center" vertical="center" wrapText="1"/>
    </xf>
    <xf numFmtId="0" fontId="57" fillId="0" borderId="11" xfId="0" applyFont="1" applyBorder="1" applyAlignment="1">
      <alignment horizontal="center" vertical="center" wrapText="1"/>
    </xf>
    <xf numFmtId="0" fontId="57" fillId="0" borderId="12" xfId="0" applyFont="1" applyBorder="1" applyAlignment="1">
      <alignment horizontal="center" vertical="center" wrapText="1"/>
    </xf>
    <xf numFmtId="0" fontId="57" fillId="0" borderId="3" xfId="0" applyFont="1" applyBorder="1" applyAlignment="1">
      <alignment horizontal="center" vertical="center" wrapText="1"/>
    </xf>
    <xf numFmtId="0" fontId="56" fillId="0" borderId="8" xfId="0" applyFont="1" applyBorder="1" applyAlignment="1">
      <alignment horizontal="center" vertical="center" wrapText="1"/>
    </xf>
    <xf numFmtId="0" fontId="56" fillId="0" borderId="5" xfId="0" applyFont="1" applyBorder="1" applyAlignment="1">
      <alignment horizontal="center" vertic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1" fillId="0" borderId="11" xfId="1540" applyFont="1" applyBorder="1" applyAlignment="1">
      <alignment horizontal="center"/>
    </xf>
    <xf numFmtId="0" fontId="61" fillId="0" borderId="12" xfId="1540" applyFont="1" applyBorder="1" applyAlignment="1">
      <alignment horizontal="center"/>
    </xf>
    <xf numFmtId="0" fontId="61" fillId="0" borderId="3" xfId="1540" applyFont="1" applyBorder="1" applyAlignment="1">
      <alignment horizontal="center"/>
    </xf>
    <xf numFmtId="0" fontId="0" fillId="0" borderId="0" xfId="0" applyAlignment="1">
      <alignment horizontal="center"/>
    </xf>
    <xf numFmtId="0" fontId="72" fillId="40" borderId="0" xfId="1540" applyFont="1" applyFill="1" applyBorder="1" applyAlignment="1">
      <alignment horizontal="center"/>
    </xf>
    <xf numFmtId="0" fontId="61" fillId="64" borderId="1" xfId="0" applyFont="1" applyFill="1" applyBorder="1" applyAlignment="1">
      <alignment horizontal="center" wrapText="1"/>
    </xf>
    <xf numFmtId="0" fontId="0" fillId="39" borderId="11" xfId="1540" applyFont="1" applyFill="1" applyBorder="1" applyAlignment="1">
      <alignment horizontal="center"/>
    </xf>
    <xf numFmtId="0" fontId="0" fillId="39" borderId="12" xfId="1540" applyFont="1" applyFill="1" applyBorder="1" applyAlignment="1">
      <alignment horizontal="center"/>
    </xf>
    <xf numFmtId="0" fontId="0" fillId="39" borderId="3" xfId="1540" applyFont="1" applyFill="1" applyBorder="1" applyAlignment="1">
      <alignment horizontal="center"/>
    </xf>
    <xf numFmtId="0" fontId="0" fillId="39" borderId="1" xfId="1540" applyFont="1" applyFill="1" applyBorder="1" applyAlignment="1">
      <alignment horizontal="center"/>
    </xf>
    <xf numFmtId="0" fontId="0" fillId="40" borderId="1" xfId="1540" applyFont="1" applyFill="1" applyBorder="1" applyAlignment="1">
      <alignment horizontal="center"/>
    </xf>
    <xf numFmtId="0" fontId="61" fillId="0" borderId="0" xfId="0" applyFont="1" applyAlignment="1">
      <alignment horizontal="center"/>
    </xf>
    <xf numFmtId="0" fontId="61" fillId="0" borderId="22" xfId="0" applyFont="1" applyBorder="1" applyAlignment="1">
      <alignment horizontal="center"/>
    </xf>
    <xf numFmtId="0" fontId="0" fillId="0" borderId="22" xfId="0" applyBorder="1" applyAlignment="1">
      <alignment horizontal="center"/>
    </xf>
    <xf numFmtId="0" fontId="61" fillId="0" borderId="1" xfId="0" applyFont="1" applyFill="1" applyBorder="1" applyAlignment="1">
      <alignment horizontal="center" wrapText="1"/>
    </xf>
    <xf numFmtId="0" fontId="0" fillId="38" borderId="0" xfId="1540" applyFont="1" applyFill="1" applyAlignment="1">
      <alignment horizontal="center" vertical="top"/>
    </xf>
    <xf numFmtId="0" fontId="0" fillId="0" borderId="1" xfId="0" applyBorder="1" applyAlignment="1">
      <alignment horizontal="center"/>
    </xf>
    <xf numFmtId="0" fontId="61" fillId="0" borderId="11" xfId="0" applyFont="1" applyBorder="1" applyAlignment="1">
      <alignment horizontal="center"/>
    </xf>
    <xf numFmtId="0" fontId="61" fillId="0" borderId="12" xfId="0" applyFont="1" applyBorder="1" applyAlignment="1">
      <alignment horizontal="center"/>
    </xf>
    <xf numFmtId="0" fontId="61" fillId="0" borderId="3" xfId="0" applyFont="1" applyBorder="1" applyAlignment="1">
      <alignment horizontal="center"/>
    </xf>
    <xf numFmtId="0" fontId="92" fillId="0" borderId="1" xfId="0" applyFont="1" applyFill="1" applyBorder="1" applyAlignment="1">
      <alignment horizontal="center"/>
    </xf>
    <xf numFmtId="0" fontId="63" fillId="0" borderId="1" xfId="1540" applyFont="1" applyBorder="1" applyAlignment="1">
      <alignment horizontal="center"/>
    </xf>
    <xf numFmtId="0" fontId="0" fillId="38" borderId="12" xfId="1540" applyFont="1" applyFill="1" applyBorder="1" applyAlignment="1">
      <alignment horizontal="center" vertical="top"/>
    </xf>
    <xf numFmtId="0" fontId="61" fillId="0" borderId="1" xfId="0" applyFont="1" applyBorder="1" applyAlignment="1">
      <alignment horizontal="center" wrapText="1"/>
    </xf>
    <xf numFmtId="0" fontId="61" fillId="0" borderId="1" xfId="0" applyFont="1" applyBorder="1" applyAlignment="1">
      <alignment horizontal="center"/>
    </xf>
    <xf numFmtId="0" fontId="67" fillId="0" borderId="0" xfId="0" applyFont="1" applyAlignment="1">
      <alignment horizontal="center" vertical="center"/>
    </xf>
    <xf numFmtId="0" fontId="0" fillId="52" borderId="0" xfId="1540" applyFont="1" applyFill="1" applyBorder="1" applyAlignment="1">
      <alignment horizontal="center"/>
    </xf>
    <xf numFmtId="0" fontId="0" fillId="56" borderId="0" xfId="1540" applyFont="1" applyFill="1" applyBorder="1" applyAlignment="1">
      <alignment horizontal="center"/>
    </xf>
    <xf numFmtId="0" fontId="61" fillId="77" borderId="1" xfId="0" applyFont="1" applyFill="1" applyBorder="1" applyAlignment="1">
      <alignment horizontal="center"/>
    </xf>
    <xf numFmtId="0" fontId="0" fillId="40" borderId="0" xfId="1540" applyFont="1" applyFill="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0" borderId="6" xfId="1540" applyFont="1" applyBorder="1" applyAlignment="1">
      <alignment horizontal="center"/>
    </xf>
    <xf numFmtId="0" fontId="0" fillId="51" borderId="4" xfId="1540" applyFont="1" applyFill="1" applyBorder="1" applyAlignment="1">
      <alignment horizontal="center"/>
    </xf>
    <xf numFmtId="0" fontId="0" fillId="0" borderId="4" xfId="1540" applyFont="1" applyBorder="1" applyAlignment="1">
      <alignment horizontal="center"/>
    </xf>
    <xf numFmtId="0" fontId="0" fillId="40" borderId="21" xfId="1540" applyFont="1" applyFill="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61" fillId="0" borderId="0" xfId="1540" applyFont="1" applyBorder="1" applyAlignment="1">
      <alignment horizontal="center"/>
    </xf>
    <xf numFmtId="0" fontId="61" fillId="0" borderId="1" xfId="1540" applyFont="1" applyBorder="1" applyAlignment="1">
      <alignment horizontal="center"/>
    </xf>
    <xf numFmtId="0" fontId="31" fillId="50" borderId="0" xfId="1540" applyFont="1" applyFill="1" applyBorder="1" applyAlignment="1">
      <alignment horizontal="center" vertical="center"/>
    </xf>
    <xf numFmtId="0" fontId="20" fillId="3" borderId="7" xfId="1540" applyFont="1" applyFill="1" applyBorder="1" applyAlignment="1">
      <alignment horizontal="center" vertical="center" wrapText="1"/>
    </xf>
    <xf numFmtId="0" fontId="21" fillId="0" borderId="1" xfId="1540" applyFont="1" applyBorder="1" applyAlignment="1">
      <alignment horizontal="center" vertical="center" wrapText="1"/>
    </xf>
    <xf numFmtId="0" fontId="39" fillId="0" borderId="1" xfId="1540" applyFont="1" applyBorder="1" applyAlignment="1">
      <alignment horizontal="center" vertical="center" wrapText="1"/>
    </xf>
    <xf numFmtId="0" fontId="104" fillId="64" borderId="0" xfId="7793" applyFont="1" applyFill="1" applyAlignment="1">
      <alignment horizontal="left"/>
    </xf>
    <xf numFmtId="0" fontId="105" fillId="64" borderId="0" xfId="7793" applyFont="1" applyFill="1" applyAlignment="1">
      <alignment horizontal="left"/>
    </xf>
  </cellXfs>
  <cellStyles count="7795">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2 3" xfId="7787"/>
    <cellStyle name="60 % - Accent1 11 3" xfId="745"/>
    <cellStyle name="60 % - Accent1 11 3 2" xfId="746"/>
    <cellStyle name="60 % - Accent1 11 3 3" xfId="7788"/>
    <cellStyle name="60 % - Accent1 11 4" xfId="747"/>
    <cellStyle name="60 % - Accent1 11 4 2" xfId="748"/>
    <cellStyle name="60 % - Accent1 11 5" xfId="749"/>
    <cellStyle name="60 % - Accent1 11 6" xfId="7786"/>
    <cellStyle name="60 % - Accent1 12" xfId="750"/>
    <cellStyle name="60 % - Accent1 12 2" xfId="751"/>
    <cellStyle name="60 % - Accent1 12 2 2" xfId="752"/>
    <cellStyle name="60 % - Accent1 12 2 3" xfId="7790"/>
    <cellStyle name="60 % - Accent1 12 3" xfId="753"/>
    <cellStyle name="60 % - Accent1 12 3 2" xfId="754"/>
    <cellStyle name="60 % - Accent1 12 4" xfId="755"/>
    <cellStyle name="60 % - Accent1 12 5" xfId="7789"/>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Excel Built-in Explanatory Text" xfId="7784"/>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5" xfId="7791"/>
    <cellStyle name="Normal 276" xfId="7793"/>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al_Annexes C_exII_2_v0" xfId="7785"/>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18" xfId="7792"/>
    <cellStyle name="Pourcentage 19" xfId="779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827">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3048-4153-A6D1-9A35FE67E46D}"/>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3048-4153-A6D1-9A35FE67E46D}"/>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3048-4153-A6D1-9A35FE67E46D}"/>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3048-4153-A6D1-9A35FE67E46D}"/>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3048-4153-A6D1-9A35FE67E46D}"/>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3048-4153-A6D1-9A35FE67E46D}"/>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3048-4153-A6D1-9A35FE67E46D}"/>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3048-4153-A6D1-9A35FE67E46D}"/>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3048-4153-A6D1-9A35FE67E46D}"/>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3048-4153-A6D1-9A35FE67E46D}"/>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Energie'!$A$36:$A$46</c15:sqref>
                  </c15:fullRef>
                </c:ext>
              </c:extLst>
              <c:f>'Prod Energie'!$A$37:$A$46</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Energie'!$C$36:$C$46</c15:sqref>
                  </c15:fullRef>
                </c:ext>
              </c:extLst>
              <c:f>'Prod Energie'!$C$37:$C$46</c:f>
              <c:numCache>
                <c:formatCode>0\ %</c:formatCode>
                <c:ptCount val="10"/>
                <c:pt idx="0">
                  <c:v>0.45400000000000001</c:v>
                </c:pt>
                <c:pt idx="1">
                  <c:v>0.36699999999999999</c:v>
                </c:pt>
                <c:pt idx="2">
                  <c:v>3.5000000000000003E-2</c:v>
                </c:pt>
                <c:pt idx="3">
                  <c:v>0</c:v>
                </c:pt>
                <c:pt idx="4">
                  <c:v>0</c:v>
                </c:pt>
                <c:pt idx="5">
                  <c:v>2E-3</c:v>
                </c:pt>
                <c:pt idx="6">
                  <c:v>2E-3</c:v>
                </c:pt>
                <c:pt idx="7">
                  <c:v>1.7000000000000001E-2</c:v>
                </c:pt>
                <c:pt idx="8">
                  <c:v>8.5000000000000006E-2</c:v>
                </c:pt>
                <c:pt idx="9">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3048-4153-A6D1-9A35FE67E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912888452520136E-2"/>
          <c:y val="6.7130443646000557E-2"/>
          <c:w val="0.9045126701246019"/>
          <c:h val="0.76366740565196345"/>
        </c:manualLayout>
      </c:layout>
      <c:areaChart>
        <c:grouping val="stacked"/>
        <c:varyColors val="0"/>
        <c:ser>
          <c:idx val="0"/>
          <c:order val="0"/>
          <c:tx>
            <c:strRef>
              <c:f>HFC!$B$7</c:f>
              <c:strCache>
                <c:ptCount val="1"/>
                <c:pt idx="0">
                  <c:v>Industrie de l'énergie</c:v>
                </c:pt>
              </c:strCache>
            </c:strRef>
          </c:tx>
          <c:spPr>
            <a:solidFill>
              <a:schemeClr val="tx2">
                <a:lumMod val="20000"/>
                <a:lumOff val="80000"/>
              </a:schemeClr>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HFC!$C$7:$AF$7</c:f>
              <c:numCache>
                <c:formatCode>0.0</c:formatCode>
                <c:ptCount val="30"/>
                <c:pt idx="0">
                  <c:v>0</c:v>
                </c:pt>
                <c:pt idx="1">
                  <c:v>0</c:v>
                </c:pt>
                <c:pt idx="2">
                  <c:v>0</c:v>
                </c:pt>
                <c:pt idx="3">
                  <c:v>0</c:v>
                </c:pt>
                <c:pt idx="4">
                  <c:v>0</c:v>
                </c:pt>
                <c:pt idx="5">
                  <c:v>0.84173203957421494</c:v>
                </c:pt>
                <c:pt idx="6">
                  <c:v>3.7998189215064571</c:v>
                </c:pt>
                <c:pt idx="7">
                  <c:v>6.7579058034386978</c:v>
                </c:pt>
                <c:pt idx="8">
                  <c:v>9.7159926853709386</c:v>
                </c:pt>
                <c:pt idx="9">
                  <c:v>12.674079567303183</c:v>
                </c:pt>
                <c:pt idx="10">
                  <c:v>15.632166449235424</c:v>
                </c:pt>
                <c:pt idx="11">
                  <c:v>20.086131412925269</c:v>
                </c:pt>
                <c:pt idx="12">
                  <c:v>24.116825408143509</c:v>
                </c:pt>
                <c:pt idx="13">
                  <c:v>27.724248434890143</c:v>
                </c:pt>
                <c:pt idx="14">
                  <c:v>30.427199120781403</c:v>
                </c:pt>
                <c:pt idx="15">
                  <c:v>33.494990958174199</c:v>
                </c:pt>
                <c:pt idx="16">
                  <c:v>40.323371160280942</c:v>
                </c:pt>
                <c:pt idx="17">
                  <c:v>39.049688144966758</c:v>
                </c:pt>
                <c:pt idx="18">
                  <c:v>37.436728301927815</c:v>
                </c:pt>
                <c:pt idx="19">
                  <c:v>36.252708546394885</c:v>
                </c:pt>
                <c:pt idx="20">
                  <c:v>35.270139225935921</c:v>
                </c:pt>
                <c:pt idx="21">
                  <c:v>39.36182735300612</c:v>
                </c:pt>
                <c:pt idx="22">
                  <c:v>37.521755897774028</c:v>
                </c:pt>
                <c:pt idx="23">
                  <c:v>35.897781055265099</c:v>
                </c:pt>
                <c:pt idx="24">
                  <c:v>30.515963184032273</c:v>
                </c:pt>
                <c:pt idx="25">
                  <c:v>26.697533181819828</c:v>
                </c:pt>
                <c:pt idx="26">
                  <c:v>24.688779949400196</c:v>
                </c:pt>
                <c:pt idx="27">
                  <c:v>22.351943254130639</c:v>
                </c:pt>
                <c:pt idx="28">
                  <c:v>17.256450092995937</c:v>
                </c:pt>
                <c:pt idx="29">
                  <c:v>13.630204463162929</c:v>
                </c:pt>
              </c:numCache>
            </c:numRef>
          </c:val>
          <c:extLst>
            <c:ext xmlns:c16="http://schemas.microsoft.com/office/drawing/2014/chart" uri="{C3380CC4-5D6E-409C-BE32-E72D297353CC}">
              <c16:uniqueId val="{00000000-EB22-4037-B91E-3B5DED56DF5C}"/>
            </c:ext>
          </c:extLst>
        </c:ser>
        <c:ser>
          <c:idx val="1"/>
          <c:order val="1"/>
          <c:tx>
            <c:strRef>
              <c:f>HFC!$B$8</c:f>
              <c:strCache>
                <c:ptCount val="1"/>
                <c:pt idx="0">
                  <c:v>Industrie manufacturière et construction</c:v>
                </c:pt>
              </c:strCache>
            </c:strRef>
          </c:tx>
          <c:spPr>
            <a:solidFill>
              <a:srgbClr val="0070C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HFC!$C$8:$AF$8</c:f>
              <c:numCache>
                <c:formatCode>0.0</c:formatCode>
                <c:ptCount val="30"/>
                <c:pt idx="0">
                  <c:v>0</c:v>
                </c:pt>
                <c:pt idx="1">
                  <c:v>0</c:v>
                </c:pt>
                <c:pt idx="2">
                  <c:v>0</c:v>
                </c:pt>
                <c:pt idx="3">
                  <c:v>0</c:v>
                </c:pt>
                <c:pt idx="4">
                  <c:v>102.99920534401295</c:v>
                </c:pt>
                <c:pt idx="5">
                  <c:v>496.29039121521521</c:v>
                </c:pt>
                <c:pt idx="6">
                  <c:v>937.625386448359</c:v>
                </c:pt>
                <c:pt idx="7">
                  <c:v>1012.8820433308192</c:v>
                </c:pt>
                <c:pt idx="8">
                  <c:v>1097.2202513328039</c:v>
                </c:pt>
                <c:pt idx="9">
                  <c:v>1176.7290023644337</c:v>
                </c:pt>
                <c:pt idx="10">
                  <c:v>1201.1012251690745</c:v>
                </c:pt>
                <c:pt idx="11">
                  <c:v>1291.7589930745876</c:v>
                </c:pt>
                <c:pt idx="12">
                  <c:v>1415.128270481365</c:v>
                </c:pt>
                <c:pt idx="13">
                  <c:v>1727.4588455819435</c:v>
                </c:pt>
                <c:pt idx="14">
                  <c:v>1916.8495573212506</c:v>
                </c:pt>
                <c:pt idx="15">
                  <c:v>2087.2703588289487</c:v>
                </c:pt>
                <c:pt idx="16">
                  <c:v>2265.5493532647961</c:v>
                </c:pt>
                <c:pt idx="17">
                  <c:v>2364.1298238691907</c:v>
                </c:pt>
                <c:pt idx="18">
                  <c:v>2293.2178336294546</c:v>
                </c:pt>
                <c:pt idx="19">
                  <c:v>2172.0860101752264</c:v>
                </c:pt>
                <c:pt idx="20">
                  <c:v>2297.118860282465</c:v>
                </c:pt>
                <c:pt idx="21">
                  <c:v>2312.355403228451</c:v>
                </c:pt>
                <c:pt idx="22">
                  <c:v>2147.6352724435478</c:v>
                </c:pt>
                <c:pt idx="23">
                  <c:v>2138.4281577023635</c:v>
                </c:pt>
                <c:pt idx="24">
                  <c:v>2104.4938755149124</c:v>
                </c:pt>
                <c:pt idx="25">
                  <c:v>2021.1235985377457</c:v>
                </c:pt>
                <c:pt idx="26">
                  <c:v>2003.3665142045063</c:v>
                </c:pt>
                <c:pt idx="27">
                  <c:v>1986.2243340809814</c:v>
                </c:pt>
                <c:pt idx="28">
                  <c:v>1285.3327503341898</c:v>
                </c:pt>
                <c:pt idx="29">
                  <c:v>1203.1137921703432</c:v>
                </c:pt>
              </c:numCache>
            </c:numRef>
          </c:val>
          <c:extLst>
            <c:ext xmlns:c16="http://schemas.microsoft.com/office/drawing/2014/chart" uri="{C3380CC4-5D6E-409C-BE32-E72D297353CC}">
              <c16:uniqueId val="{00000001-EB22-4037-B91E-3B5DED56DF5C}"/>
            </c:ext>
          </c:extLst>
        </c:ser>
        <c:ser>
          <c:idx val="2"/>
          <c:order val="2"/>
          <c:tx>
            <c:strRef>
              <c:f>HFC!$B$9</c:f>
              <c:strCache>
                <c:ptCount val="1"/>
                <c:pt idx="0">
                  <c:v>Traitement centralisé des déchets</c:v>
                </c:pt>
              </c:strCache>
            </c:strRef>
          </c:tx>
          <c:spPr>
            <a:solidFill>
              <a:schemeClr val="accent4">
                <a:lumMod val="60000"/>
                <a:lumOff val="40000"/>
              </a:schemeClr>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HFC!$C$9:$AF$9</c:f>
              <c:numCache>
                <c:formatCode>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EB22-4037-B91E-3B5DED56DF5C}"/>
            </c:ext>
          </c:extLst>
        </c:ser>
        <c:ser>
          <c:idx val="3"/>
          <c:order val="3"/>
          <c:tx>
            <c:strRef>
              <c:f>HFC!$B$10</c:f>
              <c:strCache>
                <c:ptCount val="1"/>
                <c:pt idx="0">
                  <c:v>Usage des bâtiments et activités résidentiels/tertiaires</c:v>
                </c:pt>
              </c:strCache>
            </c:strRef>
          </c:tx>
          <c:spPr>
            <a:solidFill>
              <a:srgbClr val="E0E5B3"/>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HFC!$C$10:$AF$10</c:f>
              <c:numCache>
                <c:formatCode>0.0</c:formatCode>
                <c:ptCount val="30"/>
                <c:pt idx="0">
                  <c:v>0</c:v>
                </c:pt>
                <c:pt idx="1">
                  <c:v>0</c:v>
                </c:pt>
                <c:pt idx="2">
                  <c:v>0</c:v>
                </c:pt>
                <c:pt idx="3">
                  <c:v>0</c:v>
                </c:pt>
                <c:pt idx="4" formatCode="0">
                  <c:v>400.60231633509932</c:v>
                </c:pt>
                <c:pt idx="5" formatCode="0">
                  <c:v>2667.885606096283</c:v>
                </c:pt>
                <c:pt idx="6" formatCode="0">
                  <c:v>5008.4668489382202</c:v>
                </c:pt>
                <c:pt idx="7" formatCode="0">
                  <c:v>5128.0320252595284</c:v>
                </c:pt>
                <c:pt idx="8" formatCode="0">
                  <c:v>5268.1101737002809</c:v>
                </c:pt>
                <c:pt idx="9" formatCode="0">
                  <c:v>5402.3605383006279</c:v>
                </c:pt>
                <c:pt idx="10" formatCode="0">
                  <c:v>5110.5272304438586</c:v>
                </c:pt>
                <c:pt idx="11" formatCode="0">
                  <c:v>5301.9752178047474</c:v>
                </c:pt>
                <c:pt idx="12" formatCode="0">
                  <c:v>5333.7166033292351</c:v>
                </c:pt>
                <c:pt idx="13" formatCode="0">
                  <c:v>6803.0987304583768</c:v>
                </c:pt>
                <c:pt idx="14" formatCode="0">
                  <c:v>7489.3036912367334</c:v>
                </c:pt>
                <c:pt idx="15" formatCode="0">
                  <c:v>7818.5534796200254</c:v>
                </c:pt>
                <c:pt idx="16" formatCode="0">
                  <c:v>8174.5183292492247</c:v>
                </c:pt>
                <c:pt idx="17" formatCode="0">
                  <c:v>8853.8891034888366</c:v>
                </c:pt>
                <c:pt idx="18" formatCode="0">
                  <c:v>9705.5603739949129</c:v>
                </c:pt>
                <c:pt idx="19" formatCode="0">
                  <c:v>9625.290785623507</c:v>
                </c:pt>
                <c:pt idx="20" formatCode="0">
                  <c:v>11184.585298263797</c:v>
                </c:pt>
                <c:pt idx="21" formatCode="0">
                  <c:v>12023.674856966105</c:v>
                </c:pt>
                <c:pt idx="22" formatCode="0">
                  <c:v>12260.091598115703</c:v>
                </c:pt>
                <c:pt idx="23" formatCode="0">
                  <c:v>12967.360349938259</c:v>
                </c:pt>
                <c:pt idx="24" formatCode="0">
                  <c:v>13905.395677622742</c:v>
                </c:pt>
                <c:pt idx="25" formatCode="0">
                  <c:v>14605.848279137155</c:v>
                </c:pt>
                <c:pt idx="26" formatCode="0">
                  <c:v>15461.084576160576</c:v>
                </c:pt>
                <c:pt idx="27" formatCode="0">
                  <c:v>16629.422494155977</c:v>
                </c:pt>
                <c:pt idx="28" formatCode="0">
                  <c:v>12504.732059129919</c:v>
                </c:pt>
                <c:pt idx="29" formatCode="0">
                  <c:v>12261.371400198737</c:v>
                </c:pt>
              </c:numCache>
            </c:numRef>
          </c:val>
          <c:extLst>
            <c:ext xmlns:c16="http://schemas.microsoft.com/office/drawing/2014/chart" uri="{C3380CC4-5D6E-409C-BE32-E72D297353CC}">
              <c16:uniqueId val="{00000003-EB22-4037-B91E-3B5DED56DF5C}"/>
            </c:ext>
          </c:extLst>
        </c:ser>
        <c:ser>
          <c:idx val="4"/>
          <c:order val="4"/>
          <c:tx>
            <c:strRef>
              <c:f>HFC!$B$11</c:f>
              <c:strCache>
                <c:ptCount val="1"/>
                <c:pt idx="0">
                  <c:v>Agriculture</c:v>
                </c:pt>
              </c:strCache>
            </c:strRef>
          </c:tx>
          <c:spPr>
            <a:solidFill>
              <a:srgbClr val="92D05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HFC!$C$11:$AF$11</c:f>
              <c:numCache>
                <c:formatCode>0.0</c:formatCode>
                <c:ptCount val="30"/>
                <c:pt idx="0">
                  <c:v>0</c:v>
                </c:pt>
                <c:pt idx="1">
                  <c:v>0</c:v>
                </c:pt>
                <c:pt idx="2">
                  <c:v>0</c:v>
                </c:pt>
                <c:pt idx="3">
                  <c:v>0</c:v>
                </c:pt>
                <c:pt idx="4">
                  <c:v>0</c:v>
                </c:pt>
                <c:pt idx="5">
                  <c:v>0</c:v>
                </c:pt>
                <c:pt idx="6">
                  <c:v>0</c:v>
                </c:pt>
                <c:pt idx="7">
                  <c:v>0</c:v>
                </c:pt>
                <c:pt idx="8">
                  <c:v>0.97182060801340298</c:v>
                </c:pt>
                <c:pt idx="9">
                  <c:v>5.7524874015091676</c:v>
                </c:pt>
                <c:pt idx="10">
                  <c:v>9.2161506247912932</c:v>
                </c:pt>
                <c:pt idx="11">
                  <c:v>14.025510059877053</c:v>
                </c:pt>
                <c:pt idx="12">
                  <c:v>18.112226475031786</c:v>
                </c:pt>
                <c:pt idx="13">
                  <c:v>24.249988581269648</c:v>
                </c:pt>
                <c:pt idx="14">
                  <c:v>32.286509245496163</c:v>
                </c:pt>
                <c:pt idx="15">
                  <c:v>43.297443579282941</c:v>
                </c:pt>
                <c:pt idx="16">
                  <c:v>51.143621044300261</c:v>
                </c:pt>
                <c:pt idx="17">
                  <c:v>57.765826225648411</c:v>
                </c:pt>
                <c:pt idx="18">
                  <c:v>54.867474451007112</c:v>
                </c:pt>
                <c:pt idx="19">
                  <c:v>61.68725451007154</c:v>
                </c:pt>
                <c:pt idx="20">
                  <c:v>62.072834798780761</c:v>
                </c:pt>
                <c:pt idx="21">
                  <c:v>57.81442076070924</c:v>
                </c:pt>
                <c:pt idx="22">
                  <c:v>58.934180830106385</c:v>
                </c:pt>
                <c:pt idx="23">
                  <c:v>60.353617015746742</c:v>
                </c:pt>
                <c:pt idx="24">
                  <c:v>60.212158370912263</c:v>
                </c:pt>
                <c:pt idx="25">
                  <c:v>55.863265083675451</c:v>
                </c:pt>
                <c:pt idx="26">
                  <c:v>54.674004165524359</c:v>
                </c:pt>
                <c:pt idx="27">
                  <c:v>59.723775625009267</c:v>
                </c:pt>
                <c:pt idx="28">
                  <c:v>59.723775625009267</c:v>
                </c:pt>
                <c:pt idx="29">
                  <c:v>59.723775625009267</c:v>
                </c:pt>
              </c:numCache>
            </c:numRef>
          </c:val>
          <c:extLst>
            <c:ext xmlns:c16="http://schemas.microsoft.com/office/drawing/2014/chart" uri="{C3380CC4-5D6E-409C-BE32-E72D297353CC}">
              <c16:uniqueId val="{00000004-EB22-4037-B91E-3B5DED56DF5C}"/>
            </c:ext>
          </c:extLst>
        </c:ser>
        <c:ser>
          <c:idx val="5"/>
          <c:order val="5"/>
          <c:tx>
            <c:strRef>
              <c:f>HFC!$B$12</c:f>
              <c:strCache>
                <c:ptCount val="1"/>
                <c:pt idx="0">
                  <c:v>Transports</c:v>
                </c:pt>
              </c:strCache>
            </c:strRef>
          </c:tx>
          <c:spPr>
            <a:solidFill>
              <a:srgbClr val="7030A0"/>
            </a:solidFill>
            <a:ln>
              <a:solidFill>
                <a:schemeClr val="bg1"/>
              </a:solidFill>
            </a:ln>
          </c:spPr>
          <c:cat>
            <c:numRef>
              <c:f>HFC!$C$6:$AF$6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HFC!$C$12:$AF$12</c:f>
              <c:numCache>
                <c:formatCode>0.0</c:formatCode>
                <c:ptCount val="30"/>
                <c:pt idx="0">
                  <c:v>0</c:v>
                </c:pt>
                <c:pt idx="1">
                  <c:v>0</c:v>
                </c:pt>
                <c:pt idx="2">
                  <c:v>0</c:v>
                </c:pt>
                <c:pt idx="3">
                  <c:v>0</c:v>
                </c:pt>
                <c:pt idx="4">
                  <c:v>5.8663344212752389</c:v>
                </c:pt>
                <c:pt idx="5">
                  <c:v>39.03703279578901</c:v>
                </c:pt>
                <c:pt idx="6">
                  <c:v>88.410976848420574</c:v>
                </c:pt>
                <c:pt idx="7">
                  <c:v>140.70234668898343</c:v>
                </c:pt>
                <c:pt idx="8">
                  <c:v>370.96635402412397</c:v>
                </c:pt>
                <c:pt idx="9">
                  <c:v>819.26846332545301</c:v>
                </c:pt>
                <c:pt idx="10">
                  <c:v>1624.7834635584895</c:v>
                </c:pt>
                <c:pt idx="11">
                  <c:v>2643.5173639757068</c:v>
                </c:pt>
                <c:pt idx="12">
                  <c:v>3820.8463080184129</c:v>
                </c:pt>
                <c:pt idx="13">
                  <c:v>5572.6534982641469</c:v>
                </c:pt>
                <c:pt idx="14">
                  <c:v>7015.2771872088888</c:v>
                </c:pt>
                <c:pt idx="15">
                  <c:v>8967.6598685859281</c:v>
                </c:pt>
                <c:pt idx="16">
                  <c:v>9497.3057507830526</c:v>
                </c:pt>
                <c:pt idx="17">
                  <c:v>12361.039853592434</c:v>
                </c:pt>
                <c:pt idx="18">
                  <c:v>12544.912701731218</c:v>
                </c:pt>
                <c:pt idx="19">
                  <c:v>10429.801809994991</c:v>
                </c:pt>
                <c:pt idx="20">
                  <c:v>10324.931150957398</c:v>
                </c:pt>
                <c:pt idx="21">
                  <c:v>10618.907902929428</c:v>
                </c:pt>
                <c:pt idx="22">
                  <c:v>10120.113973556065</c:v>
                </c:pt>
                <c:pt idx="23">
                  <c:v>10144.698489046337</c:v>
                </c:pt>
                <c:pt idx="24">
                  <c:v>10384.662140438935</c:v>
                </c:pt>
                <c:pt idx="25">
                  <c:v>10472.4941509131</c:v>
                </c:pt>
                <c:pt idx="26">
                  <c:v>11123.311899940034</c:v>
                </c:pt>
                <c:pt idx="27">
                  <c:v>11838.775937321818</c:v>
                </c:pt>
                <c:pt idx="28">
                  <c:v>11778.299435577044</c:v>
                </c:pt>
                <c:pt idx="29">
                  <c:v>11774.302408974059</c:v>
                </c:pt>
              </c:numCache>
            </c:numRef>
          </c:val>
          <c:extLst>
            <c:ext xmlns:c16="http://schemas.microsoft.com/office/drawing/2014/chart" uri="{C3380CC4-5D6E-409C-BE32-E72D297353CC}">
              <c16:uniqueId val="{00000005-EB22-4037-B91E-3B5DED56DF5C}"/>
            </c:ext>
          </c:extLst>
        </c:ser>
        <c:dLbls>
          <c:showLegendKey val="0"/>
          <c:showVal val="0"/>
          <c:showCatName val="0"/>
          <c:showSerName val="0"/>
          <c:showPercent val="0"/>
          <c:showBubbleSize val="0"/>
        </c:dLbls>
        <c:axId val="385120232"/>
        <c:axId val="1"/>
      </c:areaChart>
      <c:catAx>
        <c:axId val="385120232"/>
        <c:scaling>
          <c:orientation val="minMax"/>
        </c:scaling>
        <c:delete val="0"/>
        <c:axPos val="b"/>
        <c:numFmt formatCode="General" sourceLinked="1"/>
        <c:majorTickMark val="out"/>
        <c:minorTickMark val="none"/>
        <c:tickLblPos val="low"/>
        <c:spPr>
          <a:ln w="3175"/>
        </c:spPr>
        <c:txPr>
          <a:bodyPr rot="-5400000" vert="horz"/>
          <a:lstStyle/>
          <a:p>
            <a:pPr>
              <a:defRPr sz="800" b="0" i="0" u="none" strike="noStrike" baseline="0">
                <a:solidFill>
                  <a:srgbClr val="000000"/>
                </a:solidFill>
                <a:latin typeface="Trebuchet MS"/>
                <a:ea typeface="Trebuchet MS"/>
                <a:cs typeface="Trebuchet MS"/>
              </a:defRPr>
            </a:pPr>
            <a:endParaRPr lang="fr-FR"/>
          </a:p>
        </c:txPr>
        <c:crossAx val="1"/>
        <c:crosses val="autoZero"/>
        <c:auto val="1"/>
        <c:lblAlgn val="ctr"/>
        <c:lblOffset val="0"/>
        <c:noMultiLvlLbl val="0"/>
      </c:catAx>
      <c:valAx>
        <c:axId val="1"/>
        <c:scaling>
          <c:orientation val="minMax"/>
        </c:scaling>
        <c:delete val="0"/>
        <c:axPos val="l"/>
        <c:majorGridlines>
          <c:spPr>
            <a:ln w="1905">
              <a:solidFill>
                <a:schemeClr val="bg1">
                  <a:lumMod val="85000"/>
                </a:schemeClr>
              </a:solidFill>
              <a:prstDash val="sysDash"/>
            </a:ln>
          </c:spPr>
        </c:majorGridlines>
        <c:title>
          <c:tx>
            <c:rich>
              <a:bodyPr/>
              <a:lstStyle/>
              <a:p>
                <a:pPr>
                  <a:defRPr sz="800">
                    <a:latin typeface="Trebuchet MS" panose="020B0603020202020204" pitchFamily="34" charset="0"/>
                  </a:defRPr>
                </a:pPr>
                <a:r>
                  <a:rPr lang="fr-FR" sz="800">
                    <a:latin typeface="Trebuchet MS" panose="020B0603020202020204" pitchFamily="34" charset="0"/>
                  </a:rPr>
                  <a:t>tonnes équivalent CO</a:t>
                </a:r>
                <a:r>
                  <a:rPr lang="fr-FR" sz="800" baseline="-25000">
                    <a:latin typeface="Trebuchet MS" panose="020B0603020202020204" pitchFamily="34" charset="0"/>
                  </a:rPr>
                  <a:t>2</a:t>
                </a:r>
              </a:p>
            </c:rich>
          </c:tx>
          <c:overlay val="0"/>
        </c:title>
        <c:numFmt formatCode="#,##0" sourceLinked="0"/>
        <c:majorTickMark val="out"/>
        <c:minorTickMark val="none"/>
        <c:tickLblPos val="nextTo"/>
        <c:spPr>
          <a:ln w="3175"/>
        </c:spPr>
        <c:txPr>
          <a:bodyPr rot="0" vert="horz"/>
          <a:lstStyle/>
          <a:p>
            <a:pPr>
              <a:defRPr sz="800" b="0" i="0" u="none" strike="noStrike" baseline="0">
                <a:solidFill>
                  <a:srgbClr val="000000"/>
                </a:solidFill>
                <a:latin typeface="Trebuchet MS"/>
                <a:ea typeface="Trebuchet MS"/>
                <a:cs typeface="Trebuchet MS"/>
              </a:defRPr>
            </a:pPr>
            <a:endParaRPr lang="fr-FR"/>
          </a:p>
        </c:txPr>
        <c:crossAx val="385120232"/>
        <c:crosses val="autoZero"/>
        <c:crossBetween val="midCat"/>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33" l="0.70000000000000062" r="0.70000000000000062" t="0.75000000000000233" header="0.30000000000000032" footer="0.30000000000000032"/>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rebuchet MS"/>
                <a:ea typeface="Trebuchet MS"/>
                <a:cs typeface="Trebuchet MS"/>
              </a:defRPr>
            </a:pPr>
            <a:r>
              <a:rPr lang="fr-FR" sz="1000"/>
              <a:t>1994</a:t>
            </a:r>
          </a:p>
        </c:rich>
      </c:tx>
      <c:layout>
        <c:manualLayout>
          <c:xMode val="edge"/>
          <c:yMode val="edge"/>
          <c:x val="0.38996223963336468"/>
          <c:y val="0.48298454961171083"/>
        </c:manualLayout>
      </c:layout>
      <c:overlay val="0"/>
    </c:title>
    <c:autoTitleDeleted val="0"/>
    <c:plotArea>
      <c:layout>
        <c:manualLayout>
          <c:layoutTarget val="inner"/>
          <c:xMode val="edge"/>
          <c:yMode val="edge"/>
          <c:x val="0.10322129647901693"/>
          <c:y val="0.13468025320364366"/>
          <c:w val="0.79335455761561979"/>
          <c:h val="0.82040026246719155"/>
        </c:manualLayout>
      </c:layout>
      <c:doughnutChart>
        <c:varyColors val="1"/>
        <c:ser>
          <c:idx val="0"/>
          <c:order val="0"/>
          <c:tx>
            <c:strRef>
              <c:f>HFC!$G$6</c:f>
              <c:strCache>
                <c:ptCount val="1"/>
                <c:pt idx="0">
                  <c:v>1994</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01-8128-4945-BFB6-3CF102584BA6}"/>
              </c:ext>
            </c:extLst>
          </c:dPt>
          <c:dPt>
            <c:idx val="1"/>
            <c:bubble3D val="0"/>
            <c:spPr>
              <a:solidFill>
                <a:srgbClr val="0070C0"/>
              </a:solidFill>
              <a:ln>
                <a:solidFill>
                  <a:schemeClr val="bg1"/>
                </a:solidFill>
              </a:ln>
            </c:spPr>
            <c:extLst>
              <c:ext xmlns:c16="http://schemas.microsoft.com/office/drawing/2014/chart" uri="{C3380CC4-5D6E-409C-BE32-E72D297353CC}">
                <c16:uniqueId val="{00000003-8128-4945-BFB6-3CF102584BA6}"/>
              </c:ext>
            </c:extLst>
          </c:dPt>
          <c:dPt>
            <c:idx val="2"/>
            <c:bubble3D val="0"/>
            <c:spPr>
              <a:solidFill>
                <a:srgbClr val="B3A2C7"/>
              </a:solidFill>
              <a:ln>
                <a:solidFill>
                  <a:schemeClr val="bg1"/>
                </a:solidFill>
              </a:ln>
            </c:spPr>
            <c:extLst>
              <c:ext xmlns:c16="http://schemas.microsoft.com/office/drawing/2014/chart" uri="{C3380CC4-5D6E-409C-BE32-E72D297353CC}">
                <c16:uniqueId val="{00000005-8128-4945-BFB6-3CF102584BA6}"/>
              </c:ext>
            </c:extLst>
          </c:dPt>
          <c:dPt>
            <c:idx val="3"/>
            <c:bubble3D val="0"/>
            <c:spPr>
              <a:solidFill>
                <a:srgbClr val="E0E5B3"/>
              </a:solidFill>
              <a:ln>
                <a:solidFill>
                  <a:schemeClr val="bg1"/>
                </a:solidFill>
              </a:ln>
            </c:spPr>
            <c:extLst>
              <c:ext xmlns:c16="http://schemas.microsoft.com/office/drawing/2014/chart" uri="{C3380CC4-5D6E-409C-BE32-E72D297353CC}">
                <c16:uniqueId val="{00000007-8128-4945-BFB6-3CF102584BA6}"/>
              </c:ext>
            </c:extLst>
          </c:dPt>
          <c:dPt>
            <c:idx val="4"/>
            <c:bubble3D val="0"/>
            <c:spPr>
              <a:solidFill>
                <a:srgbClr val="92D050"/>
              </a:solidFill>
              <a:ln>
                <a:solidFill>
                  <a:schemeClr val="bg1"/>
                </a:solidFill>
              </a:ln>
            </c:spPr>
            <c:extLst>
              <c:ext xmlns:c16="http://schemas.microsoft.com/office/drawing/2014/chart" uri="{C3380CC4-5D6E-409C-BE32-E72D297353CC}">
                <c16:uniqueId val="{00000009-8128-4945-BFB6-3CF102584BA6}"/>
              </c:ext>
            </c:extLst>
          </c:dPt>
          <c:dPt>
            <c:idx val="5"/>
            <c:bubble3D val="0"/>
            <c:spPr>
              <a:solidFill>
                <a:srgbClr val="7030A0"/>
              </a:solidFill>
              <a:ln>
                <a:solidFill>
                  <a:schemeClr val="bg1"/>
                </a:solidFill>
              </a:ln>
            </c:spPr>
            <c:extLst>
              <c:ext xmlns:c16="http://schemas.microsoft.com/office/drawing/2014/chart" uri="{C3380CC4-5D6E-409C-BE32-E72D297353CC}">
                <c16:uniqueId val="{0000000B-8128-4945-BFB6-3CF102584BA6}"/>
              </c:ext>
            </c:extLst>
          </c:dPt>
          <c:dPt>
            <c:idx val="6"/>
            <c:bubble3D val="0"/>
            <c:spPr>
              <a:solidFill>
                <a:srgbClr val="00B050"/>
              </a:solidFill>
              <a:ln>
                <a:solidFill>
                  <a:schemeClr val="bg1"/>
                </a:solidFill>
              </a:ln>
            </c:spPr>
            <c:extLst>
              <c:ext xmlns:c16="http://schemas.microsoft.com/office/drawing/2014/chart" uri="{C3380CC4-5D6E-409C-BE32-E72D297353CC}">
                <c16:uniqueId val="{0000000D-8128-4945-BFB6-3CF102584BA6}"/>
              </c:ext>
            </c:extLst>
          </c:dPt>
          <c:dLbls>
            <c:dLbl>
              <c:idx val="0"/>
              <c:delete val="1"/>
              <c:extLst>
                <c:ext xmlns:c15="http://schemas.microsoft.com/office/drawing/2012/chart" uri="{CE6537A1-D6FC-4f65-9D91-7224C49458BB}"/>
                <c:ext xmlns:c16="http://schemas.microsoft.com/office/drawing/2014/chart" uri="{C3380CC4-5D6E-409C-BE32-E72D297353CC}">
                  <c16:uniqueId val="{00000001-8128-4945-BFB6-3CF102584BA6}"/>
                </c:ext>
              </c:extLst>
            </c:dLbl>
            <c:dLbl>
              <c:idx val="1"/>
              <c:spPr>
                <a:noFill/>
                <a:ln w="25400">
                  <a:noFill/>
                </a:ln>
              </c:spPr>
              <c:txPr>
                <a:bodyPr wrap="square" lIns="38100" tIns="19050" rIns="38100" bIns="19050" anchor="ctr">
                  <a:spAutoFit/>
                </a:bodyPr>
                <a:lstStyle/>
                <a:p>
                  <a:pPr>
                    <a:defRPr sz="800" b="0" i="0" u="none" strike="noStrike" baseline="0">
                      <a:solidFill>
                        <a:schemeClr val="bg1"/>
                      </a:solidFill>
                      <a:latin typeface="Trebuchet MS"/>
                      <a:ea typeface="Trebuchet MS"/>
                      <a:cs typeface="Trebuchet MS"/>
                    </a:defRPr>
                  </a:pPr>
                  <a:endParaRPr lang="fr-FR"/>
                </a:p>
              </c:txPr>
              <c:showLegendKey val="0"/>
              <c:showVal val="0"/>
              <c:showCatName val="0"/>
              <c:showSerName val="0"/>
              <c:showPercent val="1"/>
              <c:showBubbleSize val="0"/>
              <c:extLst>
                <c:ext xmlns:c16="http://schemas.microsoft.com/office/drawing/2014/chart" uri="{C3380CC4-5D6E-409C-BE32-E72D297353CC}">
                  <c16:uniqueId val="{00000003-8128-4945-BFB6-3CF102584BA6}"/>
                </c:ext>
              </c:extLst>
            </c:dLbl>
            <c:dLbl>
              <c:idx val="2"/>
              <c:delete val="1"/>
              <c:extLst>
                <c:ext xmlns:c15="http://schemas.microsoft.com/office/drawing/2012/chart" uri="{CE6537A1-D6FC-4f65-9D91-7224C49458BB}"/>
                <c:ext xmlns:c16="http://schemas.microsoft.com/office/drawing/2014/chart" uri="{C3380CC4-5D6E-409C-BE32-E72D297353CC}">
                  <c16:uniqueId val="{00000005-8128-4945-BFB6-3CF102584BA6}"/>
                </c:ext>
              </c:extLst>
            </c:dLbl>
            <c:dLbl>
              <c:idx val="3"/>
              <c:layout>
                <c:manualLayout>
                  <c:x val="1.2185917182589189E-3"/>
                  <c:y val="2.96186506098502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128-4945-BFB6-3CF102584BA6}"/>
                </c:ext>
              </c:extLst>
            </c:dLbl>
            <c:dLbl>
              <c:idx val="4"/>
              <c:delete val="1"/>
              <c:extLst>
                <c:ext xmlns:c15="http://schemas.microsoft.com/office/drawing/2012/chart" uri="{CE6537A1-D6FC-4f65-9D91-7224C49458BB}"/>
                <c:ext xmlns:c16="http://schemas.microsoft.com/office/drawing/2014/chart" uri="{C3380CC4-5D6E-409C-BE32-E72D297353CC}">
                  <c16:uniqueId val="{00000009-8128-4945-BFB6-3CF102584BA6}"/>
                </c:ext>
              </c:extLst>
            </c:dLbl>
            <c:dLbl>
              <c:idx val="5"/>
              <c:layout>
                <c:manualLayout>
                  <c:x val="-1.7265208648439691E-2"/>
                  <c:y val="9.6887193224558271E-2"/>
                </c:manualLayout>
              </c:layout>
              <c:spPr/>
              <c:txPr>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128-4945-BFB6-3CF102584BA6}"/>
                </c:ext>
              </c:extLst>
            </c:dLbl>
            <c:spPr>
              <a:noFill/>
              <a:ln w="25400">
                <a:noFill/>
              </a:ln>
            </c:spPr>
            <c:txPr>
              <a:bodyPr wrap="square" lIns="38100" tIns="19050" rIns="38100" bIns="19050" anchor="ctr">
                <a:spAutoFit/>
              </a:bodyPr>
              <a:lstStyle/>
              <a:p>
                <a:pPr>
                  <a:defRPr sz="800" b="0" i="0" u="none" strike="noStrike" baseline="0">
                    <a:solidFill>
                      <a:sysClr val="windowText" lastClr="000000"/>
                    </a:solidFill>
                    <a:latin typeface="Trebuchet MS"/>
                    <a:ea typeface="Trebuchet MS"/>
                    <a:cs typeface="Trebuchet MS"/>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HFC!$B$7:$B$11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HFC!$G$7:$G$12</c:f>
              <c:numCache>
                <c:formatCode>0.0</c:formatCode>
                <c:ptCount val="6"/>
                <c:pt idx="0">
                  <c:v>0</c:v>
                </c:pt>
                <c:pt idx="1">
                  <c:v>102.99920534401295</c:v>
                </c:pt>
                <c:pt idx="2">
                  <c:v>0</c:v>
                </c:pt>
                <c:pt idx="3" formatCode="0">
                  <c:v>400.60231633509932</c:v>
                </c:pt>
                <c:pt idx="4">
                  <c:v>0</c:v>
                </c:pt>
                <c:pt idx="5">
                  <c:v>5.8663344212752389</c:v>
                </c:pt>
              </c:numCache>
            </c:numRef>
          </c:val>
          <c:extLst>
            <c:ext xmlns:c16="http://schemas.microsoft.com/office/drawing/2014/chart" uri="{C3380CC4-5D6E-409C-BE32-E72D297353CC}">
              <c16:uniqueId val="{0000000E-8128-4945-BFB6-3CF102584BA6}"/>
            </c:ext>
          </c:extLst>
        </c:ser>
        <c:ser>
          <c:idx val="1"/>
          <c:order val="1"/>
          <c:tx>
            <c:strRef>
              <c:f>HFC!$AF$6</c:f>
              <c:strCache>
                <c:ptCount val="1"/>
                <c:pt idx="0">
                  <c:v>2019</c:v>
                </c:pt>
              </c:strCache>
            </c:strRef>
          </c:tx>
          <c:spPr>
            <a:ln>
              <a:solidFill>
                <a:schemeClr val="bg1"/>
              </a:solidFill>
            </a:ln>
          </c:spPr>
          <c:dPt>
            <c:idx val="0"/>
            <c:bubble3D val="0"/>
            <c:spPr>
              <a:solidFill>
                <a:schemeClr val="tx2">
                  <a:lumMod val="20000"/>
                  <a:lumOff val="80000"/>
                </a:schemeClr>
              </a:solidFill>
              <a:ln>
                <a:solidFill>
                  <a:schemeClr val="bg1"/>
                </a:solidFill>
              </a:ln>
            </c:spPr>
            <c:extLst>
              <c:ext xmlns:c16="http://schemas.microsoft.com/office/drawing/2014/chart" uri="{C3380CC4-5D6E-409C-BE32-E72D297353CC}">
                <c16:uniqueId val="{00000010-8128-4945-BFB6-3CF102584BA6}"/>
              </c:ext>
            </c:extLst>
          </c:dPt>
          <c:dPt>
            <c:idx val="1"/>
            <c:bubble3D val="0"/>
            <c:spPr>
              <a:solidFill>
                <a:srgbClr val="0070C0"/>
              </a:solidFill>
              <a:ln>
                <a:solidFill>
                  <a:schemeClr val="bg1"/>
                </a:solidFill>
              </a:ln>
            </c:spPr>
            <c:extLst>
              <c:ext xmlns:c16="http://schemas.microsoft.com/office/drawing/2014/chart" uri="{C3380CC4-5D6E-409C-BE32-E72D297353CC}">
                <c16:uniqueId val="{00000012-8128-4945-BFB6-3CF102584BA6}"/>
              </c:ext>
            </c:extLst>
          </c:dPt>
          <c:dPt>
            <c:idx val="2"/>
            <c:bubble3D val="0"/>
            <c:spPr>
              <a:solidFill>
                <a:srgbClr val="B3A2C7"/>
              </a:solidFill>
              <a:ln>
                <a:solidFill>
                  <a:schemeClr val="bg1"/>
                </a:solidFill>
              </a:ln>
            </c:spPr>
            <c:extLst>
              <c:ext xmlns:c16="http://schemas.microsoft.com/office/drawing/2014/chart" uri="{C3380CC4-5D6E-409C-BE32-E72D297353CC}">
                <c16:uniqueId val="{00000014-8128-4945-BFB6-3CF102584BA6}"/>
              </c:ext>
            </c:extLst>
          </c:dPt>
          <c:dPt>
            <c:idx val="3"/>
            <c:bubble3D val="0"/>
            <c:spPr>
              <a:solidFill>
                <a:srgbClr val="E0E5B3"/>
              </a:solidFill>
              <a:ln>
                <a:solidFill>
                  <a:schemeClr val="bg1"/>
                </a:solidFill>
              </a:ln>
            </c:spPr>
            <c:extLst>
              <c:ext xmlns:c16="http://schemas.microsoft.com/office/drawing/2014/chart" uri="{C3380CC4-5D6E-409C-BE32-E72D297353CC}">
                <c16:uniqueId val="{00000016-8128-4945-BFB6-3CF102584BA6}"/>
              </c:ext>
            </c:extLst>
          </c:dPt>
          <c:dPt>
            <c:idx val="4"/>
            <c:bubble3D val="0"/>
            <c:spPr>
              <a:solidFill>
                <a:srgbClr val="92D050"/>
              </a:solidFill>
              <a:ln>
                <a:solidFill>
                  <a:schemeClr val="bg1"/>
                </a:solidFill>
              </a:ln>
            </c:spPr>
            <c:extLst>
              <c:ext xmlns:c16="http://schemas.microsoft.com/office/drawing/2014/chart" uri="{C3380CC4-5D6E-409C-BE32-E72D297353CC}">
                <c16:uniqueId val="{00000018-8128-4945-BFB6-3CF102584BA6}"/>
              </c:ext>
            </c:extLst>
          </c:dPt>
          <c:dPt>
            <c:idx val="5"/>
            <c:bubble3D val="0"/>
            <c:spPr>
              <a:solidFill>
                <a:srgbClr val="7030A0"/>
              </a:solidFill>
              <a:ln>
                <a:solidFill>
                  <a:schemeClr val="bg1"/>
                </a:solidFill>
              </a:ln>
            </c:spPr>
            <c:extLst>
              <c:ext xmlns:c16="http://schemas.microsoft.com/office/drawing/2014/chart" uri="{C3380CC4-5D6E-409C-BE32-E72D297353CC}">
                <c16:uniqueId val="{0000001A-8128-4945-BFB6-3CF102584BA6}"/>
              </c:ext>
            </c:extLst>
          </c:dPt>
          <c:dPt>
            <c:idx val="6"/>
            <c:bubble3D val="0"/>
            <c:spPr>
              <a:solidFill>
                <a:srgbClr val="00B050"/>
              </a:solidFill>
              <a:ln>
                <a:solidFill>
                  <a:schemeClr val="bg1"/>
                </a:solidFill>
              </a:ln>
            </c:spPr>
            <c:extLst>
              <c:ext xmlns:c16="http://schemas.microsoft.com/office/drawing/2014/chart" uri="{C3380CC4-5D6E-409C-BE32-E72D297353CC}">
                <c16:uniqueId val="{0000001C-8128-4945-BFB6-3CF102584BA6}"/>
              </c:ext>
            </c:extLst>
          </c:dPt>
          <c:dLbls>
            <c:dLbl>
              <c:idx val="0"/>
              <c:delete val="1"/>
              <c:extLst>
                <c:ext xmlns:c15="http://schemas.microsoft.com/office/drawing/2012/chart" uri="{CE6537A1-D6FC-4f65-9D91-7224C49458BB}"/>
                <c:ext xmlns:c16="http://schemas.microsoft.com/office/drawing/2014/chart" uri="{C3380CC4-5D6E-409C-BE32-E72D297353CC}">
                  <c16:uniqueId val="{00000010-8128-4945-BFB6-3CF102584BA6}"/>
                </c:ext>
              </c:extLst>
            </c:dLbl>
            <c:dLbl>
              <c:idx val="1"/>
              <c:layout>
                <c:manualLayout>
                  <c:x val="-7.0796499642673434E-3"/>
                  <c:y val="-7.8431372549019607E-3"/>
                </c:manualLayout>
              </c:layout>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8128-4945-BFB6-3CF102584BA6}"/>
                </c:ext>
              </c:extLst>
            </c:dLbl>
            <c:dLbl>
              <c:idx val="2"/>
              <c:delete val="1"/>
              <c:extLst>
                <c:ext xmlns:c15="http://schemas.microsoft.com/office/drawing/2012/chart" uri="{CE6537A1-D6FC-4f65-9D91-7224C49458BB}"/>
                <c:ext xmlns:c16="http://schemas.microsoft.com/office/drawing/2014/chart" uri="{C3380CC4-5D6E-409C-BE32-E72D297353CC}">
                  <c16:uniqueId val="{00000014-8128-4945-BFB6-3CF102584BA6}"/>
                </c:ext>
              </c:extLst>
            </c:dLbl>
            <c:dLbl>
              <c:idx val="3"/>
              <c:layout>
                <c:manualLayout>
                  <c:x val="-3.6953543002462988E-3"/>
                  <c:y val="1.69862590705573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8128-4945-BFB6-3CF102584BA6}"/>
                </c:ext>
              </c:extLst>
            </c:dLbl>
            <c:dLbl>
              <c:idx val="4"/>
              <c:delete val="1"/>
              <c:extLst>
                <c:ext xmlns:c15="http://schemas.microsoft.com/office/drawing/2012/chart" uri="{CE6537A1-D6FC-4f65-9D91-7224C49458BB}"/>
                <c:ext xmlns:c16="http://schemas.microsoft.com/office/drawing/2014/chart" uri="{C3380CC4-5D6E-409C-BE32-E72D297353CC}">
                  <c16:uniqueId val="{00000018-8128-4945-BFB6-3CF102584BA6}"/>
                </c:ext>
              </c:extLst>
            </c:dLbl>
            <c:dLbl>
              <c:idx val="5"/>
              <c:spPr>
                <a:noFill/>
                <a:ln>
                  <a:noFill/>
                </a:ln>
                <a:effectLst/>
              </c:spPr>
              <c:txPr>
                <a:bodyPr wrap="square" lIns="38100" tIns="19050" rIns="38100" bIns="19050" anchor="ctr">
                  <a:spAutoFit/>
                </a:bodyPr>
                <a:lstStyle/>
                <a:p>
                  <a:pPr>
                    <a:defRPr>
                      <a:solidFill>
                        <a:schemeClr val="bg1"/>
                      </a:solidFill>
                      <a:latin typeface="Trebuchet MS" panose="020B0603020202020204" pitchFamily="34" charset="0"/>
                    </a:defRPr>
                  </a:pPr>
                  <a:endParaRPr lang="fr-FR"/>
                </a:p>
              </c:txPr>
              <c:showLegendKey val="0"/>
              <c:showVal val="0"/>
              <c:showCatName val="0"/>
              <c:showSerName val="0"/>
              <c:showPercent val="1"/>
              <c:showBubbleSize val="0"/>
              <c:extLst>
                <c:ext xmlns:c16="http://schemas.microsoft.com/office/drawing/2014/chart" uri="{C3380CC4-5D6E-409C-BE32-E72D297353CC}">
                  <c16:uniqueId val="{0000001A-8128-4945-BFB6-3CF102584BA6}"/>
                </c:ext>
              </c:extLst>
            </c:dLbl>
            <c:dLbl>
              <c:idx val="6"/>
              <c:delete val="1"/>
              <c:extLst>
                <c:ext xmlns:c15="http://schemas.microsoft.com/office/drawing/2012/chart" uri="{CE6537A1-D6FC-4f65-9D91-7224C49458BB}"/>
                <c:ext xmlns:c16="http://schemas.microsoft.com/office/drawing/2014/chart" uri="{C3380CC4-5D6E-409C-BE32-E72D297353CC}">
                  <c16:uniqueId val="{0000001C-8128-4945-BFB6-3CF102584BA6}"/>
                </c:ext>
              </c:extLst>
            </c:dLbl>
            <c:spPr>
              <a:noFill/>
              <a:ln>
                <a:noFill/>
              </a:ln>
              <a:effectLst/>
            </c:spPr>
            <c:txPr>
              <a:bodyPr wrap="square" lIns="38100" tIns="19050" rIns="38100" bIns="19050" anchor="ctr">
                <a:spAutoFit/>
              </a:bodyPr>
              <a:lstStyle/>
              <a:p>
                <a:pPr>
                  <a:defRPr>
                    <a:latin typeface="Trebuchet MS" panose="020B0603020202020204" pitchFamily="34" charset="0"/>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HFC!$B$7:$B$11</c:f>
              <c:strCache>
                <c:ptCount val="5"/>
                <c:pt idx="0">
                  <c:v>Industrie de l'énergie</c:v>
                </c:pt>
                <c:pt idx="1">
                  <c:v>Industrie manufacturière et construction</c:v>
                </c:pt>
                <c:pt idx="2">
                  <c:v>Traitement centralisé des déchets</c:v>
                </c:pt>
                <c:pt idx="3">
                  <c:v>Usage des bâtiments et activités résidentiels/tertiaires</c:v>
                </c:pt>
                <c:pt idx="4">
                  <c:v>Agriculture</c:v>
                </c:pt>
              </c:strCache>
            </c:strRef>
          </c:cat>
          <c:val>
            <c:numRef>
              <c:f>HFC!$AF$7:$AF$12</c:f>
              <c:numCache>
                <c:formatCode>0.0</c:formatCode>
                <c:ptCount val="6"/>
                <c:pt idx="0">
                  <c:v>13.630204463162929</c:v>
                </c:pt>
                <c:pt idx="1">
                  <c:v>1203.1137921703432</c:v>
                </c:pt>
                <c:pt idx="2">
                  <c:v>0</c:v>
                </c:pt>
                <c:pt idx="3" formatCode="0">
                  <c:v>12261.371400198737</c:v>
                </c:pt>
                <c:pt idx="4">
                  <c:v>59.723775625009267</c:v>
                </c:pt>
                <c:pt idx="5">
                  <c:v>11774.302408974059</c:v>
                </c:pt>
              </c:numCache>
            </c:numRef>
          </c:val>
          <c:extLst>
            <c:ext xmlns:c16="http://schemas.microsoft.com/office/drawing/2014/chart" uri="{C3380CC4-5D6E-409C-BE32-E72D297353CC}">
              <c16:uniqueId val="{0000001D-8128-4945-BFB6-3CF102584BA6}"/>
            </c:ext>
          </c:extLst>
        </c:ser>
        <c:dLbls>
          <c:showLegendKey val="0"/>
          <c:showVal val="0"/>
          <c:showCatName val="0"/>
          <c:showSerName val="0"/>
          <c:showPercent val="0"/>
          <c:showBubbleSize val="0"/>
          <c:showLeaderLines val="1"/>
        </c:dLbls>
        <c:firstSliceAng val="0"/>
        <c:holeSize val="50"/>
      </c:doughnutChart>
      <c:spPr>
        <a:noFill/>
        <a:ln w="25400">
          <a:noFill/>
        </a:ln>
      </c:spPr>
    </c:plotArea>
    <c:plotVisOnly val="1"/>
    <c:dispBlanksAs val="zero"/>
    <c:showDLblsOverMax val="0"/>
  </c:chart>
  <c:spPr>
    <a:noFill/>
    <a:ln>
      <a:noFill/>
    </a:ln>
  </c:spPr>
  <c:txPr>
    <a:bodyPr/>
    <a:lstStyle/>
    <a:p>
      <a:pPr>
        <a:defRPr sz="800" b="0" i="0" u="none" strike="noStrike" baseline="0">
          <a:solidFill>
            <a:srgbClr val="000000"/>
          </a:solidFill>
          <a:latin typeface="Calibri"/>
          <a:ea typeface="Calibri"/>
          <a:cs typeface="Calibri"/>
        </a:defRPr>
      </a:pPr>
      <a:endParaRPr lang="fr-FR"/>
    </a:p>
  </c:txPr>
  <c:printSettings>
    <c:headerFooter/>
    <c:pageMargins b="0.75000000000000322" l="0.70000000000000062" r="0.70000000000000062" t="0.75000000000000322"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AMS 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074C-4A30-A3D9-991E468A92AC}"/>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074C-4A30-A3D9-991E468A92AC}"/>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074C-4A30-A3D9-991E468A92AC}"/>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074C-4A30-A3D9-991E468A92AC}"/>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074C-4A30-A3D9-991E468A92AC}"/>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074C-4A30-A3D9-991E468A92AC}"/>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074C-4A30-A3D9-991E468A92AC}"/>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074C-4A30-A3D9-991E468A92AC}"/>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074C-4A30-A3D9-991E468A92AC}"/>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074C-4A30-A3D9-991E468A92AC}"/>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Energie'!$A$58:$A$68</c15:sqref>
                  </c15:fullRef>
                </c:ext>
              </c:extLst>
              <c:f>'Prod Energie'!$A$59:$A$68</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Energie'!$I$58:$I$68</c15:sqref>
                  </c15:fullRef>
                </c:ext>
              </c:extLst>
              <c:f>'Prod Energie'!$I$59:$I$68</c:f>
              <c:numCache>
                <c:formatCode>0\ %</c:formatCode>
                <c:ptCount val="10"/>
                <c:pt idx="0">
                  <c:v>0</c:v>
                </c:pt>
                <c:pt idx="1">
                  <c:v>0</c:v>
                </c:pt>
                <c:pt idx="2" formatCode="0%">
                  <c:v>0.2</c:v>
                </c:pt>
                <c:pt idx="3" formatCode="0%">
                  <c:v>0</c:v>
                </c:pt>
                <c:pt idx="4" formatCode="0%">
                  <c:v>0.1</c:v>
                </c:pt>
                <c:pt idx="5" formatCode="0%">
                  <c:v>0.25000000000000011</c:v>
                </c:pt>
                <c:pt idx="6" formatCode="0%">
                  <c:v>0.1</c:v>
                </c:pt>
                <c:pt idx="7" formatCode="0%">
                  <c:v>0.1</c:v>
                </c:pt>
                <c:pt idx="8" formatCode="0%">
                  <c:v>0.25</c:v>
                </c:pt>
                <c:pt idx="9" formatCode="0.00\ %">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074C-4A30-A3D9-991E468A92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AME Mix</a:t>
            </a:r>
            <a:r>
              <a:rPr lang="fr-FR" baseline="0"/>
              <a:t> électrique en 2050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'Prod Energie'!$I$36</c:f>
              <c:strCache>
                <c:ptCount val="1"/>
                <c:pt idx="0">
                  <c:v>3,90 %</c:v>
                </c:pt>
              </c:strCache>
            </c:strRef>
          </c:tx>
          <c:dPt>
            <c:idx val="0"/>
            <c:bubble3D val="0"/>
            <c:spPr>
              <a:solidFill>
                <a:schemeClr val="accent1"/>
              </a:solidFill>
              <a:ln w="9525">
                <a:solidFill>
                  <a:schemeClr val="lt1"/>
                </a:solidFill>
              </a:ln>
              <a:effectLst/>
            </c:spPr>
            <c:extLst>
              <c:ext xmlns:c16="http://schemas.microsoft.com/office/drawing/2014/chart" uri="{C3380CC4-5D6E-409C-BE32-E72D297353CC}">
                <c16:uniqueId val="{00000001-AED4-4588-91F3-8D89EAEBD52B}"/>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AED4-4588-91F3-8D89EAEBD52B}"/>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AED4-4588-91F3-8D89EAEBD52B}"/>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AED4-4588-91F3-8D89EAEBD52B}"/>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AED4-4588-91F3-8D89EAEBD52B}"/>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AED4-4588-91F3-8D89EAEBD52B}"/>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AED4-4588-91F3-8D89EAEBD52B}"/>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AED4-4588-91F3-8D89EAEBD52B}"/>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AED4-4588-91F3-8D89EAEBD52B}"/>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AED4-4588-91F3-8D89EAEBD52B}"/>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f>'Prod Energie'!$A$37:$A$46</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f>'Prod Energie'!$I$37:$I$46</c:f>
              <c:numCache>
                <c:formatCode>0.00\ %</c:formatCode>
                <c:ptCount val="10"/>
                <c:pt idx="0">
                  <c:v>0.42116979966305518</c:v>
                </c:pt>
                <c:pt idx="1">
                  <c:v>0.34046104950735956</c:v>
                </c:pt>
                <c:pt idx="2" formatCode="0%">
                  <c:v>6.4523975575538017E-2</c:v>
                </c:pt>
                <c:pt idx="3" formatCode="0%">
                  <c:v>0</c:v>
                </c:pt>
                <c:pt idx="4" formatCode="0%">
                  <c:v>0</c:v>
                </c:pt>
                <c:pt idx="5" formatCode="0%">
                  <c:v>0</c:v>
                </c:pt>
                <c:pt idx="6" formatCode="0%">
                  <c:v>8.8777481422250303E-4</c:v>
                </c:pt>
                <c:pt idx="7" formatCode="0%">
                  <c:v>2.1318189384737198E-2</c:v>
                </c:pt>
                <c:pt idx="8" formatCode="0%">
                  <c:v>0.11267636615233785</c:v>
                </c:pt>
                <c:pt idx="9" formatCode="0%">
                  <c:v>0</c:v>
                </c:pt>
              </c:numCache>
            </c:numRef>
          </c:val>
          <c:extLst>
            <c:ext xmlns:c16="http://schemas.microsoft.com/office/drawing/2014/chart" uri="{C3380CC4-5D6E-409C-BE32-E72D297353CC}">
              <c16:uniqueId val="{00000014-AED4-4588-91F3-8D89EAEBD5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1375-4196-AE9E-03222A97C0D8}"/>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Corrélation consommation électrique de la métallurgie / production</a:t>
            </a:r>
            <a:r>
              <a:rPr lang="fr-FR" baseline="0"/>
              <a:t> de nickel (données 1990 - 2018)</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14326334208224"/>
                  <c:y val="-3.32407407407407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Nickel!$C$7:$C$35</c:f>
              <c:numCache>
                <c:formatCode>General</c:formatCode>
                <c:ptCount val="29"/>
                <c:pt idx="0">
                  <c:v>857308</c:v>
                </c:pt>
                <c:pt idx="1">
                  <c:v>869268</c:v>
                </c:pt>
                <c:pt idx="2">
                  <c:v>783391</c:v>
                </c:pt>
                <c:pt idx="3">
                  <c:v>941243</c:v>
                </c:pt>
                <c:pt idx="4">
                  <c:v>977451</c:v>
                </c:pt>
                <c:pt idx="5">
                  <c:v>1014410</c:v>
                </c:pt>
                <c:pt idx="6">
                  <c:v>1067000</c:v>
                </c:pt>
                <c:pt idx="7">
                  <c:v>1099342</c:v>
                </c:pt>
                <c:pt idx="8">
                  <c:v>1128893</c:v>
                </c:pt>
                <c:pt idx="9">
                  <c:v>1140853</c:v>
                </c:pt>
                <c:pt idx="10">
                  <c:v>1135796</c:v>
                </c:pt>
                <c:pt idx="11">
                  <c:v>1188644.084</c:v>
                </c:pt>
                <c:pt idx="12">
                  <c:v>1197285.2080000001</c:v>
                </c:pt>
                <c:pt idx="13">
                  <c:v>1200902.6429999999</c:v>
                </c:pt>
                <c:pt idx="14">
                  <c:v>1079381.4169999999</c:v>
                </c:pt>
                <c:pt idx="15">
                  <c:v>1259031.8729999999</c:v>
                </c:pt>
                <c:pt idx="16">
                  <c:v>1227380.798</c:v>
                </c:pt>
                <c:pt idx="17">
                  <c:v>1243134.2450000001</c:v>
                </c:pt>
                <c:pt idx="18">
                  <c:v>1167698.554</c:v>
                </c:pt>
                <c:pt idx="19">
                  <c:v>1231251.149</c:v>
                </c:pt>
                <c:pt idx="20">
                  <c:v>1370009.747</c:v>
                </c:pt>
                <c:pt idx="21">
                  <c:v>1453237.3672000002</c:v>
                </c:pt>
                <c:pt idx="22">
                  <c:v>1452400.1259999999</c:v>
                </c:pt>
                <c:pt idx="23">
                  <c:v>1684709.8841539351</c:v>
                </c:pt>
                <c:pt idx="24">
                  <c:v>2207622.665</c:v>
                </c:pt>
                <c:pt idx="25">
                  <c:v>2072269.8094507959</c:v>
                </c:pt>
                <c:pt idx="26">
                  <c:v>2257071</c:v>
                </c:pt>
                <c:pt idx="27">
                  <c:v>2362649</c:v>
                </c:pt>
                <c:pt idx="28">
                  <c:v>2617200</c:v>
                </c:pt>
              </c:numCache>
            </c:numRef>
          </c:xVal>
          <c:yVal>
            <c:numRef>
              <c:f>Nickel!$D$7:$D$35</c:f>
              <c:numCache>
                <c:formatCode>General</c:formatCode>
                <c:ptCount val="29"/>
                <c:pt idx="0">
                  <c:v>86510.527317100001</c:v>
                </c:pt>
                <c:pt idx="1">
                  <c:v>99969.826849999983</c:v>
                </c:pt>
                <c:pt idx="2">
                  <c:v>99691.853220000005</c:v>
                </c:pt>
                <c:pt idx="3">
                  <c:v>97087.973783999973</c:v>
                </c:pt>
                <c:pt idx="4">
                  <c:v>97227.102089299995</c:v>
                </c:pt>
                <c:pt idx="5">
                  <c:v>119714.16444800003</c:v>
                </c:pt>
                <c:pt idx="6">
                  <c:v>122449.50736820001</c:v>
                </c:pt>
                <c:pt idx="7">
                  <c:v>136608.775509</c:v>
                </c:pt>
                <c:pt idx="8">
                  <c:v>124736.51174100001</c:v>
                </c:pt>
                <c:pt idx="9">
                  <c:v>109509.00221690003</c:v>
                </c:pt>
                <c:pt idx="10">
                  <c:v>126791.1795382</c:v>
                </c:pt>
                <c:pt idx="11">
                  <c:v>117162.27988700001</c:v>
                </c:pt>
                <c:pt idx="12">
                  <c:v>99114.603631700011</c:v>
                </c:pt>
                <c:pt idx="13">
                  <c:v>112012.57158800001</c:v>
                </c:pt>
                <c:pt idx="14">
                  <c:v>119198.95698300001</c:v>
                </c:pt>
                <c:pt idx="15">
                  <c:v>111938.82802019999</c:v>
                </c:pt>
                <c:pt idx="16">
                  <c:v>104087.6312794</c:v>
                </c:pt>
                <c:pt idx="17">
                  <c:v>126052.01879300001</c:v>
                </c:pt>
                <c:pt idx="18">
                  <c:v>105883.99848939998</c:v>
                </c:pt>
                <c:pt idx="19">
                  <c:v>97307.969194499994</c:v>
                </c:pt>
                <c:pt idx="20">
                  <c:v>132121.66554849996</c:v>
                </c:pt>
                <c:pt idx="21">
                  <c:v>128106.94577799999</c:v>
                </c:pt>
                <c:pt idx="22">
                  <c:v>131686.712206</c:v>
                </c:pt>
                <c:pt idx="23">
                  <c:v>164405.844101</c:v>
                </c:pt>
                <c:pt idx="24">
                  <c:v>175174.16451599996</c:v>
                </c:pt>
                <c:pt idx="25">
                  <c:v>193075.30130400002</c:v>
                </c:pt>
                <c:pt idx="26">
                  <c:v>204210.02918900002</c:v>
                </c:pt>
                <c:pt idx="27">
                  <c:v>215381.59461299996</c:v>
                </c:pt>
                <c:pt idx="28">
                  <c:v>216224.61549700002</c:v>
                </c:pt>
              </c:numCache>
            </c:numRef>
          </c:yVal>
          <c:smooth val="1"/>
          <c:extLst>
            <c:ext xmlns:c16="http://schemas.microsoft.com/office/drawing/2014/chart" uri="{C3380CC4-5D6E-409C-BE32-E72D297353CC}">
              <c16:uniqueId val="{00000000-0392-429E-91BC-E793CB61D00F}"/>
            </c:ext>
          </c:extLst>
        </c:ser>
        <c:dLbls>
          <c:showLegendKey val="0"/>
          <c:showVal val="0"/>
          <c:showCatName val="0"/>
          <c:showSerName val="0"/>
          <c:showPercent val="0"/>
          <c:showBubbleSize val="0"/>
        </c:dLbls>
        <c:axId val="667352912"/>
        <c:axId val="667350832"/>
      </c:scatterChart>
      <c:valAx>
        <c:axId val="667352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Consommation d'énergie (MWh)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7350832"/>
        <c:crosses val="autoZero"/>
        <c:crossBetween val="midCat"/>
      </c:valAx>
      <c:valAx>
        <c:axId val="66735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Production de Nickel net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7352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Corrélation consommation énergétique + non énergétique (2009 - 2018)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Nickel!$D$26:$D$35</c:f>
              <c:numCache>
                <c:formatCode>General</c:formatCode>
                <c:ptCount val="10"/>
                <c:pt idx="0">
                  <c:v>97307.969194499994</c:v>
                </c:pt>
                <c:pt idx="1">
                  <c:v>132121.66554849996</c:v>
                </c:pt>
                <c:pt idx="2">
                  <c:v>128106.94577799999</c:v>
                </c:pt>
                <c:pt idx="3">
                  <c:v>131686.712206</c:v>
                </c:pt>
                <c:pt idx="4">
                  <c:v>164405.844101</c:v>
                </c:pt>
                <c:pt idx="5">
                  <c:v>175174.16451599996</c:v>
                </c:pt>
                <c:pt idx="6">
                  <c:v>193075.30130400002</c:v>
                </c:pt>
                <c:pt idx="7">
                  <c:v>204210.02918900002</c:v>
                </c:pt>
                <c:pt idx="8">
                  <c:v>215381.59461299996</c:v>
                </c:pt>
                <c:pt idx="9">
                  <c:v>216224.61549700002</c:v>
                </c:pt>
              </c:numCache>
            </c:numRef>
          </c:xVal>
          <c:yVal>
            <c:numRef>
              <c:f>Nickel!$H$26:$H$35</c:f>
              <c:numCache>
                <c:formatCode>General</c:formatCode>
                <c:ptCount val="10"/>
                <c:pt idx="0">
                  <c:v>5148.6010000000006</c:v>
                </c:pt>
                <c:pt idx="1">
                  <c:v>5149.7640000000001</c:v>
                </c:pt>
                <c:pt idx="2">
                  <c:v>5410.2759999999998</c:v>
                </c:pt>
                <c:pt idx="3">
                  <c:v>5568.4440000000013</c:v>
                </c:pt>
                <c:pt idx="4">
                  <c:v>6024.34</c:v>
                </c:pt>
                <c:pt idx="5">
                  <c:v>7253.6310000000012</c:v>
                </c:pt>
                <c:pt idx="6">
                  <c:v>6933.8060000000014</c:v>
                </c:pt>
                <c:pt idx="7">
                  <c:v>7459.482</c:v>
                </c:pt>
                <c:pt idx="8">
                  <c:v>7723.4830000000011</c:v>
                </c:pt>
                <c:pt idx="9">
                  <c:v>8351.5030000000006</c:v>
                </c:pt>
              </c:numCache>
            </c:numRef>
          </c:yVal>
          <c:smooth val="1"/>
          <c:extLst>
            <c:ext xmlns:c16="http://schemas.microsoft.com/office/drawing/2014/chart" uri="{C3380CC4-5D6E-409C-BE32-E72D297353CC}">
              <c16:uniqueId val="{00000000-EF2D-43AB-842F-751F8007B050}"/>
            </c:ext>
          </c:extLst>
        </c:ser>
        <c:dLbls>
          <c:showLegendKey val="0"/>
          <c:showVal val="0"/>
          <c:showCatName val="0"/>
          <c:showSerName val="0"/>
          <c:showPercent val="0"/>
          <c:showBubbleSize val="0"/>
        </c:dLbls>
        <c:axId val="1954701296"/>
        <c:axId val="1954698800"/>
      </c:scatterChart>
      <c:valAx>
        <c:axId val="1954701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Production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54698800"/>
        <c:crosses val="autoZero"/>
        <c:crossBetween val="midCat"/>
      </c:valAx>
      <c:valAx>
        <c:axId val="195469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Consommation (GWh)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54701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604C-41E0-80EE-8C31DD4740EE}"/>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413657</xdr:colOff>
      <xdr:row>24</xdr:row>
      <xdr:rowOff>87087</xdr:rowOff>
    </xdr:from>
    <xdr:to>
      <xdr:col>12</xdr:col>
      <xdr:colOff>772887</xdr:colOff>
      <xdr:row>54</xdr:row>
      <xdr:rowOff>130628</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54428</xdr:colOff>
      <xdr:row>56</xdr:row>
      <xdr:rowOff>152400</xdr:rowOff>
    </xdr:from>
    <xdr:to>
      <xdr:col>23</xdr:col>
      <xdr:colOff>391887</xdr:colOff>
      <xdr:row>86</xdr:row>
      <xdr:rowOff>130628</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402772</xdr:colOff>
      <xdr:row>56</xdr:row>
      <xdr:rowOff>152401</xdr:rowOff>
    </xdr:from>
    <xdr:to>
      <xdr:col>12</xdr:col>
      <xdr:colOff>740230</xdr:colOff>
      <xdr:row>86</xdr:row>
      <xdr:rowOff>130629</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381001</xdr:colOff>
      <xdr:row>5</xdr:row>
      <xdr:rowOff>32657</xdr:rowOff>
    </xdr:from>
    <xdr:to>
      <xdr:col>8</xdr:col>
      <xdr:colOff>185058</xdr:colOff>
      <xdr:row>20</xdr:row>
      <xdr:rowOff>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678180</xdr:colOff>
      <xdr:row>15</xdr:row>
      <xdr:rowOff>80010</xdr:rowOff>
    </xdr:from>
    <xdr:to>
      <xdr:col>14</xdr:col>
      <xdr:colOff>495300</xdr:colOff>
      <xdr:row>30</xdr:row>
      <xdr:rowOff>80010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31</xdr:row>
      <xdr:rowOff>114300</xdr:rowOff>
    </xdr:from>
    <xdr:to>
      <xdr:col>14</xdr:col>
      <xdr:colOff>670560</xdr:colOff>
      <xdr:row>46</xdr:row>
      <xdr:rowOff>114300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226440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226440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403860</xdr:colOff>
      <xdr:row>7</xdr:row>
      <xdr:rowOff>156210</xdr:rowOff>
    </xdr:from>
    <xdr:to>
      <xdr:col>17</xdr:col>
      <xdr:colOff>220980</xdr:colOff>
      <xdr:row>22</xdr:row>
      <xdr:rowOff>156210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88900</xdr:colOff>
      <xdr:row>21</xdr:row>
      <xdr:rowOff>215900</xdr:rowOff>
    </xdr:from>
    <xdr:to>
      <xdr:col>12</xdr:col>
      <xdr:colOff>57150</xdr:colOff>
      <xdr:row>43</xdr:row>
      <xdr:rowOff>28575</xdr:rowOff>
    </xdr:to>
    <xdr:graphicFrame macro="">
      <xdr:nvGraphicFramePr>
        <xdr:cNvPr id="2" name="Graphique 3">
          <a:extLst>
            <a:ext uri="{FF2B5EF4-FFF2-40B4-BE49-F238E27FC236}">
              <a16:creationId xmlns:a16="http://schemas.microsoft.com/office/drawing/2014/main" id="{5001A243-CB46-4DBF-A817-A0DC58D7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120650</xdr:colOff>
      <xdr:row>25</xdr:row>
      <xdr:rowOff>69850</xdr:rowOff>
    </xdr:from>
    <xdr:to>
      <xdr:col>16</xdr:col>
      <xdr:colOff>314324</xdr:colOff>
      <xdr:row>34</xdr:row>
      <xdr:rowOff>31750</xdr:rowOff>
    </xdr:to>
    <xdr:graphicFrame macro="">
      <xdr:nvGraphicFramePr>
        <xdr:cNvPr id="3" name="Graphique 28">
          <a:extLst>
            <a:ext uri="{FF2B5EF4-FFF2-40B4-BE49-F238E27FC236}">
              <a16:creationId xmlns:a16="http://schemas.microsoft.com/office/drawing/2014/main" id="{E5FCF4F4-7E08-416A-B27D-62575CD09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0.395</cdr:x>
      <cdr:y>0.37562</cdr:y>
    </cdr:from>
    <cdr:to>
      <cdr:x>0.47636</cdr:x>
      <cdr:y>0.43855</cdr:y>
    </cdr:to>
    <cdr:sp macro="" textlink="#REF!">
      <cdr:nvSpPr>
        <cdr:cNvPr id="4" name="ZoneTexte 1"/>
        <cdr:cNvSpPr txBox="1"/>
      </cdr:nvSpPr>
      <cdr:spPr>
        <a:xfrm xmlns:a="http://schemas.openxmlformats.org/drawingml/2006/main">
          <a:off x="2257444" y="1438269"/>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A638151-9DBF-48AF-A66C-3D391E352C1D}"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0.615</cdr:x>
      <cdr:y>0.3582</cdr:y>
    </cdr:from>
    <cdr:to>
      <cdr:x>0.69636</cdr:x>
      <cdr:y>0.42114</cdr:y>
    </cdr:to>
    <cdr:sp macro="" textlink="#REF!">
      <cdr:nvSpPr>
        <cdr:cNvPr id="5" name="ZoneTexte 1"/>
        <cdr:cNvSpPr txBox="1"/>
      </cdr:nvSpPr>
      <cdr:spPr>
        <a:xfrm xmlns:a="http://schemas.openxmlformats.org/drawingml/2006/main">
          <a:off x="3514744" y="1371583"/>
          <a:ext cx="464972" cy="24100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F1EDBBA-CD29-4B72-9B20-6DB81EEA28A7}" type="TxLink">
            <a:rPr lang="fr-FR" sz="800"/>
            <a:pPr algn="ctr"/>
            <a:t> </a:t>
          </a:fld>
          <a:endParaRPr lang="fr-FR" sz="800"/>
        </a:p>
      </cdr:txBody>
    </cdr:sp>
  </cdr:relSizeAnchor>
  <cdr:relSizeAnchor xmlns:cdr="http://schemas.openxmlformats.org/drawingml/2006/chartDrawing">
    <cdr:from>
      <cdr:x>0.845</cdr:x>
      <cdr:y>0.04727</cdr:y>
    </cdr:from>
    <cdr:to>
      <cdr:x>0.92636</cdr:x>
      <cdr:y>0.1102</cdr:y>
    </cdr:to>
    <cdr:sp macro="" textlink="#REF!">
      <cdr:nvSpPr>
        <cdr:cNvPr id="6" name="ZoneTexte 1"/>
        <cdr:cNvSpPr txBox="1"/>
      </cdr:nvSpPr>
      <cdr:spPr>
        <a:xfrm xmlns:a="http://schemas.openxmlformats.org/drawingml/2006/main">
          <a:off x="4829194" y="180985"/>
          <a:ext cx="464972" cy="2409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AA0DC8B8-9154-4514-A72C-C40B94485CA9}" type="TxLink">
            <a:rPr lang="fr-FR" sz="800" b="0" i="0" u="none" strike="noStrike">
              <a:solidFill>
                <a:srgbClr val="000000"/>
              </a:solidFill>
              <a:latin typeface="Arial"/>
              <a:cs typeface="Arial"/>
            </a:rPr>
            <a:pPr algn="ctr"/>
            <a:t> </a:t>
          </a:fld>
          <a:endParaRPr lang="fr-FR" sz="800"/>
        </a:p>
      </cdr:txBody>
    </cdr:sp>
  </cdr:relSizeAnchor>
  <cdr:relSizeAnchor xmlns:cdr="http://schemas.openxmlformats.org/drawingml/2006/chartDrawing">
    <cdr:from>
      <cdr:x>0.86167</cdr:x>
      <cdr:y>0.23632</cdr:y>
    </cdr:from>
    <cdr:to>
      <cdr:x>0.94303</cdr:x>
      <cdr:y>0.29925</cdr:y>
    </cdr:to>
    <cdr:sp macro="" textlink="#REF!">
      <cdr:nvSpPr>
        <cdr:cNvPr id="7" name="ZoneTexte 1"/>
        <cdr:cNvSpPr txBox="1"/>
      </cdr:nvSpPr>
      <cdr:spPr>
        <a:xfrm xmlns:a="http://schemas.openxmlformats.org/drawingml/2006/main">
          <a:off x="4924425" y="904875"/>
          <a:ext cx="465004" cy="24096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DB68A698-B644-448E-82D3-B9582A3D8916}" type="TxLink">
            <a:rPr lang="fr-FR" sz="800"/>
            <a:pPr algn="ctr"/>
            <a:t> </a:t>
          </a:fld>
          <a:endParaRPr lang="fr-FR" sz="800"/>
        </a:p>
      </cdr:txBody>
    </cdr:sp>
  </cdr:relSizeAnchor>
  <cdr:relSizeAnchor xmlns:cdr="http://schemas.openxmlformats.org/drawingml/2006/chartDrawing">
    <cdr:from>
      <cdr:x>0.36669</cdr:x>
      <cdr:y>0.03182</cdr:y>
    </cdr:from>
    <cdr:to>
      <cdr:x>0.52171</cdr:x>
      <cdr:y>0.06158</cdr:y>
    </cdr:to>
    <cdr:sp macro="" textlink="">
      <cdr:nvSpPr>
        <cdr:cNvPr id="8" name="Text Box 32">
          <a:extLst xmlns:a="http://schemas.openxmlformats.org/drawingml/2006/main">
            <a:ext uri="{FF2B5EF4-FFF2-40B4-BE49-F238E27FC236}">
              <a16:creationId xmlns:a16="http://schemas.microsoft.com/office/drawing/2014/main" id="{8F1FDBA5-D232-4D05-A976-0BD664E7ABA2}"/>
            </a:ext>
          </a:extLst>
        </cdr:cNvPr>
        <cdr:cNvSpPr txBox="1">
          <a:spLocks xmlns:a="http://schemas.openxmlformats.org/drawingml/2006/main" noChangeArrowheads="1"/>
        </cdr:cNvSpPr>
      </cdr:nvSpPr>
      <cdr:spPr bwMode="auto">
        <a:xfrm xmlns:a="http://schemas.openxmlformats.org/drawingml/2006/main">
          <a:off x="2838450" y="127000"/>
          <a:ext cx="1199896" cy="118763"/>
        </a:xfrm>
        <a:prstGeom xmlns:a="http://schemas.openxmlformats.org/drawingml/2006/main" prst="rect">
          <a:avLst/>
        </a:prstGeom>
        <a:solidFill xmlns:a="http://schemas.openxmlformats.org/drawingml/2006/main">
          <a:srgbClr val="C6D9F1"/>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Industrie énergie</a:t>
          </a:r>
        </a:p>
      </cdr:txBody>
    </cdr:sp>
  </cdr:relSizeAnchor>
  <cdr:relSizeAnchor xmlns:cdr="http://schemas.openxmlformats.org/drawingml/2006/chartDrawing">
    <cdr:from>
      <cdr:x>0.52013</cdr:x>
      <cdr:y>0.03223</cdr:y>
    </cdr:from>
    <cdr:to>
      <cdr:x>0.68129</cdr:x>
      <cdr:y>0.06295</cdr:y>
    </cdr:to>
    <cdr:sp macro="" textlink="">
      <cdr:nvSpPr>
        <cdr:cNvPr id="9" name="Text Box 33">
          <a:extLst xmlns:a="http://schemas.openxmlformats.org/drawingml/2006/main">
            <a:ext uri="{FF2B5EF4-FFF2-40B4-BE49-F238E27FC236}">
              <a16:creationId xmlns:a16="http://schemas.microsoft.com/office/drawing/2014/main" id="{9F8F1715-D34C-4248-A3E3-7540DBA2B8AC}"/>
            </a:ext>
          </a:extLst>
        </cdr:cNvPr>
        <cdr:cNvSpPr txBox="1">
          <a:spLocks xmlns:a="http://schemas.openxmlformats.org/drawingml/2006/main" noChangeArrowheads="1"/>
        </cdr:cNvSpPr>
      </cdr:nvSpPr>
      <cdr:spPr bwMode="auto">
        <a:xfrm xmlns:a="http://schemas.openxmlformats.org/drawingml/2006/main">
          <a:off x="4026164" y="128613"/>
          <a:ext cx="1247499" cy="122614"/>
        </a:xfrm>
        <a:prstGeom xmlns:a="http://schemas.openxmlformats.org/drawingml/2006/main" prst="rect">
          <a:avLst/>
        </a:prstGeom>
        <a:solidFill xmlns:a="http://schemas.openxmlformats.org/drawingml/2006/main">
          <a:srgbClr val="0070C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FFFFFF"/>
              </a:solidFill>
              <a:latin typeface="Trebuchet MS" pitchFamily="34" charset="0"/>
              <a:cs typeface="Arial"/>
            </a:rPr>
            <a:t>Industrie manufacturière</a:t>
          </a:r>
        </a:p>
      </cdr:txBody>
    </cdr:sp>
  </cdr:relSizeAnchor>
  <cdr:relSizeAnchor xmlns:cdr="http://schemas.openxmlformats.org/drawingml/2006/chartDrawing">
    <cdr:from>
      <cdr:x>0.67507</cdr:x>
      <cdr:y>0.03215</cdr:y>
    </cdr:from>
    <cdr:to>
      <cdr:x>0.83008</cdr:x>
      <cdr:y>0.06191</cdr:y>
    </cdr:to>
    <cdr:sp macro="" textlink="">
      <cdr:nvSpPr>
        <cdr:cNvPr id="10" name="Text Box 34">
          <a:extLst xmlns:a="http://schemas.openxmlformats.org/drawingml/2006/main">
            <a:ext uri="{FF2B5EF4-FFF2-40B4-BE49-F238E27FC236}">
              <a16:creationId xmlns:a16="http://schemas.microsoft.com/office/drawing/2014/main" id="{74C14872-670C-4A43-BE85-514E99E0CBA1}"/>
            </a:ext>
          </a:extLst>
        </cdr:cNvPr>
        <cdr:cNvSpPr txBox="1">
          <a:spLocks xmlns:a="http://schemas.openxmlformats.org/drawingml/2006/main" noChangeArrowheads="1"/>
        </cdr:cNvSpPr>
      </cdr:nvSpPr>
      <cdr:spPr bwMode="auto">
        <a:xfrm xmlns:a="http://schemas.openxmlformats.org/drawingml/2006/main">
          <a:off x="5225471" y="128300"/>
          <a:ext cx="1199896" cy="118763"/>
        </a:xfrm>
        <a:prstGeom xmlns:a="http://schemas.openxmlformats.org/drawingml/2006/main" prst="rect">
          <a:avLst/>
        </a:prstGeom>
        <a:solidFill xmlns:a="http://schemas.openxmlformats.org/drawingml/2006/main">
          <a:srgbClr val="B3A2C7"/>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Déchets (centralisés)</a:t>
          </a:r>
        </a:p>
      </cdr:txBody>
    </cdr:sp>
  </cdr:relSizeAnchor>
  <cdr:relSizeAnchor xmlns:cdr="http://schemas.openxmlformats.org/drawingml/2006/chartDrawing">
    <cdr:from>
      <cdr:x>0.82966</cdr:x>
      <cdr:y>0.03204</cdr:y>
    </cdr:from>
    <cdr:to>
      <cdr:x>0.98467</cdr:x>
      <cdr:y>0.0618</cdr:y>
    </cdr:to>
    <cdr:sp macro="" textlink="">
      <cdr:nvSpPr>
        <cdr:cNvPr id="11" name="Text Box 35">
          <a:extLst xmlns:a="http://schemas.openxmlformats.org/drawingml/2006/main">
            <a:ext uri="{FF2B5EF4-FFF2-40B4-BE49-F238E27FC236}">
              <a16:creationId xmlns:a16="http://schemas.microsoft.com/office/drawing/2014/main" id="{B1F34CF0-DC44-4EB9-9B49-F963A2155B2E}"/>
            </a:ext>
          </a:extLst>
        </cdr:cNvPr>
        <cdr:cNvSpPr txBox="1">
          <a:spLocks xmlns:a="http://schemas.openxmlformats.org/drawingml/2006/main" noChangeArrowheads="1"/>
        </cdr:cNvSpPr>
      </cdr:nvSpPr>
      <cdr:spPr bwMode="auto">
        <a:xfrm xmlns:a="http://schemas.openxmlformats.org/drawingml/2006/main">
          <a:off x="6422080" y="127888"/>
          <a:ext cx="1199896" cy="118763"/>
        </a:xfrm>
        <a:prstGeom xmlns:a="http://schemas.openxmlformats.org/drawingml/2006/main" prst="rect">
          <a:avLst/>
        </a:prstGeom>
        <a:solidFill xmlns:a="http://schemas.openxmlformats.org/drawingml/2006/main">
          <a:srgbClr val="E0E5B3"/>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Résidentiel/tertiaire</a:t>
          </a:r>
        </a:p>
      </cdr:txBody>
    </cdr:sp>
  </cdr:relSizeAnchor>
  <cdr:relSizeAnchor xmlns:cdr="http://schemas.openxmlformats.org/drawingml/2006/chartDrawing">
    <cdr:from>
      <cdr:x>0.52013</cdr:x>
      <cdr:y>0.06115</cdr:y>
    </cdr:from>
    <cdr:to>
      <cdr:x>0.67514</cdr:x>
      <cdr:y>0.09091</cdr:y>
    </cdr:to>
    <cdr:sp macro="" textlink="">
      <cdr:nvSpPr>
        <cdr:cNvPr id="12" name="Text Box 36">
          <a:extLst xmlns:a="http://schemas.openxmlformats.org/drawingml/2006/main">
            <a:ext uri="{FF2B5EF4-FFF2-40B4-BE49-F238E27FC236}">
              <a16:creationId xmlns:a16="http://schemas.microsoft.com/office/drawing/2014/main" id="{6FE5D2E3-3E73-41D4-8437-5A0517A57C33}"/>
            </a:ext>
          </a:extLst>
        </cdr:cNvPr>
        <cdr:cNvSpPr txBox="1">
          <a:spLocks xmlns:a="http://schemas.openxmlformats.org/drawingml/2006/main" noChangeArrowheads="1"/>
        </cdr:cNvSpPr>
      </cdr:nvSpPr>
      <cdr:spPr bwMode="auto">
        <a:xfrm xmlns:a="http://schemas.openxmlformats.org/drawingml/2006/main">
          <a:off x="4026153" y="244055"/>
          <a:ext cx="1199896" cy="118763"/>
        </a:xfrm>
        <a:prstGeom xmlns:a="http://schemas.openxmlformats.org/drawingml/2006/main" prst="rect">
          <a:avLst/>
        </a:prstGeom>
        <a:solidFill xmlns:a="http://schemas.openxmlformats.org/drawingml/2006/main">
          <a:srgbClr val="92D05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rgbClr val="000000"/>
              </a:solidFill>
              <a:latin typeface="Trebuchet MS" pitchFamily="34" charset="0"/>
              <a:cs typeface="Arial"/>
            </a:rPr>
            <a:t>Agriculture/sylviculture</a:t>
          </a:r>
        </a:p>
      </cdr:txBody>
    </cdr:sp>
  </cdr:relSizeAnchor>
  <cdr:relSizeAnchor xmlns:cdr="http://schemas.openxmlformats.org/drawingml/2006/chartDrawing">
    <cdr:from>
      <cdr:x>0.67496</cdr:x>
      <cdr:y>0.06156</cdr:y>
    </cdr:from>
    <cdr:to>
      <cdr:x>0.82997</cdr:x>
      <cdr:y>0.09132</cdr:y>
    </cdr:to>
    <cdr:sp macro="" textlink="">
      <cdr:nvSpPr>
        <cdr:cNvPr id="13" name="Text Box 37">
          <a:extLst xmlns:a="http://schemas.openxmlformats.org/drawingml/2006/main">
            <a:ext uri="{FF2B5EF4-FFF2-40B4-BE49-F238E27FC236}">
              <a16:creationId xmlns:a16="http://schemas.microsoft.com/office/drawing/2014/main" id="{253BACAC-D0B4-496C-8F50-B1B1D7F40895}"/>
            </a:ext>
          </a:extLst>
        </cdr:cNvPr>
        <cdr:cNvSpPr txBox="1">
          <a:spLocks xmlns:a="http://schemas.openxmlformats.org/drawingml/2006/main" noChangeArrowheads="1"/>
        </cdr:cNvSpPr>
      </cdr:nvSpPr>
      <cdr:spPr bwMode="auto">
        <a:xfrm xmlns:a="http://schemas.openxmlformats.org/drawingml/2006/main">
          <a:off x="5224640" y="245686"/>
          <a:ext cx="1199896" cy="118763"/>
        </a:xfrm>
        <a:prstGeom xmlns:a="http://schemas.openxmlformats.org/drawingml/2006/main" prst="rect">
          <a:avLst/>
        </a:prstGeom>
        <a:solidFill xmlns:a="http://schemas.openxmlformats.org/drawingml/2006/main">
          <a:srgbClr val="7030A0"/>
        </a:solidFill>
        <a:ln xmlns:a="http://schemas.openxmlformats.org/drawingml/2006/main" w="9525">
          <a:noFill/>
          <a:miter lim="800000"/>
          <a:headEnd/>
          <a:tailEnd/>
        </a:ln>
      </cdr:spPr>
      <cdr:txBody>
        <a:bodyPr xmlns:a="http://schemas.openxmlformats.org/drawingml/2006/main" wrap="square" lIns="91440" tIns="45720" rIns="91440" bIns="45720" anchor="ctr" anchorCtr="0"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fr-FR" sz="700" b="0" i="0" strike="noStrike">
              <a:solidFill>
                <a:schemeClr val="bg1"/>
              </a:solidFill>
              <a:latin typeface="Trebuchet MS" pitchFamily="34" charset="0"/>
              <a:cs typeface="Arial"/>
            </a:rPr>
            <a:t>Transports</a:t>
          </a:r>
        </a:p>
      </cdr:txBody>
    </cdr:sp>
  </cdr:relSizeAnchor>
</c:userShapes>
</file>

<file path=xl/drawings/drawing7.xml><?xml version="1.0" encoding="utf-8"?>
<c:userShapes xmlns:c="http://schemas.openxmlformats.org/drawingml/2006/chart">
  <cdr:relSizeAnchor xmlns:cdr="http://schemas.openxmlformats.org/drawingml/2006/chartDrawing">
    <cdr:from>
      <cdr:x>0.20145</cdr:x>
      <cdr:y>0</cdr:y>
    </cdr:from>
    <cdr:to>
      <cdr:x>0.77068</cdr:x>
      <cdr:y>0.13333</cdr:y>
    </cdr:to>
    <cdr:sp macro="" textlink="">
      <cdr:nvSpPr>
        <cdr:cNvPr id="2" name="ZoneTexte 1">
          <a:extLst xmlns:a="http://schemas.openxmlformats.org/drawingml/2006/main">
            <a:ext uri="{FF2B5EF4-FFF2-40B4-BE49-F238E27FC236}">
              <a16:creationId xmlns:a16="http://schemas.microsoft.com/office/drawing/2014/main" id="{7604737C-BCA5-4BFC-8790-F842A8288D30}"/>
            </a:ext>
          </a:extLst>
        </cdr:cNvPr>
        <cdr:cNvSpPr txBox="1"/>
      </cdr:nvSpPr>
      <cdr:spPr>
        <a:xfrm xmlns:a="http://schemas.openxmlformats.org/drawingml/2006/main">
          <a:off x="361376" y="0"/>
          <a:ext cx="1021127"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000" b="1">
              <a:latin typeface="Trebuchet MS" panose="020B0603020202020204" pitchFamily="34" charset="0"/>
            </a:rPr>
            <a:t>2019</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serveur\INVENTAIRE\windows\TEMP\Common%20Reporting%20Format%20V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itepa\INVENTAIRE\FICHES\En%20cours\En_chantier\06-AGRICULTURE\Elevag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ow r="4">
          <cell r="C4" t="str">
            <v>Country</v>
          </cell>
        </row>
        <row r="6">
          <cell r="C6" t="str">
            <v>Year</v>
          </cell>
        </row>
        <row r="30">
          <cell r="C30"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énérique"/>
      <sheetName val="Références"/>
      <sheetName val="Suivi"/>
      <sheetName val="Cheptels"/>
      <sheetName val="FE"/>
      <sheetName val="Emissions"/>
      <sheetName val="Mode_Gestion"/>
      <sheetName val="Fermentation_CH4"/>
      <sheetName val="Déjections_CH4"/>
      <sheetName val="Déjections_N2O"/>
      <sheetName val="Déjections_NH3"/>
      <sheetName val="Export_culture"/>
      <sheetName val="Export_ACTIV"/>
      <sheetName val="cheptels DT"/>
      <sheetName val="DOM-TOM 1 (CH4 et NH3)"/>
      <sheetName val="dom-Export_ACTIV"/>
      <sheetName val="tom-Export_EMIS"/>
      <sheetName val="dom-Export_EMIS"/>
      <sheetName val="Export_EMIS"/>
      <sheetName val="tom-Export_ACTIV"/>
      <sheetName val="DOM-TOM 2 (N2O)"/>
      <sheetName val="DOM-TOM 3 (TSP- PM10-PM2.5)"/>
      <sheetName val="Export CRF-int"/>
      <sheetName val="Export CRF"/>
      <sheetName val="déjection-old"/>
      <sheetName val="Beck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ifpenergiesnouvelles.fr/article/nickel-transition-energetique-pourquoi-parle-t-metal-du-diable"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541" t="s">
        <v>0</v>
      </c>
      <c r="C2" s="541"/>
      <c r="D2" s="541"/>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217.55974710170528</v>
      </c>
      <c r="D6" s="2">
        <f t="shared" si="0"/>
        <v>218.49705118817599</v>
      </c>
      <c r="E6" s="2">
        <f t="shared" si="0"/>
        <v>223.16690004259647</v>
      </c>
      <c r="F6" s="2">
        <f t="shared" si="0"/>
        <v>227.80896293379527</v>
      </c>
      <c r="G6" s="2">
        <f t="shared" si="0"/>
        <v>232.42323986177246</v>
      </c>
      <c r="H6" s="2">
        <f>H7+H8</f>
        <v>237.00973082652797</v>
      </c>
      <c r="I6" s="2">
        <f>I7+I8</f>
        <v>241.56843582806184</v>
      </c>
      <c r="J6" s="2">
        <f>J7+J8</f>
        <v>246.09935486637406</v>
      </c>
      <c r="K6" s="2"/>
      <c r="L6" s="2"/>
      <c r="M6" s="2"/>
      <c r="N6" s="2"/>
      <c r="V6" s="2" t="s">
        <v>4</v>
      </c>
      <c r="W6" s="2">
        <f t="shared" ref="W6:AD6" si="1">W7+W8</f>
        <v>217.55974710170528</v>
      </c>
      <c r="X6" s="2">
        <f t="shared" si="1"/>
        <v>217.49818599682465</v>
      </c>
      <c r="Y6" s="2">
        <f t="shared" si="1"/>
        <v>217.02941055223857</v>
      </c>
      <c r="Z6" s="2">
        <f t="shared" si="1"/>
        <v>216.29235190734789</v>
      </c>
      <c r="AA6" s="2">
        <f t="shared" si="1"/>
        <v>215.28701006215255</v>
      </c>
      <c r="AB6" s="2">
        <f t="shared" si="1"/>
        <v>214.01338501665259</v>
      </c>
      <c r="AC6" s="2">
        <f t="shared" si="1"/>
        <v>212.471476770848</v>
      </c>
      <c r="AD6" s="2">
        <f t="shared" si="1"/>
        <v>210.66128532473874</v>
      </c>
    </row>
    <row r="7" spans="2:30">
      <c r="B7" s="2" t="s">
        <v>5</v>
      </c>
      <c r="C7" s="2">
        <f>Agriculture!D19</f>
        <v>71.206161749339302</v>
      </c>
      <c r="D7" s="2">
        <f>Agriculture!G19</f>
        <v>71.435303326040483</v>
      </c>
      <c r="E7" s="2">
        <f>Agriculture!J19</f>
        <v>72.564339631613379</v>
      </c>
      <c r="F7" s="2">
        <f>Agriculture!M19</f>
        <v>73.665589973964629</v>
      </c>
      <c r="G7" s="2">
        <f>Agriculture!P19</f>
        <v>74.739054353094232</v>
      </c>
      <c r="H7" s="2">
        <f>Agriculture!S19</f>
        <v>75.78473276900219</v>
      </c>
      <c r="I7" s="2">
        <f>Agriculture!V19</f>
        <v>76.802625221688515</v>
      </c>
      <c r="J7" s="2">
        <f>Agriculture!Y19</f>
        <v>77.792731711153181</v>
      </c>
      <c r="K7" s="2"/>
      <c r="L7" s="2"/>
      <c r="M7" s="2"/>
      <c r="N7" s="2"/>
      <c r="V7" s="2" t="s">
        <v>5</v>
      </c>
      <c r="W7" s="2">
        <f>Agriculture!D35</f>
        <v>71.206161749339302</v>
      </c>
      <c r="X7" s="2">
        <f>Agriculture!G35</f>
        <v>70.673634502208714</v>
      </c>
      <c r="Y7" s="2">
        <f>Agriculture!J35</f>
        <v>67.884294274265017</v>
      </c>
      <c r="Z7" s="2">
        <f>Agriculture!M35</f>
        <v>64.883780725836829</v>
      </c>
      <c r="AA7" s="2">
        <f>Agriculture!P35</f>
        <v>61.672093856924114</v>
      </c>
      <c r="AB7" s="2">
        <f>Agriculture!S35</f>
        <v>58.249233667526894</v>
      </c>
      <c r="AC7" s="2">
        <f>Agriculture!V35</f>
        <v>54.61520015764517</v>
      </c>
      <c r="AD7" s="2">
        <f>Agriculture!Y35</f>
        <v>50.769993327278918</v>
      </c>
    </row>
    <row r="8" spans="2:30">
      <c r="B8" s="2" t="s">
        <v>6</v>
      </c>
      <c r="C8" s="2">
        <f>Agriculture!D20</f>
        <v>146.353585352366</v>
      </c>
      <c r="D8" s="2">
        <f>Agriculture!G20</f>
        <v>147.06174786213552</v>
      </c>
      <c r="E8" s="2">
        <f>Agriculture!J20</f>
        <v>150.60256041098307</v>
      </c>
      <c r="F8" s="2">
        <f>Agriculture!M20</f>
        <v>154.14337295983063</v>
      </c>
      <c r="G8" s="2">
        <f>Agriculture!P20</f>
        <v>157.68418550867821</v>
      </c>
      <c r="H8" s="2">
        <f>Agriculture!S20</f>
        <v>161.22499805752577</v>
      </c>
      <c r="I8" s="2">
        <f>Agriculture!V20</f>
        <v>164.76581060637332</v>
      </c>
      <c r="J8" s="2">
        <f>Agriculture!Y20</f>
        <v>168.30662315522088</v>
      </c>
      <c r="K8" s="2"/>
      <c r="L8" s="2"/>
      <c r="M8" s="2"/>
      <c r="N8" s="2"/>
      <c r="V8" s="2" t="s">
        <v>6</v>
      </c>
      <c r="W8" s="2">
        <f>Agriculture!D36</f>
        <v>146.353585352366</v>
      </c>
      <c r="X8" s="2">
        <f>Agriculture!G36</f>
        <v>146.82455149461595</v>
      </c>
      <c r="Y8" s="2">
        <f>Agriculture!J36</f>
        <v>149.14511627797356</v>
      </c>
      <c r="Z8" s="2">
        <f>Agriculture!M36</f>
        <v>151.40857118151106</v>
      </c>
      <c r="AA8" s="2">
        <f>Agriculture!P36</f>
        <v>153.61491620522844</v>
      </c>
      <c r="AB8" s="2">
        <f>Agriculture!S36</f>
        <v>155.76415134912568</v>
      </c>
      <c r="AC8" s="2">
        <f>Agriculture!V36</f>
        <v>157.85627661320282</v>
      </c>
      <c r="AD8" s="2">
        <f>Agriculture!Y36</f>
        <v>159.89129199745983</v>
      </c>
    </row>
    <row r="9" spans="2:30">
      <c r="B9" s="2" t="s">
        <v>7</v>
      </c>
      <c r="C9" s="2">
        <f>Déchets!B23</f>
        <v>146.35235840731744</v>
      </c>
      <c r="D9" s="2">
        <f>Déchets!C23</f>
        <v>146.40453250272043</v>
      </c>
      <c r="E9" s="2">
        <f>Déchets!D23</f>
        <v>157.29942256613433</v>
      </c>
      <c r="F9" s="2">
        <f>Déchets!E23</f>
        <v>160.39030997825287</v>
      </c>
      <c r="G9" s="2">
        <f>Déchets!F23</f>
        <v>162.45780544861438</v>
      </c>
      <c r="H9" s="2">
        <f>Déchets!G23</f>
        <v>163.56884351031493</v>
      </c>
      <c r="I9" s="2">
        <f>Déchets!H23</f>
        <v>163.67979781537264</v>
      </c>
      <c r="J9" s="2">
        <f>Déchets!I23</f>
        <v>162.72988873028655</v>
      </c>
      <c r="K9" s="2"/>
      <c r="L9" s="2"/>
      <c r="M9" s="2"/>
      <c r="N9" s="2"/>
      <c r="V9" s="2" t="s">
        <v>7</v>
      </c>
      <c r="W9" s="2">
        <f>Déchets!B36</f>
        <v>146.35235840731744</v>
      </c>
      <c r="X9" s="2">
        <f>Déchets!C36</f>
        <v>144.84097905373341</v>
      </c>
      <c r="Y9" s="2">
        <f>Déchets!D36</f>
        <v>133.46394440597678</v>
      </c>
      <c r="Z9" s="2">
        <f>Déchets!E36</f>
        <v>122.08690975822014</v>
      </c>
      <c r="AA9" s="2">
        <f>Déchets!F36</f>
        <v>110.70987511046353</v>
      </c>
      <c r="AB9" s="2">
        <f>Déchets!G36</f>
        <v>99.332840462706912</v>
      </c>
      <c r="AC9" s="2">
        <f>Déchets!H36</f>
        <v>87.955805814950295</v>
      </c>
      <c r="AD9" s="2">
        <f>Déchets!I36</f>
        <v>76.578771167193679</v>
      </c>
    </row>
    <row r="10" spans="2:30">
      <c r="B10" s="2" t="s">
        <v>8</v>
      </c>
      <c r="C10" s="2">
        <f>UTCATF!B10</f>
        <v>332.7090509407227</v>
      </c>
      <c r="D10" s="2">
        <f>UTCATF!C10</f>
        <v>332.70908155553809</v>
      </c>
      <c r="E10" s="2">
        <f>UTCATF!D10</f>
        <v>332.70923462961508</v>
      </c>
      <c r="F10" s="2">
        <f>UTCATF!E10</f>
        <v>332.70938770369207</v>
      </c>
      <c r="G10" s="2">
        <f>UTCATF!F10</f>
        <v>332.70954077776906</v>
      </c>
      <c r="H10" s="2">
        <f>UTCATF!G10</f>
        <v>332.709693851846</v>
      </c>
      <c r="I10" s="2">
        <f>UTCATF!H10</f>
        <v>332.70984692592299</v>
      </c>
      <c r="J10" s="2">
        <f>UTCATF!I10</f>
        <v>332.71</v>
      </c>
      <c r="K10" s="2"/>
      <c r="L10" s="2"/>
      <c r="M10" s="2"/>
      <c r="N10" s="2"/>
      <c r="V10" s="2" t="s">
        <v>8</v>
      </c>
      <c r="W10" s="2">
        <f>UTCATF!B16</f>
        <v>332.7090509407227</v>
      </c>
      <c r="X10" s="2">
        <f>UTCATF!C16</f>
        <v>321.97650091037679</v>
      </c>
      <c r="Y10" s="2">
        <f>UTCATF!D16</f>
        <v>268.31375075864736</v>
      </c>
      <c r="Z10" s="2">
        <f>UTCATF!E16</f>
        <v>214.65100060691788</v>
      </c>
      <c r="AA10" s="2">
        <f>UTCATF!F16</f>
        <v>160.98825045518839</v>
      </c>
      <c r="AB10" s="2">
        <f>UTCATF!G16</f>
        <v>107.32550030345894</v>
      </c>
      <c r="AC10" s="2">
        <f>UTCATF!H16</f>
        <v>53.662750151729426</v>
      </c>
      <c r="AD10" s="2">
        <f>UTCATF!I16</f>
        <v>0</v>
      </c>
    </row>
    <row r="13" spans="2:30" ht="18">
      <c r="B13" s="541" t="s">
        <v>9</v>
      </c>
      <c r="C13" s="541"/>
      <c r="D13" s="541"/>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36" t="s">
        <v>359</v>
      </c>
      <c r="I19" s="236" t="s">
        <v>148</v>
      </c>
      <c r="J19" s="236" t="s">
        <v>360</v>
      </c>
      <c r="K19" s="236" t="s">
        <v>7</v>
      </c>
      <c r="L19" s="236" t="s">
        <v>361</v>
      </c>
      <c r="M19" s="236" t="s">
        <v>147</v>
      </c>
      <c r="N19" s="236" t="s">
        <v>362</v>
      </c>
      <c r="O19" s="239"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37">
        <v>873.30980373516763</v>
      </c>
      <c r="I20" s="237">
        <v>70.756794291068672</v>
      </c>
      <c r="J20" s="237">
        <v>0</v>
      </c>
      <c r="K20" s="237">
        <v>90.647752968071387</v>
      </c>
      <c r="L20" s="237">
        <v>379.83668363960567</v>
      </c>
      <c r="M20" s="237">
        <v>485.31857264308019</v>
      </c>
      <c r="N20" s="237">
        <v>0</v>
      </c>
      <c r="O20" s="240">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37">
        <v>0</v>
      </c>
      <c r="I21" s="237">
        <v>0</v>
      </c>
      <c r="J21" s="237">
        <v>0</v>
      </c>
      <c r="K21" s="237">
        <v>0</v>
      </c>
      <c r="L21" s="237">
        <v>0</v>
      </c>
      <c r="M21" s="237">
        <v>0</v>
      </c>
      <c r="N21" s="237">
        <v>0</v>
      </c>
      <c r="O21" s="240">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37">
        <v>0</v>
      </c>
      <c r="I22" s="237">
        <v>0</v>
      </c>
      <c r="J22" s="237">
        <v>0</v>
      </c>
      <c r="K22" s="237">
        <v>0</v>
      </c>
      <c r="L22" s="237">
        <v>0</v>
      </c>
      <c r="M22" s="237">
        <v>0</v>
      </c>
      <c r="N22" s="237">
        <v>0</v>
      </c>
      <c r="O22" s="240">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37">
        <v>0</v>
      </c>
      <c r="I23" s="237">
        <v>0</v>
      </c>
      <c r="J23" s="237">
        <v>0</v>
      </c>
      <c r="K23" s="237">
        <v>0</v>
      </c>
      <c r="L23" s="237">
        <v>0</v>
      </c>
      <c r="M23" s="237">
        <v>0</v>
      </c>
      <c r="N23" s="237">
        <v>0</v>
      </c>
      <c r="O23" s="240">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37">
        <v>0</v>
      </c>
      <c r="I24" s="237">
        <v>0</v>
      </c>
      <c r="J24" s="237">
        <v>0</v>
      </c>
      <c r="K24" s="237">
        <v>0</v>
      </c>
      <c r="L24" s="237">
        <v>0</v>
      </c>
      <c r="M24" s="237">
        <v>0</v>
      </c>
      <c r="N24" s="237">
        <v>0</v>
      </c>
      <c r="O24" s="240">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37">
        <v>0</v>
      </c>
      <c r="I25" s="237">
        <v>0</v>
      </c>
      <c r="J25" s="237">
        <v>0</v>
      </c>
      <c r="K25" s="237">
        <v>0</v>
      </c>
      <c r="L25" s="237">
        <v>0</v>
      </c>
      <c r="M25" s="237">
        <v>0</v>
      </c>
      <c r="N25" s="237">
        <v>0</v>
      </c>
      <c r="O25" s="240">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37">
        <v>0</v>
      </c>
      <c r="I26" s="237">
        <v>0</v>
      </c>
      <c r="J26" s="237">
        <v>0</v>
      </c>
      <c r="K26" s="237">
        <v>0</v>
      </c>
      <c r="L26" s="237">
        <v>0</v>
      </c>
      <c r="M26" s="237">
        <v>0</v>
      </c>
      <c r="N26" s="237">
        <v>0</v>
      </c>
      <c r="O26" s="240">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37">
        <v>0</v>
      </c>
      <c r="I27" s="237">
        <v>0</v>
      </c>
      <c r="J27" s="237">
        <v>0</v>
      </c>
      <c r="K27" s="237">
        <v>0</v>
      </c>
      <c r="L27" s="237">
        <v>0</v>
      </c>
      <c r="M27" s="237">
        <v>0</v>
      </c>
      <c r="N27" s="237">
        <v>0</v>
      </c>
      <c r="O27" s="240">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37">
        <v>0</v>
      </c>
      <c r="I28" s="237">
        <v>0</v>
      </c>
      <c r="J28" s="237">
        <v>0</v>
      </c>
      <c r="K28" s="237">
        <v>0</v>
      </c>
      <c r="L28" s="237">
        <v>0</v>
      </c>
      <c r="M28" s="237">
        <v>0</v>
      </c>
      <c r="N28" s="237">
        <v>0</v>
      </c>
      <c r="O28" s="240">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41">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37">
        <v>0</v>
      </c>
      <c r="I30" s="237">
        <v>0</v>
      </c>
      <c r="J30" s="237">
        <v>0</v>
      </c>
      <c r="K30" s="237">
        <v>0</v>
      </c>
      <c r="L30" s="237">
        <v>0</v>
      </c>
      <c r="M30" s="237">
        <v>0</v>
      </c>
      <c r="N30" s="237">
        <v>0</v>
      </c>
      <c r="O30" s="240">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37">
        <v>671.31942338672661</v>
      </c>
      <c r="I31" s="237">
        <v>52.63824397353865</v>
      </c>
      <c r="J31" s="237">
        <v>0</v>
      </c>
      <c r="K31" s="237">
        <v>65.650901767194625</v>
      </c>
      <c r="L31" s="237">
        <v>0</v>
      </c>
      <c r="M31" s="237">
        <v>404.99600473519394</v>
      </c>
      <c r="N31" s="237">
        <v>0</v>
      </c>
      <c r="O31" s="240">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37">
        <v>0</v>
      </c>
      <c r="I32" s="237">
        <v>0</v>
      </c>
      <c r="J32" s="237">
        <v>0</v>
      </c>
      <c r="K32" s="237">
        <v>0</v>
      </c>
      <c r="L32" s="237">
        <v>0</v>
      </c>
      <c r="M32" s="237">
        <v>0</v>
      </c>
      <c r="N32" s="237">
        <v>0</v>
      </c>
      <c r="O32" s="240">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37">
        <v>0</v>
      </c>
      <c r="I33" s="237">
        <v>0</v>
      </c>
      <c r="J33" s="237">
        <v>0</v>
      </c>
      <c r="K33" s="237">
        <v>0</v>
      </c>
      <c r="L33" s="237">
        <v>0</v>
      </c>
      <c r="M33" s="237">
        <v>0</v>
      </c>
      <c r="N33" s="237">
        <v>0</v>
      </c>
      <c r="O33" s="240">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37">
        <v>0</v>
      </c>
      <c r="I34" s="237">
        <v>0</v>
      </c>
      <c r="J34" s="237">
        <v>0</v>
      </c>
      <c r="K34" s="237">
        <v>0</v>
      </c>
      <c r="L34" s="237">
        <v>0</v>
      </c>
      <c r="M34" s="237">
        <v>0</v>
      </c>
      <c r="N34" s="237">
        <v>0</v>
      </c>
      <c r="O34" s="240">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37">
        <v>0</v>
      </c>
      <c r="I35" s="237">
        <v>0</v>
      </c>
      <c r="J35" s="237">
        <v>0</v>
      </c>
      <c r="K35" s="237">
        <v>0</v>
      </c>
      <c r="L35" s="237">
        <v>0</v>
      </c>
      <c r="M35" s="237">
        <v>0</v>
      </c>
      <c r="N35" s="237">
        <v>0</v>
      </c>
      <c r="O35" s="240">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41">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37">
        <v>23.767778734832124</v>
      </c>
      <c r="I37" s="237">
        <v>3.9638354669455418</v>
      </c>
      <c r="J37" s="237">
        <v>0</v>
      </c>
      <c r="K37" s="237">
        <v>0.2060607988509226</v>
      </c>
      <c r="L37" s="237">
        <v>8.0809279371498566E-2</v>
      </c>
      <c r="M37" s="237">
        <v>0</v>
      </c>
      <c r="N37" s="237">
        <v>0</v>
      </c>
      <c r="O37" s="240">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37">
        <v>0</v>
      </c>
      <c r="I38" s="237">
        <v>0</v>
      </c>
      <c r="J38" s="237">
        <v>0</v>
      </c>
      <c r="K38" s="237">
        <v>0</v>
      </c>
      <c r="L38" s="237">
        <v>0</v>
      </c>
      <c r="M38" s="237">
        <v>0</v>
      </c>
      <c r="N38" s="237">
        <v>0</v>
      </c>
      <c r="O38" s="240">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37">
        <v>0</v>
      </c>
      <c r="I39" s="237">
        <v>0</v>
      </c>
      <c r="J39" s="237">
        <v>0</v>
      </c>
      <c r="K39" s="237">
        <v>0</v>
      </c>
      <c r="L39" s="237">
        <v>633.16894990000003</v>
      </c>
      <c r="M39" s="237">
        <v>0</v>
      </c>
      <c r="N39" s="237">
        <v>0</v>
      </c>
      <c r="O39" s="240">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37">
        <v>0</v>
      </c>
      <c r="I40" s="237">
        <v>0</v>
      </c>
      <c r="J40" s="237">
        <v>0</v>
      </c>
      <c r="K40" s="237">
        <v>0.94548943890085779</v>
      </c>
      <c r="L40" s="237">
        <v>9.0697041099142284E-2</v>
      </c>
      <c r="M40" s="237">
        <v>0</v>
      </c>
      <c r="N40" s="237">
        <v>0</v>
      </c>
      <c r="O40" s="240">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37">
        <v>44.642446280000001</v>
      </c>
      <c r="I41" s="237">
        <v>0</v>
      </c>
      <c r="J41" s="237">
        <v>0</v>
      </c>
      <c r="K41" s="237">
        <v>0</v>
      </c>
      <c r="L41" s="237">
        <v>0</v>
      </c>
      <c r="M41" s="237">
        <v>0</v>
      </c>
      <c r="N41" s="237">
        <v>0</v>
      </c>
      <c r="O41" s="240">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38">
        <v>68.410225014832122</v>
      </c>
      <c r="I42" s="238">
        <v>3.9638354669455418</v>
      </c>
      <c r="J42" s="238">
        <v>0</v>
      </c>
      <c r="K42" s="238">
        <v>1.1515502377517803</v>
      </c>
      <c r="L42" s="238">
        <v>633.34045622047063</v>
      </c>
      <c r="M42" s="238">
        <v>0</v>
      </c>
      <c r="N42" s="238">
        <v>0</v>
      </c>
      <c r="O42" s="242">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38">
        <v>0</v>
      </c>
      <c r="I43" s="238">
        <v>0</v>
      </c>
      <c r="J43" s="238">
        <v>0</v>
      </c>
      <c r="K43" s="238">
        <v>0</v>
      </c>
      <c r="L43" s="238">
        <v>0</v>
      </c>
      <c r="M43" s="238">
        <v>0</v>
      </c>
      <c r="N43" s="238">
        <v>0</v>
      </c>
      <c r="O43" s="242">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41">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36" t="s">
        <v>359</v>
      </c>
      <c r="I51" s="236" t="s">
        <v>148</v>
      </c>
      <c r="J51" s="236" t="s">
        <v>360</v>
      </c>
      <c r="K51" s="236" t="s">
        <v>7</v>
      </c>
      <c r="L51" s="236" t="s">
        <v>361</v>
      </c>
      <c r="M51" s="236" t="s">
        <v>147</v>
      </c>
      <c r="N51" s="236" t="s">
        <v>362</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36" t="s">
        <v>359</v>
      </c>
      <c r="I83" s="236" t="s">
        <v>148</v>
      </c>
      <c r="J83" s="236" t="s">
        <v>360</v>
      </c>
      <c r="K83" s="236" t="s">
        <v>7</v>
      </c>
      <c r="L83" s="236" t="s">
        <v>361</v>
      </c>
      <c r="M83" s="236" t="s">
        <v>147</v>
      </c>
      <c r="N83" s="236" t="s">
        <v>362</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Energie'!D37)</f>
        <v>4078.0905979761819</v>
      </c>
      <c r="D95" s="11">
        <v>0</v>
      </c>
      <c r="E95" s="11">
        <f>(P95-Q95)*$X$48*('Prod Energie'!D38)</f>
        <v>3296.6062763375744</v>
      </c>
      <c r="F95" s="11">
        <v>0</v>
      </c>
      <c r="G95" s="11">
        <f>(P95-Q95)*$X$48*('Prod Energie'!D45+'Prod Energie'!D44+'Prod Energie'!D39)</f>
        <v>2525.8177971464288</v>
      </c>
      <c r="H95" s="11">
        <f>(P95-Q95)*$X$48*'Prod Energie'!D43</f>
        <v>9.0769510304833041</v>
      </c>
      <c r="I95" s="11">
        <f>(P95-Q95)*$X$48*'Prod Energie'!D46</f>
        <v>0</v>
      </c>
      <c r="J95" s="11">
        <f>(P95-Q95)*$X$48*'Prod Energie'!D42</f>
        <v>0</v>
      </c>
      <c r="K95" s="11">
        <f>(P95-Q95)*$X$48*'Prod Energie'!D41</f>
        <v>0</v>
      </c>
      <c r="L95" s="11"/>
      <c r="M95" s="11">
        <f>(P95-Q95)*$X$48*'Prod Energie'!D40</f>
        <v>0</v>
      </c>
      <c r="N95" s="11"/>
      <c r="O95" s="11">
        <f>(P95-Q95)*$X$48*('Prod Energie'!D43+'Prod Energie'!D42+'Prod Energie'!D46+'Prod Energie'!D41+'Prod Energie'!D40)</f>
        <v>9.0769510304833041</v>
      </c>
      <c r="P95" s="11">
        <f>P100/(1+$P$48+$Q$48)</f>
        <v>-4422.3468245280956</v>
      </c>
      <c r="Q95" s="11">
        <f>Q100/(1+$D$48)</f>
        <v>0</v>
      </c>
      <c r="R95" s="11">
        <v>0</v>
      </c>
      <c r="S95" s="11">
        <f>SUM(C95:R95)-SUM(H95:N95)</f>
        <v>5487.2447979625731</v>
      </c>
      <c r="U95" s="22" t="s">
        <v>35</v>
      </c>
      <c r="V95" s="11">
        <f>(AB95-AC95)*$X$48*('Prod Energie'!D59)</f>
        <v>4271.2967579086553</v>
      </c>
      <c r="W95" s="11">
        <v>0</v>
      </c>
      <c r="X95" s="11">
        <f>(AB95-AC95)*$X$48*('Prod Energie'!D60)</f>
        <v>3160.4151414364464</v>
      </c>
      <c r="Y95" s="11">
        <v>0</v>
      </c>
      <c r="Z95" s="11">
        <f>(AB95-AC95)*$X$48*('Prod Energie'!D67+'Prod Energie'!D66)</f>
        <v>1597.351010980258</v>
      </c>
      <c r="AA95" s="11">
        <f>(AB95-AC95)*$X$48*('Prod Energie'!D65)</f>
        <v>8.7019592484325639</v>
      </c>
      <c r="AB95" s="11">
        <f>AB100/(1+$P$48+$Q$48)</f>
        <v>-4239.6485031416541</v>
      </c>
      <c r="AC95" s="11">
        <f>AC100/(1+$D$48)</f>
        <v>0</v>
      </c>
      <c r="AD95" s="11">
        <v>0</v>
      </c>
      <c r="AE95" s="11">
        <f t="shared" si="6"/>
        <v>4798.1163664321375</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52.808554521427013</v>
      </c>
      <c r="Q98" s="11">
        <v>0</v>
      </c>
      <c r="R98" s="11">
        <v>0</v>
      </c>
      <c r="S98" s="11">
        <f t="shared" si="7"/>
        <v>52.808554521427013</v>
      </c>
      <c r="U98" s="22" t="s">
        <v>38</v>
      </c>
      <c r="V98" s="11">
        <v>0</v>
      </c>
      <c r="W98" s="11">
        <v>0</v>
      </c>
      <c r="X98" s="11">
        <v>0</v>
      </c>
      <c r="Y98" s="11">
        <v>0</v>
      </c>
      <c r="Z98" s="11">
        <v>0</v>
      </c>
      <c r="AA98" s="11">
        <v>0</v>
      </c>
      <c r="AB98" s="11">
        <f>AB95*$P$48</f>
        <v>50.626899701321712</v>
      </c>
      <c r="AC98" s="11">
        <v>0</v>
      </c>
      <c r="AD98" s="11">
        <v>0</v>
      </c>
      <c r="AE98" s="11">
        <f t="shared" si="6"/>
        <v>50.626899701321712</v>
      </c>
    </row>
    <row r="99" spans="2:32">
      <c r="B99" s="22" t="s">
        <v>39</v>
      </c>
      <c r="C99" s="11">
        <v>0</v>
      </c>
      <c r="D99" s="11">
        <v>0</v>
      </c>
      <c r="E99" s="11">
        <v>0</v>
      </c>
      <c r="F99" s="11">
        <v>0</v>
      </c>
      <c r="G99" s="11">
        <v>0</v>
      </c>
      <c r="H99" s="11"/>
      <c r="I99" s="11"/>
      <c r="J99" s="11"/>
      <c r="K99" s="11"/>
      <c r="L99" s="11"/>
      <c r="M99" s="11"/>
      <c r="N99" s="11"/>
      <c r="O99" s="11">
        <v>0</v>
      </c>
      <c r="P99" s="11">
        <f>P95*$Q$48</f>
        <v>282.82541277157702</v>
      </c>
      <c r="Q99" s="11">
        <f>Q95*$D$48</f>
        <v>0</v>
      </c>
      <c r="R99" s="11">
        <v>0</v>
      </c>
      <c r="S99" s="11">
        <f t="shared" si="7"/>
        <v>282.82541277157702</v>
      </c>
      <c r="U99" s="22" t="s">
        <v>39</v>
      </c>
      <c r="V99" s="11">
        <v>0</v>
      </c>
      <c r="W99" s="11">
        <v>0</v>
      </c>
      <c r="X99" s="11">
        <v>0</v>
      </c>
      <c r="Y99" s="11">
        <v>0</v>
      </c>
      <c r="Z99" s="11">
        <v>0</v>
      </c>
      <c r="AA99" s="11">
        <v>0</v>
      </c>
      <c r="AB99" s="11">
        <f>AB95*$Q$48</f>
        <v>271.14118034724464</v>
      </c>
      <c r="AC99" s="11">
        <f>AC95*$D$48</f>
        <v>0</v>
      </c>
      <c r="AD99" s="11">
        <v>0</v>
      </c>
      <c r="AE99" s="11">
        <f t="shared" si="6"/>
        <v>271.14118034724464</v>
      </c>
    </row>
    <row r="100" spans="2:32">
      <c r="B100" s="24" t="s">
        <v>40</v>
      </c>
      <c r="C100" s="15">
        <f>SUM(C94:C99)</f>
        <v>4078.0905979761819</v>
      </c>
      <c r="D100" s="15">
        <f>SUM(D94:D99)</f>
        <v>0</v>
      </c>
      <c r="E100" s="15">
        <f>SUM(E94:E99)</f>
        <v>3296.6062763375744</v>
      </c>
      <c r="F100" s="15">
        <f>SUM(F94:F99)</f>
        <v>0</v>
      </c>
      <c r="G100" s="15">
        <f>SUM(G94:G99)</f>
        <v>2525.8177971464288</v>
      </c>
      <c r="H100" s="15"/>
      <c r="I100" s="15"/>
      <c r="J100" s="15"/>
      <c r="K100" s="15"/>
      <c r="L100" s="15"/>
      <c r="M100" s="15"/>
      <c r="N100" s="15"/>
      <c r="O100" s="15"/>
      <c r="P100" s="15">
        <f>-P108</f>
        <v>-4086.7128572350912</v>
      </c>
      <c r="Q100" s="15">
        <f>-Q108</f>
        <v>0</v>
      </c>
      <c r="R100" s="15">
        <v>0</v>
      </c>
      <c r="S100" s="15">
        <f t="shared" si="7"/>
        <v>5813.8018142250939</v>
      </c>
      <c r="U100" s="24" t="s">
        <v>40</v>
      </c>
      <c r="V100" s="15">
        <f t="shared" ref="V100:AA100" si="8">SUM(V94:V99)</f>
        <v>4271.2967579086553</v>
      </c>
      <c r="W100" s="15">
        <f t="shared" si="8"/>
        <v>0</v>
      </c>
      <c r="X100" s="15">
        <f t="shared" si="8"/>
        <v>3160.4151414364464</v>
      </c>
      <c r="Y100" s="15">
        <f t="shared" si="8"/>
        <v>0</v>
      </c>
      <c r="Z100" s="15">
        <f t="shared" si="8"/>
        <v>1597.351010980258</v>
      </c>
      <c r="AA100" s="15">
        <f t="shared" si="8"/>
        <v>8.7019592484325639</v>
      </c>
      <c r="AB100" s="15">
        <f>-AB108</f>
        <v>-3917.8804230930882</v>
      </c>
      <c r="AC100" s="15">
        <f>-AC108</f>
        <v>0</v>
      </c>
      <c r="AD100" s="15">
        <v>0</v>
      </c>
      <c r="AE100" s="15">
        <f t="shared" si="6"/>
        <v>5119.8844464807034</v>
      </c>
    </row>
    <row r="101" spans="2:32">
      <c r="B101" s="22" t="s">
        <v>41</v>
      </c>
      <c r="C101" s="11">
        <v>0</v>
      </c>
      <c r="D101" s="11">
        <v>0</v>
      </c>
      <c r="E101" s="11">
        <f>Industrie!D42</f>
        <v>3407.0682816789622</v>
      </c>
      <c r="F101" s="11">
        <v>0</v>
      </c>
      <c r="G101" s="11">
        <v>0</v>
      </c>
      <c r="H101" s="11"/>
      <c r="I101" s="11"/>
      <c r="J101" s="11"/>
      <c r="K101" s="11"/>
      <c r="L101" s="11"/>
      <c r="M101" s="11"/>
      <c r="N101" s="11"/>
      <c r="O101" s="11">
        <f>Industrie!D51</f>
        <v>0</v>
      </c>
      <c r="P101" s="11">
        <f>Industrie!D46</f>
        <v>3323.088246059328</v>
      </c>
      <c r="Q101" s="11">
        <f>Industrie!D52</f>
        <v>0</v>
      </c>
      <c r="R101" s="11">
        <v>0</v>
      </c>
      <c r="S101" s="11">
        <f t="shared" si="7"/>
        <v>6730.1565277382906</v>
      </c>
      <c r="U101" s="22" t="s">
        <v>41</v>
      </c>
      <c r="V101" s="11">
        <v>0</v>
      </c>
      <c r="W101" s="11">
        <v>0</v>
      </c>
      <c r="X101" s="11" t="e">
        <f>Industrie!#REF!</f>
        <v>#REF!</v>
      </c>
      <c r="Y101" s="11">
        <v>0</v>
      </c>
      <c r="Z101" s="11">
        <v>0</v>
      </c>
      <c r="AA101" s="11">
        <f>Industrie!D85</f>
        <v>257.54257122078894</v>
      </c>
      <c r="AB101" s="11">
        <f>Industrie!D76</f>
        <v>3440.4036778861682</v>
      </c>
      <c r="AC101" s="11">
        <f>Industrie!D86</f>
        <v>0</v>
      </c>
      <c r="AD101" s="11">
        <v>0</v>
      </c>
      <c r="AE101" s="11" t="e">
        <f t="shared" si="6"/>
        <v>#REF!</v>
      </c>
    </row>
    <row r="102" spans="2:32">
      <c r="B102" s="22" t="s">
        <v>42</v>
      </c>
      <c r="C102" s="11">
        <v>0</v>
      </c>
      <c r="D102" s="11">
        <v>0</v>
      </c>
      <c r="E102" s="11">
        <f>Transports!F49</f>
        <v>2193.3190168683927</v>
      </c>
      <c r="F102" s="11">
        <v>0</v>
      </c>
      <c r="G102" s="11">
        <v>0</v>
      </c>
      <c r="H102" s="11"/>
      <c r="I102" s="11"/>
      <c r="J102" s="11"/>
      <c r="K102" s="11"/>
      <c r="L102" s="11"/>
      <c r="M102" s="11"/>
      <c r="N102" s="11"/>
      <c r="O102" s="11">
        <v>0</v>
      </c>
      <c r="P102" s="11">
        <f>Transports!F50</f>
        <v>26.124298301514205</v>
      </c>
      <c r="Q102" s="11">
        <v>0</v>
      </c>
      <c r="R102" s="11">
        <v>0</v>
      </c>
      <c r="S102" s="11">
        <f>Transports!F51</f>
        <v>2219.4433151699068</v>
      </c>
      <c r="U102" s="22" t="s">
        <v>42</v>
      </c>
      <c r="V102" s="11">
        <v>0</v>
      </c>
      <c r="W102" s="11">
        <v>0</v>
      </c>
      <c r="X102" s="11">
        <f>Transports!F76</f>
        <v>2161.9282149716159</v>
      </c>
      <c r="Y102" s="11">
        <v>0</v>
      </c>
      <c r="Z102" s="11">
        <v>0</v>
      </c>
      <c r="AA102" s="11">
        <v>0</v>
      </c>
      <c r="AB102" s="11">
        <f>Transports!F77</f>
        <v>29.45895470547028</v>
      </c>
      <c r="AC102" s="11">
        <v>0</v>
      </c>
      <c r="AD102" s="11">
        <v>0</v>
      </c>
      <c r="AE102" s="11">
        <f>Transports!F78</f>
        <v>2191.3871696770861</v>
      </c>
    </row>
    <row r="103" spans="2:32">
      <c r="B103" s="22" t="s">
        <v>43</v>
      </c>
      <c r="C103" s="11">
        <v>0</v>
      </c>
      <c r="D103" s="11">
        <v>0</v>
      </c>
      <c r="E103" s="11">
        <f>'Résidentiel-tertiaire'!D167</f>
        <v>159.39011899345786</v>
      </c>
      <c r="F103" s="11">
        <v>0</v>
      </c>
      <c r="G103" s="11">
        <v>0</v>
      </c>
      <c r="H103" s="11"/>
      <c r="I103" s="11"/>
      <c r="J103" s="11"/>
      <c r="K103" s="11"/>
      <c r="L103" s="11"/>
      <c r="M103" s="11"/>
      <c r="N103" s="11"/>
      <c r="O103" s="11">
        <f>'Résidentiel-tertiaire'!D168</f>
        <v>43.354112366220541</v>
      </c>
      <c r="P103" s="11">
        <f>'Résidentiel-tertiaire'!D169</f>
        <v>324.20745098101798</v>
      </c>
      <c r="Q103" s="11">
        <v>0</v>
      </c>
      <c r="R103" s="11">
        <v>0</v>
      </c>
      <c r="S103" s="11">
        <f>SUM(C103:R103)</f>
        <v>526.95168234069638</v>
      </c>
      <c r="T103" s="25">
        <f>'[3]Résidentiel-Tertiaire 2'!D152</f>
        <v>760.85335631030102</v>
      </c>
      <c r="U103" s="22" t="s">
        <v>43</v>
      </c>
      <c r="V103" s="11">
        <v>0</v>
      </c>
      <c r="W103" s="11">
        <v>0</v>
      </c>
      <c r="X103" s="11">
        <f>'Résidentiel-tertiaire'!D181</f>
        <v>135.68333333333334</v>
      </c>
      <c r="Y103" s="11">
        <v>0</v>
      </c>
      <c r="Z103" s="11">
        <v>0</v>
      </c>
      <c r="AA103" s="11">
        <f>'Résidentiel-tertiaire'!D182</f>
        <v>86.726852843509377</v>
      </c>
      <c r="AB103" s="11">
        <f>'Résidentiel-tertiaire'!D183</f>
        <v>221.89244913958322</v>
      </c>
      <c r="AC103" s="11">
        <v>0</v>
      </c>
      <c r="AD103" s="11">
        <v>0</v>
      </c>
      <c r="AE103" s="11">
        <f>SUM(V103:AD103)</f>
        <v>444.30263531642595</v>
      </c>
    </row>
    <row r="104" spans="2:32">
      <c r="B104" s="22" t="s">
        <v>44</v>
      </c>
      <c r="C104" s="11">
        <v>0</v>
      </c>
      <c r="D104" s="11">
        <v>0</v>
      </c>
      <c r="E104" s="11">
        <f>'Résidentiel-tertiaire'!D172</f>
        <v>0</v>
      </c>
      <c r="F104" s="11">
        <v>0</v>
      </c>
      <c r="G104" s="11">
        <v>0</v>
      </c>
      <c r="H104" s="11"/>
      <c r="I104" s="11"/>
      <c r="J104" s="11"/>
      <c r="K104" s="11"/>
      <c r="L104" s="11"/>
      <c r="M104" s="11"/>
      <c r="N104" s="11"/>
      <c r="O104" s="11">
        <f>'Résidentiel-tertiaire'!D173</f>
        <v>0</v>
      </c>
      <c r="P104" s="11">
        <f>'Résidentiel-tertiaire'!D174</f>
        <v>413.29286189323125</v>
      </c>
      <c r="Q104" s="11">
        <v>0</v>
      </c>
      <c r="R104" s="11">
        <v>0</v>
      </c>
      <c r="S104" s="11">
        <f>SUM(C104:R104)</f>
        <v>413.29286189323125</v>
      </c>
      <c r="T104" s="25">
        <f>'[3]Résidentiel-Tertiaire 2'!D159</f>
        <v>673.34922536957004</v>
      </c>
      <c r="U104" s="22" t="s">
        <v>44</v>
      </c>
      <c r="V104" s="11">
        <v>0</v>
      </c>
      <c r="W104" s="11">
        <v>0</v>
      </c>
      <c r="X104" s="11">
        <f>'Résidentiel-tertiaire'!D186</f>
        <v>0</v>
      </c>
      <c r="Y104" s="11">
        <v>0</v>
      </c>
      <c r="Z104" s="11">
        <v>0</v>
      </c>
      <c r="AA104" s="11">
        <f>'Résidentiel-tertiaire'!D187</f>
        <v>0</v>
      </c>
      <c r="AB104" s="11">
        <f>'Résidentiel-tertiaire'!D188</f>
        <v>226.12534136186653</v>
      </c>
      <c r="AC104" s="11">
        <v>0</v>
      </c>
      <c r="AD104" s="11">
        <v>0</v>
      </c>
      <c r="AE104" s="11">
        <f>SUM(V104:AD104)</f>
        <v>226.12534136186653</v>
      </c>
    </row>
    <row r="105" spans="2:32">
      <c r="B105" s="22" t="s">
        <v>4</v>
      </c>
      <c r="C105" s="11">
        <v>0</v>
      </c>
      <c r="D105" s="11">
        <v>0</v>
      </c>
      <c r="E105" s="11">
        <f>Agriculture!J27</f>
        <v>63.374471925078048</v>
      </c>
      <c r="F105" s="11">
        <v>0</v>
      </c>
      <c r="G105" s="11">
        <v>0</v>
      </c>
      <c r="H105" s="11"/>
      <c r="I105" s="11"/>
      <c r="J105" s="11"/>
      <c r="K105" s="11"/>
      <c r="L105" s="11"/>
      <c r="M105" s="11"/>
      <c r="N105" s="11"/>
      <c r="O105" s="11">
        <v>0</v>
      </c>
      <c r="P105" s="11">
        <f>Agriculture!J28</f>
        <v>0</v>
      </c>
      <c r="Q105" s="11">
        <v>0</v>
      </c>
      <c r="R105" s="11">
        <v>0</v>
      </c>
      <c r="S105" s="11">
        <f>SUM(C105:R105)</f>
        <v>63.374471925078048</v>
      </c>
      <c r="T105" s="25">
        <f>[3]Agriculture!J29</f>
        <v>155.597883335208</v>
      </c>
      <c r="U105" s="22" t="s">
        <v>4</v>
      </c>
      <c r="V105" s="11">
        <v>0</v>
      </c>
      <c r="W105" s="11">
        <v>0</v>
      </c>
      <c r="X105" s="11">
        <f>Agriculture!M43</f>
        <v>50.646774193548396</v>
      </c>
      <c r="Y105" s="11">
        <v>0</v>
      </c>
      <c r="Z105" s="11">
        <v>0</v>
      </c>
      <c r="AA105" s="11">
        <f>Agriculture!M45</f>
        <v>7.5483952258064511</v>
      </c>
      <c r="AB105" s="11">
        <f>Agriculture!M44</f>
        <v>0</v>
      </c>
      <c r="AC105" s="11">
        <v>0</v>
      </c>
      <c r="AD105" s="11">
        <v>0</v>
      </c>
      <c r="AE105" s="11">
        <f>SUM(V105:AD105)</f>
        <v>58.195169419354848</v>
      </c>
    </row>
    <row r="106" spans="2:32">
      <c r="B106" s="26" t="s">
        <v>45</v>
      </c>
      <c r="C106" s="19" t="e">
        <f>#REF!</f>
        <v>#REF!</v>
      </c>
      <c r="D106" s="19" t="e">
        <f>#REF!</f>
        <v>#REF!</v>
      </c>
      <c r="E106" s="19">
        <f t="shared" ref="E106:S106" si="9">SUM(E101:E105)</f>
        <v>5823.1518894658911</v>
      </c>
      <c r="F106" s="19">
        <f t="shared" si="9"/>
        <v>0</v>
      </c>
      <c r="G106" s="19">
        <f t="shared" si="9"/>
        <v>0</v>
      </c>
      <c r="H106" s="19"/>
      <c r="I106" s="19"/>
      <c r="J106" s="19"/>
      <c r="K106" s="19"/>
      <c r="L106" s="19"/>
      <c r="M106" s="19"/>
      <c r="N106" s="19"/>
      <c r="O106" s="19">
        <f t="shared" si="9"/>
        <v>43.354112366220541</v>
      </c>
      <c r="P106" s="19">
        <f t="shared" si="9"/>
        <v>4086.7128572350912</v>
      </c>
      <c r="Q106" s="19">
        <f t="shared" si="9"/>
        <v>0</v>
      </c>
      <c r="R106" s="19">
        <f t="shared" si="9"/>
        <v>0</v>
      </c>
      <c r="S106" s="19">
        <f t="shared" si="9"/>
        <v>9953.2188590672013</v>
      </c>
      <c r="U106" s="26" t="s">
        <v>45</v>
      </c>
      <c r="V106" s="19" t="e">
        <f>#REF!</f>
        <v>#REF!</v>
      </c>
      <c r="W106" s="19" t="e">
        <f>#REF!</f>
        <v>#REF!</v>
      </c>
      <c r="X106" s="19" t="e">
        <f t="shared" ref="X106:AE106" si="10">SUM(X101:X105)</f>
        <v>#REF!</v>
      </c>
      <c r="Y106" s="19">
        <f t="shared" si="10"/>
        <v>0</v>
      </c>
      <c r="Z106" s="19">
        <f t="shared" si="10"/>
        <v>0</v>
      </c>
      <c r="AA106" s="19">
        <f t="shared" si="10"/>
        <v>351.81781929010481</v>
      </c>
      <c r="AB106" s="19">
        <f t="shared" si="10"/>
        <v>3917.8804230930882</v>
      </c>
      <c r="AC106" s="19">
        <f t="shared" si="10"/>
        <v>0</v>
      </c>
      <c r="AD106" s="19">
        <f t="shared" si="10"/>
        <v>0</v>
      </c>
      <c r="AE106" s="19" t="e">
        <f t="shared" si="10"/>
        <v>#REF!</v>
      </c>
    </row>
    <row r="107" spans="2:32">
      <c r="B107" s="26" t="s">
        <v>46</v>
      </c>
      <c r="C107" s="19">
        <v>0</v>
      </c>
      <c r="D107" s="19">
        <v>0</v>
      </c>
      <c r="E107" s="19">
        <f>Industrie!D49</f>
        <v>231.07324480013997</v>
      </c>
      <c r="F107" s="19">
        <v>0</v>
      </c>
      <c r="G107" s="19">
        <v>0</v>
      </c>
      <c r="H107" s="19"/>
      <c r="I107" s="19"/>
      <c r="J107" s="19"/>
      <c r="K107" s="19"/>
      <c r="L107" s="19"/>
      <c r="M107" s="19"/>
      <c r="N107" s="19"/>
      <c r="O107" s="19">
        <v>0</v>
      </c>
      <c r="P107" s="19">
        <v>0</v>
      </c>
      <c r="Q107" s="19">
        <v>0</v>
      </c>
      <c r="R107" s="19">
        <v>0</v>
      </c>
      <c r="S107" s="19">
        <f>SUM(C107:R107)</f>
        <v>231.07324480013997</v>
      </c>
      <c r="U107" s="26" t="s">
        <v>46</v>
      </c>
      <c r="V107" s="19">
        <v>0</v>
      </c>
      <c r="W107" s="19">
        <v>0</v>
      </c>
      <c r="X107" s="19">
        <f>Industrie!D80</f>
        <v>193.05014236827694</v>
      </c>
      <c r="Y107" s="19">
        <v>0</v>
      </c>
      <c r="Z107" s="19">
        <v>0</v>
      </c>
      <c r="AA107" s="19">
        <f>Industrie!D84</f>
        <v>9.6525071184138458</v>
      </c>
      <c r="AB107" s="19">
        <v>0</v>
      </c>
      <c r="AC107" s="19">
        <v>0</v>
      </c>
      <c r="AD107" s="19">
        <v>0</v>
      </c>
      <c r="AE107" s="19">
        <f>SUM(V107:AD107)</f>
        <v>202.70264948669077</v>
      </c>
    </row>
    <row r="108" spans="2:32">
      <c r="B108" s="24" t="s">
        <v>47</v>
      </c>
      <c r="C108" s="15" t="e">
        <f>#REF!</f>
        <v>#REF!</v>
      </c>
      <c r="D108" s="15" t="e">
        <f>#REF!</f>
        <v>#REF!</v>
      </c>
      <c r="E108" s="15">
        <f t="shared" ref="E108:S108" si="11">SUM(E106:E107)</f>
        <v>6054.2251342660311</v>
      </c>
      <c r="F108" s="15">
        <f t="shared" si="11"/>
        <v>0</v>
      </c>
      <c r="G108" s="15">
        <f t="shared" si="11"/>
        <v>0</v>
      </c>
      <c r="H108" s="15"/>
      <c r="I108" s="15"/>
      <c r="J108" s="15"/>
      <c r="K108" s="15"/>
      <c r="L108" s="15"/>
      <c r="M108" s="15"/>
      <c r="N108" s="15"/>
      <c r="O108" s="15">
        <f t="shared" si="11"/>
        <v>43.354112366220541</v>
      </c>
      <c r="P108" s="15">
        <f t="shared" si="11"/>
        <v>4086.7128572350912</v>
      </c>
      <c r="Q108" s="15">
        <f t="shared" si="11"/>
        <v>0</v>
      </c>
      <c r="R108" s="15">
        <f t="shared" si="11"/>
        <v>0</v>
      </c>
      <c r="S108" s="15">
        <f t="shared" si="11"/>
        <v>10184.292103867341</v>
      </c>
      <c r="T108" s="27" t="e">
        <f>SUM(C108:R108)</f>
        <v>#REF!</v>
      </c>
      <c r="U108" s="24" t="s">
        <v>47</v>
      </c>
      <c r="V108" s="15" t="e">
        <f>#REF!</f>
        <v>#REF!</v>
      </c>
      <c r="W108" s="15" t="e">
        <f>#REF!</f>
        <v>#REF!</v>
      </c>
      <c r="X108" s="15" t="e">
        <f t="shared" ref="X108:AE108" si="12">SUM(X106:X107)</f>
        <v>#REF!</v>
      </c>
      <c r="Y108" s="15">
        <f t="shared" si="12"/>
        <v>0</v>
      </c>
      <c r="Z108" s="15">
        <f t="shared" si="12"/>
        <v>0</v>
      </c>
      <c r="AA108" s="15">
        <f t="shared" si="12"/>
        <v>361.47032640851864</v>
      </c>
      <c r="AB108" s="15">
        <f t="shared" si="12"/>
        <v>3917.8804230930882</v>
      </c>
      <c r="AC108" s="15">
        <f t="shared" si="12"/>
        <v>0</v>
      </c>
      <c r="AD108" s="15">
        <f t="shared" si="12"/>
        <v>0</v>
      </c>
      <c r="AE108" s="15" t="e">
        <f t="shared" si="12"/>
        <v>#REF!</v>
      </c>
      <c r="AF108" s="27" t="e">
        <f>SUM(V108:AD108)</f>
        <v>#REF!</v>
      </c>
    </row>
    <row r="111" spans="2:32">
      <c r="AA111" s="243">
        <f>AB95-AC95</f>
        <v>-4239.6485031416541</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32"/>
      <c r="I115" s="232"/>
      <c r="J115" s="232"/>
      <c r="K115" s="232"/>
      <c r="L115" s="232"/>
      <c r="M115" s="232"/>
      <c r="N115" s="232"/>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Energie'!E37)</f>
        <v>5149.4539545120433</v>
      </c>
      <c r="D127" s="11">
        <v>0</v>
      </c>
      <c r="E127" s="11">
        <f>(P127-Q127)*$X$48*('Prod Energie'!E38)</f>
        <v>4162.6643200570925</v>
      </c>
      <c r="F127" s="11">
        <v>0</v>
      </c>
      <c r="G127" s="11">
        <f>(P127-Q127)*$X$48*('Prod Energie'!E45+'Prod Energie'!D44)</f>
        <v>1844.1549591075482</v>
      </c>
      <c r="H127" s="11"/>
      <c r="I127" s="11"/>
      <c r="J127" s="11"/>
      <c r="K127" s="11"/>
      <c r="L127" s="11"/>
      <c r="M127" s="11"/>
      <c r="N127" s="11"/>
      <c r="O127" s="11">
        <f>(P127-Q127)*$X$48*('Prod Energie'!E43)</f>
        <v>11.823029464747789</v>
      </c>
      <c r="P127" s="11">
        <f>P132/(1+$P$48+$Q$48)</f>
        <v>-5349.7552418949481</v>
      </c>
      <c r="Q127" s="11">
        <f>Q132/(1+$D$48)</f>
        <v>0</v>
      </c>
      <c r="R127" s="11">
        <v>0</v>
      </c>
      <c r="S127" s="11">
        <f t="shared" si="17"/>
        <v>5818.3410212464851</v>
      </c>
      <c r="U127" s="22" t="s">
        <v>35</v>
      </c>
      <c r="V127" s="11">
        <f>(AB127-AC127)*$X$48*('Prod Energie'!E59)</f>
        <v>2094.3877513799275</v>
      </c>
      <c r="W127" s="11">
        <v>0</v>
      </c>
      <c r="X127" s="11">
        <f>(AB127-AC127)*$X$48*('Prod Energie'!E60)</f>
        <v>1847.989192394052</v>
      </c>
      <c r="Y127" s="11">
        <v>0</v>
      </c>
      <c r="Z127" s="11">
        <f>(AB127-AC127)*$X$48*('Prod Energie'!E67+'Prod Energie'!D66)</f>
        <v>2804.1331391510535</v>
      </c>
      <c r="AA127" s="11">
        <f>(AB127-AC127)*$X$48*('Prod Energie'!E65)</f>
        <v>1231.9927949293681</v>
      </c>
      <c r="AB127" s="11">
        <f>AB132/(1+$P$48+$Q$48)</f>
        <v>-5296.3678606962094</v>
      </c>
      <c r="AC127" s="11">
        <f>AC132/(1+$D$48)</f>
        <v>0</v>
      </c>
      <c r="AD127" s="11">
        <v>0</v>
      </c>
      <c r="AE127" s="11">
        <f t="shared" si="18"/>
        <v>2682.1350171581917</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63.883013381259616</v>
      </c>
      <c r="Q130" s="11">
        <v>0</v>
      </c>
      <c r="R130" s="11">
        <v>0</v>
      </c>
      <c r="S130" s="11">
        <f t="shared" si="17"/>
        <v>63.883013381259616</v>
      </c>
      <c r="U130" s="22" t="s">
        <v>38</v>
      </c>
      <c r="V130" s="11">
        <v>0</v>
      </c>
      <c r="W130" s="11">
        <v>0</v>
      </c>
      <c r="X130" s="11">
        <v>0</v>
      </c>
      <c r="Y130" s="11">
        <v>0</v>
      </c>
      <c r="Z130" s="11">
        <v>0</v>
      </c>
      <c r="AA130" s="11">
        <v>0</v>
      </c>
      <c r="AB130" s="11">
        <f>AB127*$P$48</f>
        <v>63.245498834649936</v>
      </c>
      <c r="AC130" s="11">
        <v>0</v>
      </c>
      <c r="AD130" s="11">
        <v>0</v>
      </c>
      <c r="AE130" s="11">
        <f t="shared" si="18"/>
        <v>63.245498834649936</v>
      </c>
    </row>
    <row r="131" spans="2:32">
      <c r="B131" s="22" t="s">
        <v>39</v>
      </c>
      <c r="C131" s="11">
        <v>0</v>
      </c>
      <c r="D131" s="11">
        <v>0</v>
      </c>
      <c r="E131" s="11">
        <v>0</v>
      </c>
      <c r="F131" s="11">
        <v>0</v>
      </c>
      <c r="G131" s="11">
        <v>0</v>
      </c>
      <c r="H131" s="11"/>
      <c r="I131" s="11"/>
      <c r="J131" s="11"/>
      <c r="K131" s="11"/>
      <c r="L131" s="11"/>
      <c r="M131" s="11"/>
      <c r="N131" s="11"/>
      <c r="O131" s="11">
        <v>0</v>
      </c>
      <c r="P131" s="11">
        <f>P127*$Q$48</f>
        <v>342.13660632040148</v>
      </c>
      <c r="Q131" s="11">
        <f>Q127*$D$48</f>
        <v>0</v>
      </c>
      <c r="R131" s="11">
        <v>0</v>
      </c>
      <c r="S131" s="11">
        <f t="shared" si="17"/>
        <v>342.13660632040148</v>
      </c>
      <c r="U131" s="22" t="s">
        <v>39</v>
      </c>
      <c r="V131" s="11">
        <v>0</v>
      </c>
      <c r="W131" s="11">
        <v>0</v>
      </c>
      <c r="X131" s="11">
        <v>0</v>
      </c>
      <c r="Y131" s="11">
        <v>0</v>
      </c>
      <c r="Z131" s="11">
        <v>0</v>
      </c>
      <c r="AA131" s="11">
        <v>0</v>
      </c>
      <c r="AB131" s="11">
        <f>AB127*$Q$48</f>
        <v>338.72228611363255</v>
      </c>
      <c r="AC131" s="11">
        <f>AC127*$D$48</f>
        <v>0</v>
      </c>
      <c r="AD131" s="11">
        <v>0</v>
      </c>
      <c r="AE131" s="11">
        <f t="shared" si="18"/>
        <v>338.72228611363255</v>
      </c>
    </row>
    <row r="132" spans="2:32">
      <c r="B132" s="24" t="s">
        <v>40</v>
      </c>
      <c r="C132" s="15">
        <f t="shared" ref="C132:O132" si="19">SUM(C126:C131)</f>
        <v>5149.4539545120433</v>
      </c>
      <c r="D132" s="15">
        <f t="shared" si="19"/>
        <v>0</v>
      </c>
      <c r="E132" s="15">
        <f t="shared" si="19"/>
        <v>4162.6643200570925</v>
      </c>
      <c r="F132" s="15">
        <f t="shared" si="19"/>
        <v>0</v>
      </c>
      <c r="G132" s="15">
        <f t="shared" si="19"/>
        <v>1844.1549591075482</v>
      </c>
      <c r="H132" s="15"/>
      <c r="I132" s="15"/>
      <c r="J132" s="15"/>
      <c r="K132" s="15"/>
      <c r="L132" s="15"/>
      <c r="M132" s="15"/>
      <c r="N132" s="15"/>
      <c r="O132" s="15">
        <f t="shared" si="19"/>
        <v>11.823029464747789</v>
      </c>
      <c r="P132" s="15">
        <f>-P140</f>
        <v>-4943.7356221932869</v>
      </c>
      <c r="Q132" s="15">
        <f>-Q140</f>
        <v>0</v>
      </c>
      <c r="R132" s="15">
        <v>0</v>
      </c>
      <c r="S132" s="15">
        <f t="shared" si="17"/>
        <v>6224.3606409481463</v>
      </c>
      <c r="U132" s="24" t="s">
        <v>40</v>
      </c>
      <c r="V132" s="15">
        <f t="shared" ref="V132:AA132" si="20">SUM(V126:V131)</f>
        <v>2094.3877513799275</v>
      </c>
      <c r="W132" s="15">
        <f t="shared" si="20"/>
        <v>0</v>
      </c>
      <c r="X132" s="15">
        <f t="shared" si="20"/>
        <v>1847.989192394052</v>
      </c>
      <c r="Y132" s="15">
        <f t="shared" si="20"/>
        <v>0</v>
      </c>
      <c r="Z132" s="15">
        <f t="shared" si="20"/>
        <v>2804.1331391510535</v>
      </c>
      <c r="AA132" s="15">
        <f t="shared" si="20"/>
        <v>1231.9927949293681</v>
      </c>
      <c r="AB132" s="15">
        <f>-AB140</f>
        <v>-4894.4000757479271</v>
      </c>
      <c r="AC132" s="15">
        <f>-AC140</f>
        <v>0</v>
      </c>
      <c r="AD132" s="15">
        <v>0</v>
      </c>
      <c r="AE132" s="15">
        <f t="shared" si="18"/>
        <v>3084.102802106474</v>
      </c>
    </row>
    <row r="133" spans="2:32">
      <c r="B133" s="22" t="s">
        <v>41</v>
      </c>
      <c r="C133" s="11">
        <v>0</v>
      </c>
      <c r="D133" s="11">
        <v>0</v>
      </c>
      <c r="E133" s="11">
        <f>Industrie!E42</f>
        <v>4185.997974613455</v>
      </c>
      <c r="F133" s="11">
        <v>0</v>
      </c>
      <c r="G133" s="11">
        <v>0</v>
      </c>
      <c r="H133" s="11"/>
      <c r="I133" s="11"/>
      <c r="J133" s="11"/>
      <c r="K133" s="11"/>
      <c r="L133" s="11"/>
      <c r="M133" s="11"/>
      <c r="N133" s="11"/>
      <c r="O133" s="11">
        <f>Industrie!E51</f>
        <v>0</v>
      </c>
      <c r="P133" s="11">
        <f>Industrie!E46</f>
        <v>4085.9272781085374</v>
      </c>
      <c r="Q133" s="11">
        <f>Industrie!E52</f>
        <v>0</v>
      </c>
      <c r="R133" s="11">
        <v>0</v>
      </c>
      <c r="S133" s="11">
        <f t="shared" si="17"/>
        <v>8271.9252527219924</v>
      </c>
      <c r="U133" s="22" t="s">
        <v>41</v>
      </c>
      <c r="V133" s="11">
        <v>0</v>
      </c>
      <c r="W133" s="11">
        <v>0</v>
      </c>
      <c r="X133" s="11" t="e">
        <f>Industrie!#REF!</f>
        <v>#REF!</v>
      </c>
      <c r="Y133" s="11">
        <v>0</v>
      </c>
      <c r="Z133" s="11">
        <v>0</v>
      </c>
      <c r="AA133" s="11">
        <f>Industrie!E85</f>
        <v>628.29647926966186</v>
      </c>
      <c r="AB133" s="11">
        <f>Industrie!E76</f>
        <v>4405.0603022950927</v>
      </c>
      <c r="AC133" s="11">
        <f>Industrie!E86</f>
        <v>0</v>
      </c>
      <c r="AD133" s="11">
        <v>0</v>
      </c>
      <c r="AE133" s="11" t="e">
        <f t="shared" si="18"/>
        <v>#REF!</v>
      </c>
    </row>
    <row r="134" spans="2:32">
      <c r="B134" s="22" t="s">
        <v>42</v>
      </c>
      <c r="C134" s="11">
        <v>0</v>
      </c>
      <c r="D134" s="11">
        <v>0</v>
      </c>
      <c r="E134" s="11">
        <f>Transports!G49</f>
        <v>2028.4967386800236</v>
      </c>
      <c r="F134" s="11">
        <v>0</v>
      </c>
      <c r="G134" s="11">
        <v>0</v>
      </c>
      <c r="H134" s="11"/>
      <c r="I134" s="11"/>
      <c r="J134" s="11"/>
      <c r="K134" s="11"/>
      <c r="L134" s="11"/>
      <c r="M134" s="11"/>
      <c r="N134" s="11"/>
      <c r="O134" s="11">
        <v>0</v>
      </c>
      <c r="P134" s="11">
        <f>Transports!G50</f>
        <v>62.97443714862586</v>
      </c>
      <c r="Q134" s="11">
        <v>0</v>
      </c>
      <c r="R134" s="11">
        <v>0</v>
      </c>
      <c r="S134" s="11">
        <f>Transports!G51</f>
        <v>2091.4711758286494</v>
      </c>
      <c r="U134" s="22" t="s">
        <v>42</v>
      </c>
      <c r="V134" s="11">
        <v>0</v>
      </c>
      <c r="W134" s="11">
        <v>0</v>
      </c>
      <c r="X134" s="11">
        <f>Transports!G76</f>
        <v>1963.2428333946916</v>
      </c>
      <c r="Y134" s="11">
        <v>0</v>
      </c>
      <c r="Z134" s="11">
        <v>0</v>
      </c>
      <c r="AA134" s="11">
        <v>0</v>
      </c>
      <c r="AB134" s="11">
        <f>Transports!G77</f>
        <v>74.23840219162976</v>
      </c>
      <c r="AC134" s="11">
        <v>0</v>
      </c>
      <c r="AD134" s="11">
        <v>0</v>
      </c>
      <c r="AE134" s="11">
        <f>Transports!G78</f>
        <v>2037.4812355863214</v>
      </c>
    </row>
    <row r="135" spans="2:32">
      <c r="B135" s="22" t="s">
        <v>43</v>
      </c>
      <c r="C135" s="11">
        <v>0</v>
      </c>
      <c r="D135" s="11">
        <v>0</v>
      </c>
      <c r="E135" s="11">
        <f>'Résidentiel-tertiaire'!E167</f>
        <v>171.06938482133944</v>
      </c>
      <c r="F135" s="11">
        <v>0</v>
      </c>
      <c r="G135" s="11">
        <v>0</v>
      </c>
      <c r="H135" s="11"/>
      <c r="I135" s="11"/>
      <c r="J135" s="11"/>
      <c r="K135" s="11"/>
      <c r="L135" s="11"/>
      <c r="M135" s="11"/>
      <c r="N135" s="11"/>
      <c r="O135" s="11">
        <f>'Résidentiel-tertiaire'!E168</f>
        <v>46.530872671404332</v>
      </c>
      <c r="P135" s="11">
        <f>'Résidentiel-tertiaire'!E169</f>
        <v>347.96366013186639</v>
      </c>
      <c r="Q135" s="11">
        <v>0</v>
      </c>
      <c r="R135" s="11">
        <v>0</v>
      </c>
      <c r="S135" s="11">
        <f>SUM(C135:R135)</f>
        <v>565.56391762461021</v>
      </c>
      <c r="U135" s="22" t="s">
        <v>43</v>
      </c>
      <c r="V135" s="11">
        <v>0</v>
      </c>
      <c r="W135" s="11">
        <v>0</v>
      </c>
      <c r="X135" s="11">
        <f>'Résidentiel-tertiaire'!E181</f>
        <v>108.54666666666667</v>
      </c>
      <c r="Y135" s="11">
        <v>0</v>
      </c>
      <c r="Z135" s="11">
        <v>0</v>
      </c>
      <c r="AA135" s="11">
        <f>'Résidentiel-tertiaire'!E182</f>
        <v>76.910813546433872</v>
      </c>
      <c r="AB135" s="11">
        <f>'Résidentiel-tertiaire'!E183</f>
        <v>208.55747620034708</v>
      </c>
      <c r="AC135" s="11">
        <v>0</v>
      </c>
      <c r="AD135" s="11">
        <v>0</v>
      </c>
      <c r="AE135" s="11">
        <f>SUM(V135:AD135)</f>
        <v>394.01495641344763</v>
      </c>
    </row>
    <row r="136" spans="2:32">
      <c r="B136" s="22" t="s">
        <v>44</v>
      </c>
      <c r="C136" s="11">
        <v>0</v>
      </c>
      <c r="D136" s="11">
        <v>0</v>
      </c>
      <c r="E136" s="11">
        <f>'Résidentiel-tertiaire'!E172</f>
        <v>0</v>
      </c>
      <c r="F136" s="11">
        <v>0</v>
      </c>
      <c r="G136" s="11">
        <v>0</v>
      </c>
      <c r="H136" s="11"/>
      <c r="I136" s="11"/>
      <c r="J136" s="11"/>
      <c r="K136" s="11"/>
      <c r="L136" s="11"/>
      <c r="M136" s="11"/>
      <c r="N136" s="11"/>
      <c r="O136" s="11">
        <f>'Résidentiel-tertiaire'!E173</f>
        <v>0</v>
      </c>
      <c r="P136" s="11">
        <f>'Résidentiel-tertiaire'!E174</f>
        <v>446.87024680425719</v>
      </c>
      <c r="Q136" s="11">
        <v>0</v>
      </c>
      <c r="R136" s="11">
        <v>0</v>
      </c>
      <c r="S136" s="11">
        <f>SUM(C136:R136)</f>
        <v>446.87024680425719</v>
      </c>
      <c r="U136" s="22" t="s">
        <v>44</v>
      </c>
      <c r="V136" s="11">
        <v>0</v>
      </c>
      <c r="W136" s="11">
        <v>0</v>
      </c>
      <c r="X136" s="11">
        <f>'Résidentiel-tertiaire'!E186</f>
        <v>0</v>
      </c>
      <c r="Y136" s="11">
        <v>0</v>
      </c>
      <c r="Z136" s="11">
        <v>0</v>
      </c>
      <c r="AA136" s="11">
        <f>'Résidentiel-tertiaire'!E187</f>
        <v>0</v>
      </c>
      <c r="AB136" s="11">
        <f>'Résidentiel-tertiaire'!E188</f>
        <v>206.54389506085786</v>
      </c>
      <c r="AC136" s="11">
        <v>0</v>
      </c>
      <c r="AD136" s="11">
        <v>0</v>
      </c>
      <c r="AE136" s="11">
        <f>SUM(V136:AD136)</f>
        <v>206.54389506085786</v>
      </c>
    </row>
    <row r="137" spans="2:32">
      <c r="B137" s="22" t="s">
        <v>4</v>
      </c>
      <c r="C137" s="11">
        <v>0</v>
      </c>
      <c r="D137" s="11">
        <v>0</v>
      </c>
      <c r="E137" s="11">
        <f>Agriculture!M27</f>
        <v>63.797617554630605</v>
      </c>
      <c r="F137" s="11">
        <v>0</v>
      </c>
      <c r="G137" s="11">
        <v>0</v>
      </c>
      <c r="H137" s="11"/>
      <c r="I137" s="11"/>
      <c r="J137" s="11"/>
      <c r="K137" s="11"/>
      <c r="L137" s="11"/>
      <c r="M137" s="11"/>
      <c r="N137" s="11"/>
      <c r="O137" s="11">
        <v>0</v>
      </c>
      <c r="P137" s="11">
        <f>Agriculture!M28</f>
        <v>0</v>
      </c>
      <c r="Q137" s="11">
        <v>0</v>
      </c>
      <c r="R137" s="11">
        <v>0</v>
      </c>
      <c r="S137" s="11">
        <f>SUM(C137:R137)</f>
        <v>63.797617554630605</v>
      </c>
      <c r="U137" s="22" t="s">
        <v>4</v>
      </c>
      <c r="V137" s="11">
        <v>0</v>
      </c>
      <c r="W137" s="11">
        <v>0</v>
      </c>
      <c r="X137" s="11">
        <f>Agriculture!Q43</f>
        <v>40.517419354838708</v>
      </c>
      <c r="Y137" s="11">
        <v>0</v>
      </c>
      <c r="Z137" s="11">
        <v>0</v>
      </c>
      <c r="AA137" s="11">
        <f>Agriculture!Q45</f>
        <v>13.838724580645161</v>
      </c>
      <c r="AB137" s="11">
        <f>Agriculture!Q44</f>
        <v>0</v>
      </c>
      <c r="AC137" s="11">
        <v>0</v>
      </c>
      <c r="AD137" s="11">
        <v>0</v>
      </c>
      <c r="AE137" s="11">
        <f>SUM(V137:AD137)</f>
        <v>54.356143935483871</v>
      </c>
    </row>
    <row r="138" spans="2:32">
      <c r="B138" s="26" t="s">
        <v>45</v>
      </c>
      <c r="C138" s="19">
        <v>0</v>
      </c>
      <c r="D138" s="19">
        <v>0</v>
      </c>
      <c r="E138" s="19">
        <f t="shared" ref="E138:S138" si="21">SUM(E133:E137)</f>
        <v>6449.361715669449</v>
      </c>
      <c r="F138" s="19">
        <f t="shared" si="21"/>
        <v>0</v>
      </c>
      <c r="G138" s="19">
        <f t="shared" si="21"/>
        <v>0</v>
      </c>
      <c r="H138" s="19"/>
      <c r="I138" s="19"/>
      <c r="J138" s="19"/>
      <c r="K138" s="19"/>
      <c r="L138" s="19"/>
      <c r="M138" s="19"/>
      <c r="N138" s="19"/>
      <c r="O138" s="19">
        <f t="shared" si="21"/>
        <v>46.530872671404332</v>
      </c>
      <c r="P138" s="19">
        <f t="shared" si="21"/>
        <v>4943.7356221932869</v>
      </c>
      <c r="Q138" s="19">
        <f t="shared" si="21"/>
        <v>0</v>
      </c>
      <c r="R138" s="19">
        <f t="shared" si="21"/>
        <v>0</v>
      </c>
      <c r="S138" s="19">
        <f t="shared" si="21"/>
        <v>11439.628210534138</v>
      </c>
      <c r="U138" s="26" t="s">
        <v>45</v>
      </c>
      <c r="V138" s="19">
        <v>0</v>
      </c>
      <c r="W138" s="19">
        <v>0</v>
      </c>
      <c r="X138" s="19" t="e">
        <f t="shared" ref="X138:AE138" si="22">SUM(X133:X137)</f>
        <v>#REF!</v>
      </c>
      <c r="Y138" s="19">
        <f t="shared" si="22"/>
        <v>0</v>
      </c>
      <c r="Z138" s="19">
        <f t="shared" si="22"/>
        <v>0</v>
      </c>
      <c r="AA138" s="19">
        <f t="shared" si="22"/>
        <v>719.04601739674092</v>
      </c>
      <c r="AB138" s="19">
        <f t="shared" si="22"/>
        <v>4894.4000757479271</v>
      </c>
      <c r="AC138" s="19">
        <f t="shared" si="22"/>
        <v>0</v>
      </c>
      <c r="AD138" s="19">
        <f t="shared" si="22"/>
        <v>0</v>
      </c>
      <c r="AE138" s="19" t="e">
        <f t="shared" si="22"/>
        <v>#REF!</v>
      </c>
    </row>
    <row r="139" spans="2:32">
      <c r="B139" s="26" t="s">
        <v>46</v>
      </c>
      <c r="C139" s="19">
        <v>0</v>
      </c>
      <c r="D139" s="19">
        <v>0</v>
      </c>
      <c r="E139" s="19">
        <f>Industrie!E49</f>
        <v>285.67121999097407</v>
      </c>
      <c r="F139" s="19">
        <v>0</v>
      </c>
      <c r="G139" s="19">
        <v>0</v>
      </c>
      <c r="H139" s="19"/>
      <c r="I139" s="19"/>
      <c r="J139" s="19"/>
      <c r="K139" s="19"/>
      <c r="L139" s="19"/>
      <c r="M139" s="19"/>
      <c r="N139" s="19"/>
      <c r="O139" s="19">
        <v>0</v>
      </c>
      <c r="P139" s="19">
        <v>0</v>
      </c>
      <c r="Q139" s="19">
        <v>0</v>
      </c>
      <c r="R139" s="19">
        <v>0</v>
      </c>
      <c r="S139" s="19">
        <f>SUM(C139:R139)</f>
        <v>285.67121999097407</v>
      </c>
      <c r="U139" s="26" t="s">
        <v>46</v>
      </c>
      <c r="V139" s="19">
        <v>0</v>
      </c>
      <c r="W139" s="19">
        <v>0</v>
      </c>
      <c r="X139" s="19">
        <f>Industrie!E80</f>
        <v>195.59340085719541</v>
      </c>
      <c r="Y139" s="19">
        <v>0</v>
      </c>
      <c r="Z139" s="19">
        <v>0</v>
      </c>
      <c r="AA139" s="19">
        <f>Industrie!E84</f>
        <v>19.559340085719541</v>
      </c>
      <c r="AB139" s="19">
        <v>0</v>
      </c>
      <c r="AC139" s="19">
        <v>0</v>
      </c>
      <c r="AD139" s="19">
        <v>0</v>
      </c>
      <c r="AE139" s="19">
        <f>SUM(V139:AD139)</f>
        <v>215.15274094291493</v>
      </c>
    </row>
    <row r="140" spans="2:32">
      <c r="B140" s="24" t="s">
        <v>47</v>
      </c>
      <c r="C140" s="15">
        <v>0</v>
      </c>
      <c r="D140" s="15">
        <v>0</v>
      </c>
      <c r="E140" s="15">
        <f t="shared" ref="E140:S140" si="23">SUM(E138:E139)</f>
        <v>6735.0329356604234</v>
      </c>
      <c r="F140" s="15">
        <f t="shared" si="23"/>
        <v>0</v>
      </c>
      <c r="G140" s="15">
        <f t="shared" si="23"/>
        <v>0</v>
      </c>
      <c r="H140" s="15"/>
      <c r="I140" s="15"/>
      <c r="J140" s="15"/>
      <c r="K140" s="15"/>
      <c r="L140" s="15"/>
      <c r="M140" s="15"/>
      <c r="N140" s="15"/>
      <c r="O140" s="15">
        <f t="shared" si="23"/>
        <v>46.530872671404332</v>
      </c>
      <c r="P140" s="15">
        <f t="shared" si="23"/>
        <v>4943.7356221932869</v>
      </c>
      <c r="Q140" s="15">
        <f t="shared" si="23"/>
        <v>0</v>
      </c>
      <c r="R140" s="15">
        <f t="shared" si="23"/>
        <v>0</v>
      </c>
      <c r="S140" s="15">
        <f t="shared" si="23"/>
        <v>11725.299430525112</v>
      </c>
      <c r="T140" s="27">
        <f>SUM(C140:R140)</f>
        <v>11725.299430525116</v>
      </c>
      <c r="U140" s="24" t="s">
        <v>47</v>
      </c>
      <c r="V140" s="15">
        <v>0</v>
      </c>
      <c r="W140" s="15">
        <v>0</v>
      </c>
      <c r="X140" s="15" t="e">
        <f t="shared" ref="X140:AE140" si="24">SUM(X138:X139)</f>
        <v>#REF!</v>
      </c>
      <c r="Y140" s="15">
        <f t="shared" si="24"/>
        <v>0</v>
      </c>
      <c r="Z140" s="15">
        <f t="shared" si="24"/>
        <v>0</v>
      </c>
      <c r="AA140" s="15">
        <f t="shared" si="24"/>
        <v>738.60535748246048</v>
      </c>
      <c r="AB140" s="15">
        <f t="shared" si="24"/>
        <v>4894.4000757479271</v>
      </c>
      <c r="AC140" s="15">
        <f t="shared" si="24"/>
        <v>0</v>
      </c>
      <c r="AD140" s="15">
        <f t="shared" si="24"/>
        <v>0</v>
      </c>
      <c r="AE140" s="15" t="e">
        <f t="shared" si="24"/>
        <v>#REF!</v>
      </c>
      <c r="AF140" s="27" t="e">
        <f>SUM(V140:AD140)</f>
        <v>#REF!</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32"/>
      <c r="I147" s="232"/>
      <c r="J147" s="232"/>
      <c r="K147" s="232"/>
      <c r="L147" s="232"/>
      <c r="M147" s="232"/>
      <c r="N147" s="232"/>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Energie'!F37)</f>
        <v>5264.3809121202157</v>
      </c>
      <c r="D159" s="11">
        <v>0</v>
      </c>
      <c r="E159" s="11">
        <f>(P159-Q159)*$X$48*('Prod Energie'!F38)</f>
        <v>4255.5678298416724</v>
      </c>
      <c r="F159" s="11">
        <v>0</v>
      </c>
      <c r="G159" s="11">
        <f>(P159-Q159)*$X$48*('Prod Energie'!F45+'Prod Energie'!D44)</f>
        <v>1849.6103518376344</v>
      </c>
      <c r="H159" s="11"/>
      <c r="I159" s="11"/>
      <c r="J159" s="11"/>
      <c r="K159" s="11"/>
      <c r="L159" s="11"/>
      <c r="M159" s="11"/>
      <c r="N159" s="11"/>
      <c r="O159" s="11">
        <f>(P159-Q159)*$X$48*('Prod Energie'!F43)</f>
        <v>11.818700667231967</v>
      </c>
      <c r="P159" s="11">
        <f>P164/(1+$P$48+$Q$48)</f>
        <v>-5443.2548102650308</v>
      </c>
      <c r="Q159" s="11">
        <f>Q164/(1+$D$48)</f>
        <v>0</v>
      </c>
      <c r="R159" s="11">
        <v>0</v>
      </c>
      <c r="S159" s="11">
        <f t="shared" si="29"/>
        <v>5938.1229842017256</v>
      </c>
      <c r="U159" s="22" t="s">
        <v>35</v>
      </c>
      <c r="V159" s="11">
        <f>(AB159-AC159)*$X$48*('Prod Energie'!F59)</f>
        <v>0</v>
      </c>
      <c r="W159" s="11">
        <v>0</v>
      </c>
      <c r="X159" s="11">
        <f>(AB159-AC159)*$X$48*('Prod Energie'!F60)</f>
        <v>1910.5230435824299</v>
      </c>
      <c r="Y159" s="11">
        <v>0</v>
      </c>
      <c r="Z159" s="11">
        <f>(AB159-AC159)*$X$48*('Prod Energie'!F67+'Prod Energie'!D66)</f>
        <v>3535.8628278968581</v>
      </c>
      <c r="AA159" s="11">
        <f>(AB159-AC159)*$X$48*('Prod Energie'!F65)</f>
        <v>1273.6820290549533</v>
      </c>
      <c r="AB159" s="11">
        <f>AB164/(1+$P$48+$Q$48)</f>
        <v>-5475.5909216333866</v>
      </c>
      <c r="AC159" s="11">
        <f>AC164/(1+$D$48)</f>
        <v>0</v>
      </c>
      <c r="AD159" s="11">
        <v>0</v>
      </c>
      <c r="AE159" s="11">
        <f t="shared" si="30"/>
        <v>1244.4769789008542</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64.999519446911378</v>
      </c>
      <c r="Q162" s="11">
        <v>0</v>
      </c>
      <c r="R162" s="11">
        <v>0</v>
      </c>
      <c r="S162" s="11">
        <f t="shared" si="29"/>
        <v>64.999519446911378</v>
      </c>
      <c r="U162" s="22" t="s">
        <v>38</v>
      </c>
      <c r="V162" s="11">
        <v>0</v>
      </c>
      <c r="W162" s="11">
        <v>0</v>
      </c>
      <c r="X162" s="11">
        <v>0</v>
      </c>
      <c r="Y162" s="11">
        <v>0</v>
      </c>
      <c r="Z162" s="11">
        <v>0</v>
      </c>
      <c r="AA162" s="11">
        <v>0</v>
      </c>
      <c r="AB162" s="11">
        <f>AB159*$P$48</f>
        <v>65.385654539422802</v>
      </c>
      <c r="AC162" s="11">
        <v>0</v>
      </c>
      <c r="AD162" s="11">
        <v>0</v>
      </c>
      <c r="AE162" s="11">
        <f t="shared" si="30"/>
        <v>65.385654539422802</v>
      </c>
    </row>
    <row r="163" spans="2:32">
      <c r="B163" s="22" t="s">
        <v>39</v>
      </c>
      <c r="C163" s="11">
        <v>0</v>
      </c>
      <c r="D163" s="11">
        <v>0</v>
      </c>
      <c r="E163" s="11">
        <v>0</v>
      </c>
      <c r="F163" s="11">
        <v>0</v>
      </c>
      <c r="G163" s="11">
        <v>0</v>
      </c>
      <c r="H163" s="11"/>
      <c r="I163" s="11"/>
      <c r="J163" s="11"/>
      <c r="K163" s="11"/>
      <c r="L163" s="11"/>
      <c r="M163" s="11"/>
      <c r="N163" s="11"/>
      <c r="O163" s="11">
        <v>0</v>
      </c>
      <c r="P163" s="11">
        <f>P159*$Q$48</f>
        <v>348.11624904574444</v>
      </c>
      <c r="Q163" s="11">
        <f>Q159*$D$48</f>
        <v>0</v>
      </c>
      <c r="R163" s="11">
        <v>0</v>
      </c>
      <c r="S163" s="11">
        <f t="shared" si="29"/>
        <v>348.11624904574444</v>
      </c>
      <c r="U163" s="22" t="s">
        <v>39</v>
      </c>
      <c r="V163" s="11">
        <v>0</v>
      </c>
      <c r="W163" s="11">
        <v>0</v>
      </c>
      <c r="X163" s="11">
        <v>0</v>
      </c>
      <c r="Y163" s="11">
        <v>0</v>
      </c>
      <c r="Z163" s="11">
        <v>0</v>
      </c>
      <c r="AA163" s="11">
        <v>0</v>
      </c>
      <c r="AB163" s="11">
        <f>AB159*$Q$48</f>
        <v>350.18426279682757</v>
      </c>
      <c r="AC163" s="11">
        <f>AC159*$D$48</f>
        <v>0</v>
      </c>
      <c r="AD163" s="11">
        <v>0</v>
      </c>
      <c r="AE163" s="11">
        <f t="shared" si="30"/>
        <v>350.18426279682757</v>
      </c>
    </row>
    <row r="164" spans="2:32">
      <c r="B164" s="24" t="s">
        <v>40</v>
      </c>
      <c r="C164" s="15">
        <f t="shared" ref="C164:O164" si="31">SUM(C158:C163)</f>
        <v>5264.3809121202157</v>
      </c>
      <c r="D164" s="15">
        <f t="shared" si="31"/>
        <v>0</v>
      </c>
      <c r="E164" s="15">
        <f t="shared" si="31"/>
        <v>4255.5678298416724</v>
      </c>
      <c r="F164" s="15">
        <f t="shared" si="31"/>
        <v>0</v>
      </c>
      <c r="G164" s="15">
        <f t="shared" si="31"/>
        <v>1849.6103518376344</v>
      </c>
      <c r="H164" s="15"/>
      <c r="I164" s="15"/>
      <c r="J164" s="15"/>
      <c r="K164" s="15"/>
      <c r="L164" s="15"/>
      <c r="M164" s="15"/>
      <c r="N164" s="15"/>
      <c r="O164" s="15">
        <f t="shared" si="31"/>
        <v>11.818700667231967</v>
      </c>
      <c r="P164" s="15">
        <f>-P172</f>
        <v>-5030.1390417723751</v>
      </c>
      <c r="Q164" s="15">
        <f>-Q172</f>
        <v>0</v>
      </c>
      <c r="R164" s="15">
        <v>0</v>
      </c>
      <c r="S164" s="15">
        <f t="shared" si="29"/>
        <v>6351.2387526943812</v>
      </c>
      <c r="U164" s="24" t="s">
        <v>40</v>
      </c>
      <c r="V164" s="15">
        <f t="shared" ref="V164:AA164" si="32">SUM(V158:V163)</f>
        <v>0</v>
      </c>
      <c r="W164" s="15">
        <f t="shared" si="32"/>
        <v>0</v>
      </c>
      <c r="X164" s="15">
        <f t="shared" si="32"/>
        <v>1910.5230435824299</v>
      </c>
      <c r="Y164" s="15">
        <f t="shared" si="32"/>
        <v>0</v>
      </c>
      <c r="Z164" s="15">
        <f t="shared" si="32"/>
        <v>3535.8628278968581</v>
      </c>
      <c r="AA164" s="15">
        <f t="shared" si="32"/>
        <v>1273.6820290549533</v>
      </c>
      <c r="AB164" s="15">
        <f>-AB172</f>
        <v>-5060.0210042971366</v>
      </c>
      <c r="AC164" s="15">
        <f>-AC172</f>
        <v>0</v>
      </c>
      <c r="AD164" s="15">
        <v>0</v>
      </c>
      <c r="AE164" s="15">
        <f t="shared" si="30"/>
        <v>1660.0468962371042</v>
      </c>
    </row>
    <row r="165" spans="2:32">
      <c r="B165" s="22" t="s">
        <v>41</v>
      </c>
      <c r="C165" s="11">
        <v>0</v>
      </c>
      <c r="D165" s="11">
        <v>0</v>
      </c>
      <c r="E165" s="11">
        <f>Industrie!F42</f>
        <v>4201.9007783833213</v>
      </c>
      <c r="F165" s="11">
        <v>0</v>
      </c>
      <c r="G165" s="11">
        <v>0</v>
      </c>
      <c r="H165" s="11"/>
      <c r="I165" s="11"/>
      <c r="J165" s="11"/>
      <c r="K165" s="11"/>
      <c r="L165" s="11"/>
      <c r="M165" s="11"/>
      <c r="N165" s="11"/>
      <c r="O165" s="11">
        <f>Industrie!F51</f>
        <v>0</v>
      </c>
      <c r="P165" s="11">
        <f>Industrie!F46</f>
        <v>4099.5141649245743</v>
      </c>
      <c r="Q165" s="11">
        <f>Industrie!F52</f>
        <v>0</v>
      </c>
      <c r="R165" s="11">
        <v>0</v>
      </c>
      <c r="S165" s="11">
        <f t="shared" si="29"/>
        <v>8301.4149433078965</v>
      </c>
      <c r="U165" s="22" t="s">
        <v>41</v>
      </c>
      <c r="V165" s="11">
        <v>0</v>
      </c>
      <c r="W165" s="11">
        <v>0</v>
      </c>
      <c r="X165" s="11" t="e">
        <f>Industrie!#REF!</f>
        <v>#REF!</v>
      </c>
      <c r="Y165" s="11">
        <v>0</v>
      </c>
      <c r="Z165" s="11">
        <v>0</v>
      </c>
      <c r="AA165" s="11">
        <f>Industrie!F85</f>
        <v>687.5024859880682</v>
      </c>
      <c r="AB165" s="11">
        <f>Industrie!F76</f>
        <v>4512.3583110787022</v>
      </c>
      <c r="AC165" s="11">
        <f>Industrie!F86</f>
        <v>0</v>
      </c>
      <c r="AD165" s="11">
        <v>0</v>
      </c>
      <c r="AE165" s="11" t="e">
        <f t="shared" si="30"/>
        <v>#REF!</v>
      </c>
    </row>
    <row r="166" spans="2:32">
      <c r="B166" s="22" t="s">
        <v>42</v>
      </c>
      <c r="C166" s="11">
        <v>0</v>
      </c>
      <c r="D166" s="11">
        <v>0</v>
      </c>
      <c r="E166" s="11">
        <f>Transports!H49</f>
        <v>1986.3527953397884</v>
      </c>
      <c r="F166" s="11">
        <v>0</v>
      </c>
      <c r="G166" s="11">
        <v>0</v>
      </c>
      <c r="H166" s="11"/>
      <c r="I166" s="11"/>
      <c r="J166" s="11"/>
      <c r="K166" s="11"/>
      <c r="L166" s="11"/>
      <c r="M166" s="11"/>
      <c r="N166" s="11"/>
      <c r="O166" s="11">
        <v>0</v>
      </c>
      <c r="P166" s="11">
        <f>Transports!H50</f>
        <v>78.457375849802915</v>
      </c>
      <c r="Q166" s="11">
        <v>0</v>
      </c>
      <c r="R166" s="11">
        <v>0</v>
      </c>
      <c r="S166" s="11">
        <f>Transports!H51</f>
        <v>2064.8101711895911</v>
      </c>
      <c r="U166" s="22" t="s">
        <v>42</v>
      </c>
      <c r="V166" s="11">
        <v>0</v>
      </c>
      <c r="W166" s="11">
        <v>0</v>
      </c>
      <c r="X166" s="11">
        <f>Transports!H76</f>
        <v>1712.1594980558643</v>
      </c>
      <c r="Y166" s="11">
        <v>0</v>
      </c>
      <c r="Z166" s="11">
        <v>0</v>
      </c>
      <c r="AA166" s="11">
        <v>0</v>
      </c>
      <c r="AB166" s="11">
        <f>Transports!H77</f>
        <v>165.4777411974737</v>
      </c>
      <c r="AC166" s="11">
        <v>0</v>
      </c>
      <c r="AD166" s="11">
        <v>0</v>
      </c>
      <c r="AE166" s="11">
        <f>Transports!H78</f>
        <v>1877.6372392533381</v>
      </c>
    </row>
    <row r="167" spans="2:32">
      <c r="B167" s="22" t="s">
        <v>43</v>
      </c>
      <c r="C167" s="11">
        <v>0</v>
      </c>
      <c r="D167" s="11">
        <v>0</v>
      </c>
      <c r="E167" s="11">
        <f>'Résidentiel-tertiaire'!F167</f>
        <v>182.74865064922099</v>
      </c>
      <c r="F167" s="11">
        <v>0</v>
      </c>
      <c r="G167" s="11">
        <v>0</v>
      </c>
      <c r="H167" s="11"/>
      <c r="I167" s="11"/>
      <c r="J167" s="11"/>
      <c r="K167" s="11"/>
      <c r="L167" s="11"/>
      <c r="M167" s="11"/>
      <c r="N167" s="11"/>
      <c r="O167" s="11">
        <f>'Résidentiel-tertiaire'!F168</f>
        <v>49.707632976588116</v>
      </c>
      <c r="P167" s="11">
        <f>'Résidentiel-tertiaire'!F169</f>
        <v>371.71986928271474</v>
      </c>
      <c r="Q167" s="11">
        <v>0</v>
      </c>
      <c r="R167" s="11">
        <v>0</v>
      </c>
      <c r="S167" s="11">
        <f>SUM(C167:R167)</f>
        <v>604.17615290852382</v>
      </c>
      <c r="U167" s="22" t="s">
        <v>43</v>
      </c>
      <c r="V167" s="11">
        <v>0</v>
      </c>
      <c r="W167" s="11">
        <v>0</v>
      </c>
      <c r="X167" s="11">
        <f>'Résidentiel-tertiaire'!F181</f>
        <v>81.41</v>
      </c>
      <c r="Y167" s="11">
        <v>0</v>
      </c>
      <c r="Z167" s="11">
        <v>0</v>
      </c>
      <c r="AA167" s="11">
        <f>'Résidentiel-tertiaire'!F182</f>
        <v>67.094774249358323</v>
      </c>
      <c r="AB167" s="11">
        <f>'Résidentiel-tertiaire'!F183</f>
        <v>195.22250326111092</v>
      </c>
      <c r="AC167" s="11">
        <v>0</v>
      </c>
      <c r="AD167" s="11">
        <v>0</v>
      </c>
      <c r="AE167" s="11">
        <f>SUM(V167:AD167)</f>
        <v>343.72727751046921</v>
      </c>
    </row>
    <row r="168" spans="2:32">
      <c r="B168" s="22" t="s">
        <v>44</v>
      </c>
      <c r="C168" s="11">
        <v>0</v>
      </c>
      <c r="D168" s="11">
        <v>0</v>
      </c>
      <c r="E168" s="11">
        <f>'Résidentiel-tertiaire'!F172</f>
        <v>0</v>
      </c>
      <c r="F168" s="11">
        <v>0</v>
      </c>
      <c r="G168" s="11">
        <v>0</v>
      </c>
      <c r="H168" s="11"/>
      <c r="I168" s="11"/>
      <c r="J168" s="11"/>
      <c r="K168" s="11"/>
      <c r="L168" s="11"/>
      <c r="M168" s="11"/>
      <c r="N168" s="11"/>
      <c r="O168" s="11">
        <f>'Résidentiel-tertiaire'!F173</f>
        <v>0</v>
      </c>
      <c r="P168" s="11">
        <f>'Résidentiel-tertiaire'!F174</f>
        <v>480.44763171528325</v>
      </c>
      <c r="Q168" s="11">
        <v>0</v>
      </c>
      <c r="R168" s="11">
        <v>0</v>
      </c>
      <c r="S168" s="11">
        <f>SUM(C168:R168)</f>
        <v>480.44763171528325</v>
      </c>
      <c r="U168" s="22" t="s">
        <v>44</v>
      </c>
      <c r="V168" s="11">
        <v>0</v>
      </c>
      <c r="W168" s="11">
        <v>0</v>
      </c>
      <c r="X168" s="11">
        <f>'Résidentiel-tertiaire'!F186</f>
        <v>0</v>
      </c>
      <c r="Y168" s="11">
        <v>0</v>
      </c>
      <c r="Z168" s="11">
        <v>0</v>
      </c>
      <c r="AA168" s="11">
        <f>'Résidentiel-tertiaire'!F187</f>
        <v>0</v>
      </c>
      <c r="AB168" s="11">
        <f>'Résidentiel-tertiaire'!F188</f>
        <v>186.96244875984917</v>
      </c>
      <c r="AC168" s="11">
        <v>0</v>
      </c>
      <c r="AD168" s="11">
        <v>0</v>
      </c>
      <c r="AE168" s="11">
        <f>SUM(V168:AD168)</f>
        <v>186.96244875984917</v>
      </c>
    </row>
    <row r="169" spans="2:32">
      <c r="B169" s="22" t="s">
        <v>4</v>
      </c>
      <c r="C169" s="11">
        <v>0</v>
      </c>
      <c r="D169" s="11">
        <v>0</v>
      </c>
      <c r="E169" s="11">
        <f>Agriculture!P27</f>
        <v>64.171750176899067</v>
      </c>
      <c r="F169" s="11">
        <v>0</v>
      </c>
      <c r="G169" s="11">
        <v>0</v>
      </c>
      <c r="H169" s="11"/>
      <c r="I169" s="11"/>
      <c r="J169" s="11"/>
      <c r="K169" s="11"/>
      <c r="L169" s="11"/>
      <c r="M169" s="11"/>
      <c r="N169" s="11"/>
      <c r="O169" s="11">
        <v>0</v>
      </c>
      <c r="P169" s="11">
        <f>Agriculture!P28</f>
        <v>0</v>
      </c>
      <c r="Q169" s="11">
        <v>0</v>
      </c>
      <c r="R169" s="11">
        <v>0</v>
      </c>
      <c r="S169" s="11">
        <f>SUM(C169:R169)</f>
        <v>64.171750176899067</v>
      </c>
      <c r="U169" s="22" t="s">
        <v>4</v>
      </c>
      <c r="V169" s="11">
        <v>0</v>
      </c>
      <c r="W169" s="11">
        <v>0</v>
      </c>
      <c r="X169" s="11">
        <f>Agriculture!U43</f>
        <v>30.388064516129035</v>
      </c>
      <c r="Y169" s="11">
        <v>0</v>
      </c>
      <c r="Z169" s="11">
        <v>0</v>
      </c>
      <c r="AA169" s="11">
        <f>Agriculture!U45</f>
        <v>20.129053935483871</v>
      </c>
      <c r="AB169" s="11">
        <f>Agriculture!U44</f>
        <v>0</v>
      </c>
      <c r="AC169" s="11">
        <v>0</v>
      </c>
      <c r="AD169" s="11">
        <v>0</v>
      </c>
      <c r="AE169" s="11">
        <f>SUM(V169:AD169)</f>
        <v>50.517118451612902</v>
      </c>
    </row>
    <row r="170" spans="2:32">
      <c r="B170" s="26" t="s">
        <v>45</v>
      </c>
      <c r="C170" s="19">
        <v>0</v>
      </c>
      <c r="D170" s="19">
        <v>0</v>
      </c>
      <c r="E170" s="19">
        <f t="shared" ref="E170:S170" si="33">SUM(E165:E169)</f>
        <v>6435.1739745492305</v>
      </c>
      <c r="F170" s="19">
        <f t="shared" si="33"/>
        <v>0</v>
      </c>
      <c r="G170" s="19">
        <f t="shared" si="33"/>
        <v>0</v>
      </c>
      <c r="H170" s="19"/>
      <c r="I170" s="19"/>
      <c r="J170" s="19"/>
      <c r="K170" s="19"/>
      <c r="L170" s="19"/>
      <c r="M170" s="19"/>
      <c r="N170" s="19"/>
      <c r="O170" s="19">
        <f t="shared" si="33"/>
        <v>49.707632976588116</v>
      </c>
      <c r="P170" s="19">
        <f t="shared" si="33"/>
        <v>5030.1390417723751</v>
      </c>
      <c r="Q170" s="19">
        <f t="shared" si="33"/>
        <v>0</v>
      </c>
      <c r="R170" s="19">
        <f t="shared" si="33"/>
        <v>0</v>
      </c>
      <c r="S170" s="19">
        <f t="shared" si="33"/>
        <v>11515.020649298194</v>
      </c>
      <c r="U170" s="26" t="s">
        <v>45</v>
      </c>
      <c r="V170" s="19">
        <v>0</v>
      </c>
      <c r="W170" s="19">
        <v>0</v>
      </c>
      <c r="X170" s="19" t="e">
        <f t="shared" ref="X170:AE170" si="34">SUM(X165:X169)</f>
        <v>#REF!</v>
      </c>
      <c r="Y170" s="19">
        <f t="shared" si="34"/>
        <v>0</v>
      </c>
      <c r="Z170" s="19">
        <f t="shared" si="34"/>
        <v>0</v>
      </c>
      <c r="AA170" s="19">
        <f t="shared" si="34"/>
        <v>774.72631417291041</v>
      </c>
      <c r="AB170" s="19">
        <f t="shared" si="34"/>
        <v>5060.0210042971366</v>
      </c>
      <c r="AC170" s="19">
        <f t="shared" si="34"/>
        <v>0</v>
      </c>
      <c r="AD170" s="19">
        <f t="shared" si="34"/>
        <v>0</v>
      </c>
      <c r="AE170" s="19" t="e">
        <f t="shared" si="34"/>
        <v>#REF!</v>
      </c>
    </row>
    <row r="171" spans="2:32">
      <c r="B171" s="26" t="s">
        <v>46</v>
      </c>
      <c r="C171" s="19">
        <v>0</v>
      </c>
      <c r="D171" s="19">
        <v>0</v>
      </c>
      <c r="E171" s="19">
        <f>Industrie!F49</f>
        <v>285.65468574664675</v>
      </c>
      <c r="F171" s="19">
        <v>0</v>
      </c>
      <c r="G171" s="19">
        <v>0</v>
      </c>
      <c r="H171" s="19"/>
      <c r="I171" s="19"/>
      <c r="J171" s="19"/>
      <c r="K171" s="19"/>
      <c r="L171" s="19"/>
      <c r="M171" s="19"/>
      <c r="N171" s="19"/>
      <c r="O171" s="19">
        <v>0</v>
      </c>
      <c r="P171" s="19">
        <v>0</v>
      </c>
      <c r="Q171" s="19">
        <v>0</v>
      </c>
      <c r="R171" s="19">
        <v>0</v>
      </c>
      <c r="S171" s="19">
        <f>SUM(C171:R171)</f>
        <v>285.65468574664675</v>
      </c>
      <c r="U171" s="26" t="s">
        <v>46</v>
      </c>
      <c r="V171" s="19">
        <v>0</v>
      </c>
      <c r="W171" s="19">
        <v>0</v>
      </c>
      <c r="X171" s="19">
        <f>Industrie!F80</f>
        <v>183.74474229940174</v>
      </c>
      <c r="Y171" s="19">
        <v>0</v>
      </c>
      <c r="Z171" s="19">
        <v>0</v>
      </c>
      <c r="AA171" s="19">
        <f>Industrie!F84</f>
        <v>27.561711344910261</v>
      </c>
      <c r="AB171" s="19">
        <v>0</v>
      </c>
      <c r="AC171" s="19">
        <v>0</v>
      </c>
      <c r="AD171" s="19">
        <v>0</v>
      </c>
      <c r="AE171" s="19">
        <f>SUM(V171:AD171)</f>
        <v>211.306453644312</v>
      </c>
    </row>
    <row r="172" spans="2:32">
      <c r="B172" s="24" t="s">
        <v>47</v>
      </c>
      <c r="C172" s="15">
        <v>0</v>
      </c>
      <c r="D172" s="15">
        <v>0</v>
      </c>
      <c r="E172" s="15">
        <f t="shared" ref="E172:S172" si="35">SUM(E170:E171)</f>
        <v>6720.8286602958769</v>
      </c>
      <c r="F172" s="15">
        <f t="shared" si="35"/>
        <v>0</v>
      </c>
      <c r="G172" s="15">
        <f t="shared" si="35"/>
        <v>0</v>
      </c>
      <c r="H172" s="15"/>
      <c r="I172" s="15"/>
      <c r="J172" s="15"/>
      <c r="K172" s="15"/>
      <c r="L172" s="15"/>
      <c r="M172" s="15"/>
      <c r="N172" s="15"/>
      <c r="O172" s="15">
        <f t="shared" si="35"/>
        <v>49.707632976588116</v>
      </c>
      <c r="P172" s="15">
        <f t="shared" si="35"/>
        <v>5030.1390417723751</v>
      </c>
      <c r="Q172" s="15">
        <f t="shared" si="35"/>
        <v>0</v>
      </c>
      <c r="R172" s="15">
        <f t="shared" si="35"/>
        <v>0</v>
      </c>
      <c r="S172" s="15">
        <f t="shared" si="35"/>
        <v>11800.675335044842</v>
      </c>
      <c r="T172" s="27">
        <f>SUM(C172:R172)</f>
        <v>11800.67533504484</v>
      </c>
      <c r="U172" s="24" t="s">
        <v>47</v>
      </c>
      <c r="V172" s="15">
        <v>0</v>
      </c>
      <c r="W172" s="15">
        <v>0</v>
      </c>
      <c r="X172" s="15" t="e">
        <f t="shared" ref="X172:AE172" si="36">SUM(X170:X171)</f>
        <v>#REF!</v>
      </c>
      <c r="Y172" s="15">
        <f t="shared" si="36"/>
        <v>0</v>
      </c>
      <c r="Z172" s="15">
        <f t="shared" si="36"/>
        <v>0</v>
      </c>
      <c r="AA172" s="15">
        <f t="shared" si="36"/>
        <v>802.28802551782064</v>
      </c>
      <c r="AB172" s="15">
        <f t="shared" si="36"/>
        <v>5060.0210042971366</v>
      </c>
      <c r="AC172" s="15">
        <f t="shared" si="36"/>
        <v>0</v>
      </c>
      <c r="AD172" s="15">
        <f t="shared" si="36"/>
        <v>0</v>
      </c>
      <c r="AE172" s="15" t="e">
        <f t="shared" si="36"/>
        <v>#REF!</v>
      </c>
      <c r="AF172" s="27" t="e">
        <f>SUM(V172:AD172)</f>
        <v>#REF!</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32"/>
      <c r="I179" s="232"/>
      <c r="J179" s="232"/>
      <c r="K179" s="232"/>
      <c r="L179" s="232"/>
      <c r="M179" s="232"/>
      <c r="N179" s="232"/>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Energie'!G37)</f>
        <v>5378.9635896779291</v>
      </c>
      <c r="D191" s="11">
        <v>0</v>
      </c>
      <c r="E191" s="11">
        <f>(P191-Q191)*$X$48*('Prod Energie'!G38)</f>
        <v>4348.1930339466953</v>
      </c>
      <c r="F191" s="11">
        <v>0</v>
      </c>
      <c r="G191" s="11">
        <f>(P191-Q191)*$X$48*('Prod Energie'!G45+'Prod Energie'!D44)</f>
        <v>1855.0367430662043</v>
      </c>
      <c r="H191" s="11"/>
      <c r="I191" s="11"/>
      <c r="J191" s="11"/>
      <c r="K191" s="11"/>
      <c r="L191" s="11"/>
      <c r="M191" s="11"/>
      <c r="N191" s="11"/>
      <c r="O191" s="11">
        <f>(P191-Q191)*$X$48*('Prod Energie'!G43)</f>
        <v>11.814289742913804</v>
      </c>
      <c r="P191" s="11">
        <f>P196/(1+$P$48+$Q$48)</f>
        <v>-5536.4651048829292</v>
      </c>
      <c r="Q191" s="11">
        <f>Q196/(1+$D$48)</f>
        <v>0</v>
      </c>
      <c r="R191" s="11">
        <v>0</v>
      </c>
      <c r="S191" s="11">
        <f t="shared" si="41"/>
        <v>6057.5425515508141</v>
      </c>
      <c r="U191" s="22" t="s">
        <v>35</v>
      </c>
      <c r="V191" s="11">
        <f>(AB191-AC191)*$X$48*('Prod Energie'!G59)</f>
        <v>0</v>
      </c>
      <c r="W191" s="11">
        <v>0</v>
      </c>
      <c r="X191" s="11">
        <f>(AB191-AC191)*$X$48*('Prod Energie'!G60)</f>
        <v>0</v>
      </c>
      <c r="Y191" s="11">
        <v>0</v>
      </c>
      <c r="Z191" s="11">
        <f>(AB191-AC191)*$X$48*('Prod Energie'!G67+'Prod Energie'!D66)</f>
        <v>3893.6600452822836</v>
      </c>
      <c r="AA191" s="11">
        <f>(AB191-AC191)*$X$48*('Prod Energie'!G65)</f>
        <v>1402.5670871047728</v>
      </c>
      <c r="AB191" s="11">
        <f>AB196/(1+$P$48+$Q$48)</f>
        <v>-6029.671012027231</v>
      </c>
      <c r="AC191" s="11">
        <f>AC196/(1+$D$48)</f>
        <v>0</v>
      </c>
      <c r="AD191" s="11">
        <v>0</v>
      </c>
      <c r="AE191" s="11">
        <f t="shared" si="42"/>
        <v>-733.4438796401746</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66.112571208927534</v>
      </c>
      <c r="Q194" s="11">
        <v>0</v>
      </c>
      <c r="R194" s="11">
        <v>0</v>
      </c>
      <c r="S194" s="11">
        <f t="shared" si="41"/>
        <v>66.112571208927534</v>
      </c>
      <c r="U194" s="22" t="s">
        <v>38</v>
      </c>
      <c r="V194" s="11">
        <v>0</v>
      </c>
      <c r="W194" s="11">
        <v>0</v>
      </c>
      <c r="X194" s="11">
        <v>0</v>
      </c>
      <c r="Y194" s="11">
        <v>0</v>
      </c>
      <c r="Z194" s="11">
        <v>0</v>
      </c>
      <c r="AA194" s="11">
        <v>0</v>
      </c>
      <c r="AB194" s="11">
        <f>AB191*$P$48</f>
        <v>72.002089166510842</v>
      </c>
      <c r="AC194" s="11">
        <v>0</v>
      </c>
      <c r="AD194" s="11">
        <v>0</v>
      </c>
      <c r="AE194" s="11">
        <f t="shared" si="42"/>
        <v>72.002089166510842</v>
      </c>
    </row>
    <row r="195" spans="2:32">
      <c r="B195" s="22" t="s">
        <v>39</v>
      </c>
      <c r="C195" s="11">
        <v>0</v>
      </c>
      <c r="D195" s="11">
        <v>0</v>
      </c>
      <c r="E195" s="11">
        <v>0</v>
      </c>
      <c r="F195" s="11">
        <v>0</v>
      </c>
      <c r="G195" s="11">
        <v>0</v>
      </c>
      <c r="H195" s="11"/>
      <c r="I195" s="11"/>
      <c r="J195" s="11"/>
      <c r="K195" s="11"/>
      <c r="L195" s="11"/>
      <c r="M195" s="11"/>
      <c r="N195" s="11"/>
      <c r="O195" s="11">
        <v>0</v>
      </c>
      <c r="P195" s="11">
        <f>P191*$Q$48</f>
        <v>354.07739164624149</v>
      </c>
      <c r="Q195" s="11">
        <f>Q191*$D$48</f>
        <v>0</v>
      </c>
      <c r="R195" s="11">
        <v>0</v>
      </c>
      <c r="S195" s="11">
        <f t="shared" si="41"/>
        <v>354.07739164624149</v>
      </c>
      <c r="U195" s="22" t="s">
        <v>39</v>
      </c>
      <c r="V195" s="11">
        <v>0</v>
      </c>
      <c r="W195" s="11">
        <v>0</v>
      </c>
      <c r="X195" s="11">
        <v>0</v>
      </c>
      <c r="Y195" s="11">
        <v>0</v>
      </c>
      <c r="Z195" s="11">
        <v>0</v>
      </c>
      <c r="AA195" s="11">
        <v>0</v>
      </c>
      <c r="AB195" s="11">
        <f>AB191*$Q$48</f>
        <v>385.61973099778078</v>
      </c>
      <c r="AC195" s="11">
        <f>AC191*$D$48</f>
        <v>0</v>
      </c>
      <c r="AD195" s="11">
        <v>0</v>
      </c>
      <c r="AE195" s="11">
        <f t="shared" si="42"/>
        <v>385.61973099778078</v>
      </c>
    </row>
    <row r="196" spans="2:32">
      <c r="B196" s="24" t="s">
        <v>40</v>
      </c>
      <c r="C196" s="15">
        <f t="shared" ref="C196:O196" si="43">SUM(C190:C195)</f>
        <v>5378.9635896779291</v>
      </c>
      <c r="D196" s="15">
        <f t="shared" si="43"/>
        <v>0</v>
      </c>
      <c r="E196" s="15">
        <f t="shared" si="43"/>
        <v>4348.1930339466953</v>
      </c>
      <c r="F196" s="15">
        <f t="shared" si="43"/>
        <v>0</v>
      </c>
      <c r="G196" s="15">
        <f t="shared" si="43"/>
        <v>1855.0367430662043</v>
      </c>
      <c r="H196" s="15"/>
      <c r="I196" s="15"/>
      <c r="J196" s="15"/>
      <c r="K196" s="15"/>
      <c r="L196" s="15"/>
      <c r="M196" s="15"/>
      <c r="N196" s="15"/>
      <c r="O196" s="15">
        <f t="shared" si="43"/>
        <v>11.814289742913804</v>
      </c>
      <c r="P196" s="15">
        <f>-P204</f>
        <v>-5116.27514202776</v>
      </c>
      <c r="Q196" s="15">
        <f>-Q204</f>
        <v>0</v>
      </c>
      <c r="R196" s="15">
        <v>0</v>
      </c>
      <c r="S196" s="15">
        <f t="shared" si="41"/>
        <v>6477.7325144059832</v>
      </c>
      <c r="U196" s="24" t="s">
        <v>40</v>
      </c>
      <c r="V196" s="15">
        <f t="shared" ref="V196:AA196" si="44">SUM(V190:V195)</f>
        <v>0</v>
      </c>
      <c r="W196" s="15">
        <f t="shared" si="44"/>
        <v>0</v>
      </c>
      <c r="X196" s="15">
        <f t="shared" si="44"/>
        <v>0</v>
      </c>
      <c r="Y196" s="15">
        <f t="shared" si="44"/>
        <v>0</v>
      </c>
      <c r="Z196" s="15">
        <f t="shared" si="44"/>
        <v>3893.6600452822836</v>
      </c>
      <c r="AA196" s="15">
        <f t="shared" si="44"/>
        <v>1402.5670871047728</v>
      </c>
      <c r="AB196" s="15">
        <f>-AB204</f>
        <v>-5572.0491918629396</v>
      </c>
      <c r="AC196" s="15">
        <f>-AC204</f>
        <v>0</v>
      </c>
      <c r="AD196" s="15">
        <v>0</v>
      </c>
      <c r="AE196" s="15">
        <f t="shared" si="42"/>
        <v>-275.82205947588318</v>
      </c>
    </row>
    <row r="197" spans="2:32">
      <c r="B197" s="22" t="s">
        <v>41</v>
      </c>
      <c r="C197" s="11">
        <v>0</v>
      </c>
      <c r="D197" s="11">
        <v>0</v>
      </c>
      <c r="E197" s="11">
        <f>Industrie!G42</f>
        <v>4219.1812039283241</v>
      </c>
      <c r="F197" s="11">
        <v>0</v>
      </c>
      <c r="G197" s="11">
        <v>0</v>
      </c>
      <c r="H197" s="11"/>
      <c r="I197" s="11"/>
      <c r="J197" s="11"/>
      <c r="K197" s="11"/>
      <c r="L197" s="11"/>
      <c r="M197" s="11"/>
      <c r="N197" s="11"/>
      <c r="O197" s="11">
        <f>Industrie!H51</f>
        <v>0</v>
      </c>
      <c r="P197" s="11">
        <f>Industrie!G46</f>
        <v>4114.288161235897</v>
      </c>
      <c r="Q197" s="11">
        <f>Industrie!G52</f>
        <v>0</v>
      </c>
      <c r="R197" s="11">
        <v>0</v>
      </c>
      <c r="S197" s="11">
        <f t="shared" si="41"/>
        <v>8333.469365164221</v>
      </c>
      <c r="U197" s="22" t="s">
        <v>41</v>
      </c>
      <c r="V197" s="11">
        <v>0</v>
      </c>
      <c r="W197" s="11">
        <v>0</v>
      </c>
      <c r="X197" s="11" t="e">
        <f>Industrie!#REF!</f>
        <v>#REF!</v>
      </c>
      <c r="Y197" s="11">
        <v>0</v>
      </c>
      <c r="Z197" s="11">
        <v>0</v>
      </c>
      <c r="AA197" s="11">
        <f>Industrie!G85</f>
        <v>624.09760208689488</v>
      </c>
      <c r="AB197" s="11">
        <f>Industrie!G76</f>
        <v>4887.3859182668648</v>
      </c>
      <c r="AC197" s="11">
        <f>Industrie!G86</f>
        <v>0</v>
      </c>
      <c r="AD197" s="11">
        <v>0</v>
      </c>
      <c r="AE197" s="11" t="e">
        <f t="shared" si="42"/>
        <v>#REF!</v>
      </c>
      <c r="AF197" s="27" t="e">
        <f t="shared" ref="AF197:AF202" si="45">SUM(V197:AD197)</f>
        <v>#REF!</v>
      </c>
    </row>
    <row r="198" spans="2:32">
      <c r="B198" s="22" t="s">
        <v>42</v>
      </c>
      <c r="C198" s="11">
        <v>0</v>
      </c>
      <c r="D198" s="11">
        <v>0</v>
      </c>
      <c r="E198" s="11">
        <f>Transports!I49</f>
        <v>1965.2304386353949</v>
      </c>
      <c r="F198" s="11">
        <v>0</v>
      </c>
      <c r="G198" s="11">
        <v>0</v>
      </c>
      <c r="H198" s="11"/>
      <c r="I198" s="11"/>
      <c r="J198" s="11"/>
      <c r="K198" s="11"/>
      <c r="L198" s="11"/>
      <c r="M198" s="11"/>
      <c r="N198" s="11"/>
      <c r="O198" s="11">
        <v>0</v>
      </c>
      <c r="P198" s="11">
        <f>Transports!I50</f>
        <v>92.485885731990834</v>
      </c>
      <c r="Q198" s="11">
        <v>0</v>
      </c>
      <c r="R198" s="11">
        <v>0</v>
      </c>
      <c r="S198" s="11">
        <f>Transports!I51</f>
        <v>2057.7163243673858</v>
      </c>
      <c r="U198" s="22" t="s">
        <v>42</v>
      </c>
      <c r="V198" s="11">
        <v>0</v>
      </c>
      <c r="W198" s="11">
        <v>0</v>
      </c>
      <c r="X198" s="11">
        <f>Transports!I76</f>
        <v>1300.8487889904816</v>
      </c>
      <c r="Y198" s="11">
        <v>0</v>
      </c>
      <c r="Z198" s="11">
        <v>0</v>
      </c>
      <c r="AA198" s="11">
        <v>0</v>
      </c>
      <c r="AB198" s="11">
        <f>Transports!I77</f>
        <v>335.39474081535997</v>
      </c>
      <c r="AC198" s="11">
        <v>0</v>
      </c>
      <c r="AD198" s="11">
        <v>0</v>
      </c>
      <c r="AE198" s="11">
        <f>Transports!I78</f>
        <v>1636.2435298058415</v>
      </c>
      <c r="AF198" s="27">
        <f t="shared" si="45"/>
        <v>1636.2435298058415</v>
      </c>
    </row>
    <row r="199" spans="2:32">
      <c r="B199" s="22" t="s">
        <v>43</v>
      </c>
      <c r="C199" s="11">
        <v>0</v>
      </c>
      <c r="D199" s="11">
        <v>0</v>
      </c>
      <c r="E199" s="11">
        <f>'Résidentiel-tertiaire'!G167</f>
        <v>194.42791647710254</v>
      </c>
      <c r="F199" s="11">
        <v>0</v>
      </c>
      <c r="G199" s="11">
        <v>0</v>
      </c>
      <c r="H199" s="11"/>
      <c r="I199" s="11"/>
      <c r="J199" s="11"/>
      <c r="K199" s="11"/>
      <c r="L199" s="11"/>
      <c r="M199" s="11"/>
      <c r="N199" s="11"/>
      <c r="O199" s="11">
        <f>'Résidentiel-tertiaire'!G168</f>
        <v>52.884393281771899</v>
      </c>
      <c r="P199" s="11">
        <f>'Résidentiel-tertiaire'!G169</f>
        <v>395.47607843356303</v>
      </c>
      <c r="Q199" s="11">
        <v>0</v>
      </c>
      <c r="R199" s="11">
        <v>0</v>
      </c>
      <c r="S199" s="11">
        <f>SUM(C199:R199)</f>
        <v>642.78838819243742</v>
      </c>
      <c r="U199" s="22" t="s">
        <v>43</v>
      </c>
      <c r="V199" s="11">
        <v>0</v>
      </c>
      <c r="W199" s="11">
        <v>0</v>
      </c>
      <c r="X199" s="11">
        <f>'Résidentiel-tertiaire'!G181</f>
        <v>54.273333333333326</v>
      </c>
      <c r="Y199" s="11">
        <v>0</v>
      </c>
      <c r="Z199" s="11">
        <v>0</v>
      </c>
      <c r="AA199" s="11">
        <f>'Résidentiel-tertiaire'!G182</f>
        <v>57.278734952282804</v>
      </c>
      <c r="AB199" s="11">
        <f>'Résidentiel-tertiaire'!G183</f>
        <v>181.88753032187483</v>
      </c>
      <c r="AC199" s="11">
        <v>0</v>
      </c>
      <c r="AD199" s="11">
        <v>0</v>
      </c>
      <c r="AE199" s="11">
        <f>SUM(V199:AD199)</f>
        <v>293.43959860749095</v>
      </c>
      <c r="AF199" s="27">
        <f t="shared" si="45"/>
        <v>293.43959860749095</v>
      </c>
    </row>
    <row r="200" spans="2:32">
      <c r="B200" s="22" t="s">
        <v>44</v>
      </c>
      <c r="C200" s="11">
        <v>0</v>
      </c>
      <c r="D200" s="11">
        <v>0</v>
      </c>
      <c r="E200" s="11">
        <f>'Résidentiel-tertiaire'!G172</f>
        <v>0</v>
      </c>
      <c r="F200" s="11">
        <v>0</v>
      </c>
      <c r="G200" s="11">
        <v>0</v>
      </c>
      <c r="H200" s="11"/>
      <c r="I200" s="11"/>
      <c r="J200" s="11"/>
      <c r="K200" s="11"/>
      <c r="L200" s="11"/>
      <c r="M200" s="11"/>
      <c r="N200" s="11"/>
      <c r="O200" s="11">
        <f>'Résidentiel-tertiaire'!G173</f>
        <v>0</v>
      </c>
      <c r="P200" s="11">
        <f>'Résidentiel-tertiaire'!G174</f>
        <v>514.02501662630925</v>
      </c>
      <c r="Q200" s="11">
        <v>0</v>
      </c>
      <c r="R200" s="11">
        <v>0</v>
      </c>
      <c r="S200" s="11">
        <f>SUM(C200:R200)</f>
        <v>514.02501662630925</v>
      </c>
      <c r="U200" s="22" t="s">
        <v>44</v>
      </c>
      <c r="V200" s="11">
        <v>0</v>
      </c>
      <c r="W200" s="11">
        <v>0</v>
      </c>
      <c r="X200" s="11">
        <f>'Résidentiel-tertiaire'!G186</f>
        <v>0</v>
      </c>
      <c r="Y200" s="11">
        <v>0</v>
      </c>
      <c r="Z200" s="11">
        <v>0</v>
      </c>
      <c r="AA200" s="11">
        <f>'Résidentiel-tertiaire'!G187</f>
        <v>0</v>
      </c>
      <c r="AB200" s="11">
        <f>'Résidentiel-tertiaire'!G188</f>
        <v>167.3810024588405</v>
      </c>
      <c r="AC200" s="11">
        <v>0</v>
      </c>
      <c r="AD200" s="11">
        <v>0</v>
      </c>
      <c r="AE200" s="11">
        <f>SUM(V200:AD200)</f>
        <v>167.3810024588405</v>
      </c>
      <c r="AF200" s="27">
        <f t="shared" si="45"/>
        <v>167.3810024588405</v>
      </c>
    </row>
    <row r="201" spans="2:32">
      <c r="B201" s="22" t="s">
        <v>4</v>
      </c>
      <c r="C201" s="11">
        <v>0</v>
      </c>
      <c r="D201" s="11">
        <v>0</v>
      </c>
      <c r="E201" s="11">
        <f>Agriculture!S27</f>
        <v>64.496869791883455</v>
      </c>
      <c r="F201" s="11">
        <v>0</v>
      </c>
      <c r="G201" s="11">
        <v>0</v>
      </c>
      <c r="H201" s="11"/>
      <c r="I201" s="11"/>
      <c r="J201" s="11"/>
      <c r="K201" s="11"/>
      <c r="L201" s="11"/>
      <c r="M201" s="11"/>
      <c r="N201" s="11"/>
      <c r="O201" s="11">
        <v>0</v>
      </c>
      <c r="P201" s="11">
        <f>Agriculture!S28</f>
        <v>0</v>
      </c>
      <c r="Q201" s="11">
        <v>0</v>
      </c>
      <c r="R201" s="11">
        <v>0</v>
      </c>
      <c r="S201" s="11">
        <f>SUM(C201:R201)</f>
        <v>64.496869791883455</v>
      </c>
      <c r="U201" s="22" t="s">
        <v>4</v>
      </c>
      <c r="V201" s="11">
        <v>0</v>
      </c>
      <c r="W201" s="11">
        <v>0</v>
      </c>
      <c r="X201" s="11">
        <f>Agriculture!Y43</f>
        <v>20.258709677419361</v>
      </c>
      <c r="Y201" s="11">
        <v>0</v>
      </c>
      <c r="Z201" s="11">
        <v>0</v>
      </c>
      <c r="AA201" s="11">
        <f>Agriculture!Y45</f>
        <v>26.419383290322582</v>
      </c>
      <c r="AB201" s="11">
        <f>Agriculture!Y44</f>
        <v>0</v>
      </c>
      <c r="AC201" s="11">
        <v>0</v>
      </c>
      <c r="AD201" s="11">
        <v>0</v>
      </c>
      <c r="AE201" s="11">
        <f>SUM(V201:AD201)</f>
        <v>46.678092967741946</v>
      </c>
      <c r="AF201" s="27">
        <f t="shared" si="45"/>
        <v>46.678092967741946</v>
      </c>
    </row>
    <row r="202" spans="2:32">
      <c r="B202" s="26" t="s">
        <v>45</v>
      </c>
      <c r="C202" s="19">
        <v>0</v>
      </c>
      <c r="D202" s="19">
        <v>0</v>
      </c>
      <c r="E202" s="19">
        <f t="shared" ref="E202:S202" si="46">SUM(E197:E201)</f>
        <v>6443.3364288327048</v>
      </c>
      <c r="F202" s="19">
        <f t="shared" si="46"/>
        <v>0</v>
      </c>
      <c r="G202" s="19">
        <f t="shared" si="46"/>
        <v>0</v>
      </c>
      <c r="H202" s="19"/>
      <c r="I202" s="19"/>
      <c r="J202" s="19"/>
      <c r="K202" s="19"/>
      <c r="L202" s="19"/>
      <c r="M202" s="19"/>
      <c r="N202" s="19"/>
      <c r="O202" s="19">
        <f t="shared" si="46"/>
        <v>52.884393281771899</v>
      </c>
      <c r="P202" s="19">
        <f t="shared" si="46"/>
        <v>5116.27514202776</v>
      </c>
      <c r="Q202" s="19">
        <f t="shared" si="46"/>
        <v>0</v>
      </c>
      <c r="R202" s="19">
        <f t="shared" si="46"/>
        <v>0</v>
      </c>
      <c r="S202" s="19">
        <f t="shared" si="46"/>
        <v>11612.495964142236</v>
      </c>
      <c r="U202" s="26" t="s">
        <v>45</v>
      </c>
      <c r="V202" s="19">
        <v>0</v>
      </c>
      <c r="W202" s="19">
        <v>0</v>
      </c>
      <c r="X202" s="19" t="e">
        <f t="shared" ref="X202:AE202" si="47">SUM(X197:X201)</f>
        <v>#REF!</v>
      </c>
      <c r="Y202" s="19">
        <f t="shared" si="47"/>
        <v>0</v>
      </c>
      <c r="Z202" s="19">
        <f t="shared" si="47"/>
        <v>0</v>
      </c>
      <c r="AA202" s="19">
        <f t="shared" si="47"/>
        <v>707.79572032950023</v>
      </c>
      <c r="AB202" s="19">
        <f t="shared" si="47"/>
        <v>5572.0491918629396</v>
      </c>
      <c r="AC202" s="19">
        <f t="shared" si="47"/>
        <v>0</v>
      </c>
      <c r="AD202" s="19">
        <f t="shared" si="47"/>
        <v>0</v>
      </c>
      <c r="AE202" s="19" t="e">
        <f t="shared" si="47"/>
        <v>#REF!</v>
      </c>
      <c r="AF202" s="27" t="e">
        <f t="shared" si="45"/>
        <v>#REF!</v>
      </c>
    </row>
    <row r="203" spans="2:32">
      <c r="B203" s="26" t="s">
        <v>46</v>
      </c>
      <c r="C203" s="19">
        <v>0</v>
      </c>
      <c r="D203" s="19">
        <v>0</v>
      </c>
      <c r="E203" s="19">
        <f>Industrie!G49</f>
        <v>285.64247375790814</v>
      </c>
      <c r="F203" s="19">
        <v>0</v>
      </c>
      <c r="G203" s="19">
        <v>0</v>
      </c>
      <c r="H203" s="19"/>
      <c r="I203" s="19"/>
      <c r="J203" s="19"/>
      <c r="K203" s="19"/>
      <c r="L203" s="19"/>
      <c r="M203" s="19"/>
      <c r="N203" s="19"/>
      <c r="O203" s="19">
        <v>0</v>
      </c>
      <c r="P203" s="19">
        <v>0</v>
      </c>
      <c r="Q203" s="19">
        <v>0</v>
      </c>
      <c r="R203" s="19">
        <v>0</v>
      </c>
      <c r="S203" s="19">
        <f>SUM(C203:R203)</f>
        <v>285.64247375790814</v>
      </c>
      <c r="U203" s="26" t="s">
        <v>46</v>
      </c>
      <c r="V203" s="19">
        <v>0</v>
      </c>
      <c r="W203" s="19">
        <v>0</v>
      </c>
      <c r="X203" s="19">
        <f>Industrie!G80</f>
        <v>171.14177562970102</v>
      </c>
      <c r="Y203" s="19">
        <v>0</v>
      </c>
      <c r="Z203" s="19">
        <v>0</v>
      </c>
      <c r="AA203" s="19">
        <f>Industrie!G84</f>
        <v>34.228355125940197</v>
      </c>
      <c r="AB203" s="19">
        <v>0</v>
      </c>
      <c r="AC203" s="19">
        <v>0</v>
      </c>
      <c r="AD203" s="19">
        <v>0</v>
      </c>
      <c r="AE203" s="19">
        <f>SUM(V203:AD203)</f>
        <v>205.37013075564121</v>
      </c>
      <c r="AF203" s="27" t="e">
        <f>SUM(AF197:AF201)</f>
        <v>#REF!</v>
      </c>
    </row>
    <row r="204" spans="2:32">
      <c r="B204" s="24" t="s">
        <v>47</v>
      </c>
      <c r="C204" s="15">
        <v>0</v>
      </c>
      <c r="D204" s="15">
        <v>0</v>
      </c>
      <c r="E204" s="15">
        <f t="shared" ref="E204:S204" si="48">SUM(E202:E203)</f>
        <v>6728.978902590613</v>
      </c>
      <c r="F204" s="15">
        <f t="shared" si="48"/>
        <v>0</v>
      </c>
      <c r="G204" s="15">
        <f t="shared" si="48"/>
        <v>0</v>
      </c>
      <c r="H204" s="15"/>
      <c r="I204" s="15"/>
      <c r="J204" s="15"/>
      <c r="K204" s="15"/>
      <c r="L204" s="15"/>
      <c r="M204" s="15"/>
      <c r="N204" s="15"/>
      <c r="O204" s="15">
        <f t="shared" si="48"/>
        <v>52.884393281771899</v>
      </c>
      <c r="P204" s="15">
        <f t="shared" si="48"/>
        <v>5116.27514202776</v>
      </c>
      <c r="Q204" s="15">
        <f t="shared" si="48"/>
        <v>0</v>
      </c>
      <c r="R204" s="15">
        <f t="shared" si="48"/>
        <v>0</v>
      </c>
      <c r="S204" s="15">
        <f t="shared" si="48"/>
        <v>11898.138437900143</v>
      </c>
      <c r="T204" s="27">
        <f>SUM(C204:R204)</f>
        <v>11898.138437900145</v>
      </c>
      <c r="U204" s="24" t="s">
        <v>47</v>
      </c>
      <c r="V204" s="15">
        <v>0</v>
      </c>
      <c r="W204" s="15">
        <v>0</v>
      </c>
      <c r="X204" s="15" t="e">
        <f t="shared" ref="X204:AE204" si="49">SUM(X202:X203)</f>
        <v>#REF!</v>
      </c>
      <c r="Y204" s="15">
        <f t="shared" si="49"/>
        <v>0</v>
      </c>
      <c r="Z204" s="15">
        <f t="shared" si="49"/>
        <v>0</v>
      </c>
      <c r="AA204" s="15">
        <f t="shared" si="49"/>
        <v>742.02407545544042</v>
      </c>
      <c r="AB204" s="15">
        <f t="shared" si="49"/>
        <v>5572.0491918629396</v>
      </c>
      <c r="AC204" s="15">
        <f t="shared" si="49"/>
        <v>0</v>
      </c>
      <c r="AD204" s="15">
        <f t="shared" si="49"/>
        <v>0</v>
      </c>
      <c r="AE204" s="15" t="e">
        <f t="shared" si="49"/>
        <v>#REF!</v>
      </c>
      <c r="AF204" s="28" t="e">
        <f>SUM(V204:AD204)</f>
        <v>#REF!</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32"/>
      <c r="I214" s="232"/>
      <c r="J214" s="232"/>
      <c r="K214" s="232"/>
      <c r="L214" s="232"/>
      <c r="M214" s="232"/>
      <c r="N214" s="232"/>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Energie'!H37)</f>
        <v>5491.9793687930687</v>
      </c>
      <c r="D226" s="11">
        <v>0</v>
      </c>
      <c r="E226" s="11">
        <f>(P226-Q226)*$X$48*('Prod Energie'!H38)</f>
        <v>4439.5516042886702</v>
      </c>
      <c r="F226" s="11">
        <v>0</v>
      </c>
      <c r="G226" s="11">
        <f>(P226-Q226)*$X$48*('Prod Energie'!H45+'Prod Energie'!D44)</f>
        <v>1860.37806233625</v>
      </c>
      <c r="H226" s="11"/>
      <c r="I226" s="11"/>
      <c r="J226" s="11"/>
      <c r="K226" s="11"/>
      <c r="L226" s="11"/>
      <c r="M226" s="11"/>
      <c r="N226" s="11"/>
      <c r="O226" s="11">
        <f>(P226-Q226)*$X$48*('Prod Energie'!H43)</f>
        <v>11.809857505086928</v>
      </c>
      <c r="P226" s="11">
        <f>P231/(1+$P$48+$Q$48)</f>
        <v>-5628.392882166454</v>
      </c>
      <c r="Q226" s="11">
        <f>Q231/(1+$D$48)</f>
        <v>0</v>
      </c>
      <c r="R226" s="11">
        <v>0</v>
      </c>
      <c r="S226" s="11">
        <f t="shared" si="54"/>
        <v>6175.3260107566221</v>
      </c>
      <c r="U226" s="22" t="s">
        <v>35</v>
      </c>
      <c r="V226" s="11">
        <f>(AB226-AC226)*$X$48*('Prod Energie'!H59)</f>
        <v>0</v>
      </c>
      <c r="W226" s="11">
        <v>0</v>
      </c>
      <c r="X226" s="11">
        <f>(AB226-AC226)*$X$48*('Prod Energie'!H60)</f>
        <v>0</v>
      </c>
      <c r="Y226" s="11">
        <v>0</v>
      </c>
      <c r="Z226" s="11">
        <f>(AB226-AC226)*$X$48*('Prod Energie'!H67+'Prod Energie'!D66)</f>
        <v>4250.1279365631881</v>
      </c>
      <c r="AA226" s="11">
        <f>(AB226-AC226)*$X$48*('Prod Energie'!H65)</f>
        <v>1530.973297740964</v>
      </c>
      <c r="AB226" s="11">
        <f>AB231/(1+$P$48+$Q$48)</f>
        <v>-6581.6925254049138</v>
      </c>
      <c r="AC226" s="11">
        <f>AC231/(1+$D$48)</f>
        <v>0</v>
      </c>
      <c r="AD226" s="11">
        <v>0</v>
      </c>
      <c r="AE226" s="11">
        <f t="shared" si="55"/>
        <v>-800.59129110076174</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67.210308051227017</v>
      </c>
      <c r="Q229" s="11">
        <v>0</v>
      </c>
      <c r="R229" s="11">
        <v>0</v>
      </c>
      <c r="S229" s="11">
        <f t="shared" si="54"/>
        <v>67.210308051227017</v>
      </c>
      <c r="U229" s="22" t="s">
        <v>38</v>
      </c>
      <c r="V229" s="11">
        <v>0</v>
      </c>
      <c r="W229" s="11">
        <v>0</v>
      </c>
      <c r="X229" s="11">
        <v>0</v>
      </c>
      <c r="Y229" s="11">
        <v>0</v>
      </c>
      <c r="Z229" s="11">
        <v>0</v>
      </c>
      <c r="AA229" s="11">
        <v>0</v>
      </c>
      <c r="AB229" s="11">
        <f>AB226*$P$48</f>
        <v>78.593941715144169</v>
      </c>
      <c r="AC229" s="11">
        <v>0</v>
      </c>
      <c r="AD229" s="11">
        <v>0</v>
      </c>
      <c r="AE229" s="11">
        <f t="shared" si="55"/>
        <v>78.593941715144169</v>
      </c>
    </row>
    <row r="230" spans="2:32">
      <c r="B230" s="22" t="s">
        <v>39</v>
      </c>
      <c r="C230" s="11">
        <v>0</v>
      </c>
      <c r="D230" s="11">
        <v>0</v>
      </c>
      <c r="E230" s="11">
        <v>0</v>
      </c>
      <c r="F230" s="11">
        <v>0</v>
      </c>
      <c r="G230" s="11">
        <v>0</v>
      </c>
      <c r="H230" s="11"/>
      <c r="I230" s="11"/>
      <c r="J230" s="11"/>
      <c r="K230" s="11"/>
      <c r="L230" s="11"/>
      <c r="M230" s="11"/>
      <c r="N230" s="11"/>
      <c r="O230" s="11">
        <v>0</v>
      </c>
      <c r="P230" s="11">
        <f>P226*$Q$48</f>
        <v>359.95651252640016</v>
      </c>
      <c r="Q230" s="11">
        <f>Q226*$D$48</f>
        <v>0</v>
      </c>
      <c r="R230" s="11">
        <v>0</v>
      </c>
      <c r="S230" s="11">
        <f t="shared" si="54"/>
        <v>359.95651252640016</v>
      </c>
      <c r="U230" s="22" t="s">
        <v>39</v>
      </c>
      <c r="V230" s="11">
        <v>0</v>
      </c>
      <c r="W230" s="11">
        <v>0</v>
      </c>
      <c r="X230" s="11">
        <v>0</v>
      </c>
      <c r="Y230" s="11">
        <v>0</v>
      </c>
      <c r="Z230" s="11">
        <v>0</v>
      </c>
      <c r="AA230" s="11">
        <v>0</v>
      </c>
      <c r="AB230" s="11">
        <f>AB226*$Q$48</f>
        <v>420.92354559547323</v>
      </c>
      <c r="AC230" s="11">
        <f>AC226*$D$48</f>
        <v>0</v>
      </c>
      <c r="AD230" s="11">
        <v>0</v>
      </c>
      <c r="AE230" s="11">
        <f t="shared" si="55"/>
        <v>420.92354559547323</v>
      </c>
    </row>
    <row r="231" spans="2:32">
      <c r="B231" s="24" t="s">
        <v>40</v>
      </c>
      <c r="C231" s="15">
        <f t="shared" ref="C231:O231" si="56">SUM(C225:C230)</f>
        <v>5491.9793687930687</v>
      </c>
      <c r="D231" s="15">
        <f t="shared" si="56"/>
        <v>0</v>
      </c>
      <c r="E231" s="15">
        <f t="shared" si="56"/>
        <v>4439.5516042886702</v>
      </c>
      <c r="F231" s="15">
        <f t="shared" si="56"/>
        <v>0</v>
      </c>
      <c r="G231" s="15">
        <f t="shared" si="56"/>
        <v>1860.37806233625</v>
      </c>
      <c r="H231" s="15"/>
      <c r="I231" s="15"/>
      <c r="J231" s="15"/>
      <c r="K231" s="15"/>
      <c r="L231" s="15"/>
      <c r="M231" s="15"/>
      <c r="N231" s="15"/>
      <c r="O231" s="15">
        <f t="shared" si="56"/>
        <v>11.809857505086928</v>
      </c>
      <c r="P231" s="15">
        <f>-P239</f>
        <v>-5201.2260615888272</v>
      </c>
      <c r="Q231" s="15">
        <f>-Q239</f>
        <v>0</v>
      </c>
      <c r="R231" s="15">
        <v>0</v>
      </c>
      <c r="S231" s="15">
        <f t="shared" si="54"/>
        <v>6602.4928313342489</v>
      </c>
      <c r="U231" s="24" t="s">
        <v>40</v>
      </c>
      <c r="V231" s="15">
        <f t="shared" ref="V231:AA231" si="57">SUM(V225:V230)</f>
        <v>0</v>
      </c>
      <c r="W231" s="15">
        <f t="shared" si="57"/>
        <v>0</v>
      </c>
      <c r="X231" s="15">
        <f t="shared" si="57"/>
        <v>0</v>
      </c>
      <c r="Y231" s="15">
        <f t="shared" si="57"/>
        <v>0</v>
      </c>
      <c r="Z231" s="15">
        <f t="shared" si="57"/>
        <v>4250.1279365631881</v>
      </c>
      <c r="AA231" s="15">
        <f t="shared" si="57"/>
        <v>1530.973297740964</v>
      </c>
      <c r="AB231" s="15">
        <f>-AB239</f>
        <v>-6082.1750380942967</v>
      </c>
      <c r="AC231" s="15">
        <f>-AC239</f>
        <v>0</v>
      </c>
      <c r="AD231" s="15">
        <v>0</v>
      </c>
      <c r="AE231" s="15">
        <f t="shared" si="55"/>
        <v>-301.07380379014467</v>
      </c>
    </row>
    <row r="232" spans="2:32">
      <c r="B232" s="22" t="s">
        <v>41</v>
      </c>
      <c r="C232" s="11">
        <v>0</v>
      </c>
      <c r="D232" s="11">
        <v>0</v>
      </c>
      <c r="E232" s="11">
        <f>Industrie!H42</f>
        <v>4240.7214895303969</v>
      </c>
      <c r="F232" s="11">
        <v>0</v>
      </c>
      <c r="G232" s="11">
        <v>0</v>
      </c>
      <c r="H232" s="11"/>
      <c r="I232" s="11"/>
      <c r="J232" s="11"/>
      <c r="K232" s="11"/>
      <c r="L232" s="11"/>
      <c r="M232" s="11"/>
      <c r="N232" s="11"/>
      <c r="O232" s="11">
        <f>Industrie!H51</f>
        <v>0</v>
      </c>
      <c r="P232" s="11">
        <f>Industrie!H46</f>
        <v>4133.0664131130161</v>
      </c>
      <c r="Q232" s="11">
        <f>Industrie!H52</f>
        <v>0</v>
      </c>
      <c r="R232" s="11">
        <v>0</v>
      </c>
      <c r="S232" s="11">
        <f t="shared" si="54"/>
        <v>8373.787902643413</v>
      </c>
      <c r="U232" s="22" t="s">
        <v>41</v>
      </c>
      <c r="V232" s="11">
        <v>0</v>
      </c>
      <c r="W232" s="11">
        <v>0</v>
      </c>
      <c r="X232" s="11" t="e">
        <f>Industrie!#REF!</f>
        <v>#REF!</v>
      </c>
      <c r="Y232" s="11">
        <v>0</v>
      </c>
      <c r="Z232" s="11">
        <v>0</v>
      </c>
      <c r="AA232" s="11">
        <f>Industrie!H85</f>
        <v>520.72953841039646</v>
      </c>
      <c r="AB232" s="11">
        <f>Industrie!H76</f>
        <v>5221.6910046202784</v>
      </c>
      <c r="AC232" s="11">
        <f>Industrie!H86</f>
        <v>0</v>
      </c>
      <c r="AD232" s="11">
        <v>0</v>
      </c>
      <c r="AE232" s="11" t="e">
        <f t="shared" si="55"/>
        <v>#REF!</v>
      </c>
    </row>
    <row r="233" spans="2:32">
      <c r="B233" s="22" t="s">
        <v>42</v>
      </c>
      <c r="C233" s="11">
        <v>0</v>
      </c>
      <c r="D233" s="11">
        <v>0</v>
      </c>
      <c r="E233" s="11">
        <f>Transports!J49</f>
        <v>1985.4751191801984</v>
      </c>
      <c r="F233" s="11">
        <v>0</v>
      </c>
      <c r="G233" s="11">
        <v>0</v>
      </c>
      <c r="H233" s="11"/>
      <c r="I233" s="11"/>
      <c r="J233" s="11"/>
      <c r="K233" s="11"/>
      <c r="L233" s="11"/>
      <c r="M233" s="11"/>
      <c r="N233" s="11"/>
      <c r="O233" s="11">
        <v>0</v>
      </c>
      <c r="P233" s="11">
        <f>Transports!J50</f>
        <v>101.32495935406513</v>
      </c>
      <c r="Q233" s="11">
        <v>0</v>
      </c>
      <c r="R233" s="11">
        <v>0</v>
      </c>
      <c r="S233" s="11">
        <f>Transports!J51</f>
        <v>2086.8000785342633</v>
      </c>
      <c r="U233" s="22" t="s">
        <v>42</v>
      </c>
      <c r="V233" s="11">
        <v>0</v>
      </c>
      <c r="W233" s="11">
        <v>0</v>
      </c>
      <c r="X233" s="11">
        <f>Transports!J76</f>
        <v>835.55380570932493</v>
      </c>
      <c r="Y233" s="11">
        <v>0</v>
      </c>
      <c r="Z233" s="11">
        <v>0</v>
      </c>
      <c r="AA233" s="11">
        <v>0</v>
      </c>
      <c r="AB233" s="11">
        <f>Transports!J77</f>
        <v>544.13191993354803</v>
      </c>
      <c r="AC233" s="11">
        <v>0</v>
      </c>
      <c r="AD233" s="11">
        <v>0</v>
      </c>
      <c r="AE233" s="11">
        <f>Transports!J78</f>
        <v>1379.685725642873</v>
      </c>
    </row>
    <row r="234" spans="2:32">
      <c r="B234" s="22" t="s">
        <v>43</v>
      </c>
      <c r="C234" s="11">
        <v>0</v>
      </c>
      <c r="D234" s="11">
        <v>0</v>
      </c>
      <c r="E234" s="11">
        <f>'Résidentiel-tertiaire'!H167</f>
        <v>206.10718230498406</v>
      </c>
      <c r="F234" s="11">
        <v>0</v>
      </c>
      <c r="G234" s="11">
        <v>0</v>
      </c>
      <c r="H234" s="11"/>
      <c r="I234" s="11"/>
      <c r="J234" s="11"/>
      <c r="K234" s="11"/>
      <c r="L234" s="11"/>
      <c r="M234" s="11"/>
      <c r="N234" s="11"/>
      <c r="O234" s="11">
        <f>'Résidentiel-tertiaire'!H168</f>
        <v>56.061153586955676</v>
      </c>
      <c r="P234" s="11">
        <f>'Résidentiel-tertiaire'!H169</f>
        <v>419.23228758441132</v>
      </c>
      <c r="Q234" s="11">
        <v>0</v>
      </c>
      <c r="R234" s="11">
        <v>0</v>
      </c>
      <c r="S234" s="11">
        <f>SUM(C234:R234)</f>
        <v>681.40062347635103</v>
      </c>
      <c r="U234" s="22" t="s">
        <v>43</v>
      </c>
      <c r="V234" s="11">
        <v>0</v>
      </c>
      <c r="W234" s="11">
        <v>0</v>
      </c>
      <c r="X234" s="11">
        <f>'Résidentiel-tertiaire'!H181</f>
        <v>27.136666666666656</v>
      </c>
      <c r="Y234" s="11">
        <v>0</v>
      </c>
      <c r="Z234" s="11">
        <v>0</v>
      </c>
      <c r="AA234" s="11">
        <f>'Résidentiel-tertiaire'!H182</f>
        <v>47.46269565520727</v>
      </c>
      <c r="AB234" s="11">
        <f>'Résidentiel-tertiaire'!H183</f>
        <v>168.55255738263867</v>
      </c>
      <c r="AC234" s="11">
        <v>0</v>
      </c>
      <c r="AD234" s="11">
        <v>0</v>
      </c>
      <c r="AE234" s="11">
        <f>SUM(V234:AD234)</f>
        <v>243.15191970451258</v>
      </c>
    </row>
    <row r="235" spans="2:32">
      <c r="B235" s="22" t="s">
        <v>44</v>
      </c>
      <c r="C235" s="11">
        <v>0</v>
      </c>
      <c r="D235" s="11">
        <v>0</v>
      </c>
      <c r="E235" s="11">
        <f>'Résidentiel-tertiaire'!H172</f>
        <v>0</v>
      </c>
      <c r="F235" s="11">
        <v>0</v>
      </c>
      <c r="G235" s="11">
        <v>0</v>
      </c>
      <c r="H235" s="11"/>
      <c r="I235" s="11"/>
      <c r="J235" s="11"/>
      <c r="K235" s="11"/>
      <c r="L235" s="11"/>
      <c r="M235" s="11"/>
      <c r="N235" s="11"/>
      <c r="O235" s="11">
        <f>'Résidentiel-tertiaire'!H173</f>
        <v>0</v>
      </c>
      <c r="P235" s="11">
        <f>'Résidentiel-tertiaire'!H174</f>
        <v>547.60240153733514</v>
      </c>
      <c r="Q235" s="11">
        <v>0</v>
      </c>
      <c r="R235" s="11">
        <v>0</v>
      </c>
      <c r="S235" s="11">
        <f>SUM(C235:R235)</f>
        <v>547.60240153733514</v>
      </c>
      <c r="U235" s="22" t="s">
        <v>44</v>
      </c>
      <c r="V235" s="11">
        <v>0</v>
      </c>
      <c r="W235" s="11">
        <v>0</v>
      </c>
      <c r="X235" s="11">
        <f>'Résidentiel-tertiaire'!H186</f>
        <v>0</v>
      </c>
      <c r="Y235" s="11">
        <v>0</v>
      </c>
      <c r="Z235" s="11">
        <v>0</v>
      </c>
      <c r="AA235" s="11">
        <f>'Résidentiel-tertiaire'!H187</f>
        <v>0</v>
      </c>
      <c r="AB235" s="11">
        <f>'Résidentiel-tertiaire'!H188</f>
        <v>147.79955615783183</v>
      </c>
      <c r="AC235" s="11">
        <v>0</v>
      </c>
      <c r="AD235" s="11">
        <v>0</v>
      </c>
      <c r="AE235" s="11">
        <f>SUM(V235:AD235)</f>
        <v>147.79955615783183</v>
      </c>
    </row>
    <row r="236" spans="2:32">
      <c r="B236" s="22" t="s">
        <v>4</v>
      </c>
      <c r="C236" s="11">
        <v>0</v>
      </c>
      <c r="D236" s="11">
        <v>0</v>
      </c>
      <c r="E236" s="11">
        <f>Agriculture!V27</f>
        <v>64.772976399583769</v>
      </c>
      <c r="F236" s="11">
        <v>0</v>
      </c>
      <c r="G236" s="11">
        <v>0</v>
      </c>
      <c r="H236" s="11"/>
      <c r="I236" s="11"/>
      <c r="J236" s="11"/>
      <c r="K236" s="11"/>
      <c r="L236" s="11"/>
      <c r="M236" s="11"/>
      <c r="N236" s="11"/>
      <c r="O236" s="11">
        <v>0</v>
      </c>
      <c r="P236" s="11">
        <f>Agriculture!V28</f>
        <v>0</v>
      </c>
      <c r="Q236" s="11">
        <v>0</v>
      </c>
      <c r="R236" s="11">
        <v>0</v>
      </c>
      <c r="S236" s="11">
        <f>SUM(C236:R236)</f>
        <v>64.772976399583769</v>
      </c>
      <c r="U236" s="22" t="s">
        <v>4</v>
      </c>
      <c r="V236" s="11">
        <v>0</v>
      </c>
      <c r="W236" s="11">
        <v>0</v>
      </c>
      <c r="X236" s="11">
        <f>Agriculture!AC43</f>
        <v>10.129354838709681</v>
      </c>
      <c r="Y236" s="11">
        <v>0</v>
      </c>
      <c r="Z236" s="11">
        <v>0</v>
      </c>
      <c r="AA236" s="11">
        <f>Agriculture!AC45</f>
        <v>32.709712645161289</v>
      </c>
      <c r="AB236" s="11">
        <f>Agriculture!AC44</f>
        <v>0</v>
      </c>
      <c r="AC236" s="11">
        <v>0</v>
      </c>
      <c r="AD236" s="11">
        <v>0</v>
      </c>
      <c r="AE236" s="11">
        <f>SUM(V236:AD236)</f>
        <v>42.83906748387097</v>
      </c>
    </row>
    <row r="237" spans="2:32">
      <c r="B237" s="26" t="s">
        <v>45</v>
      </c>
      <c r="C237" s="19">
        <v>0</v>
      </c>
      <c r="D237" s="19">
        <v>0</v>
      </c>
      <c r="E237" s="19">
        <f t="shared" ref="E237:S237" si="58">SUM(E232:E236)</f>
        <v>6497.0767674151639</v>
      </c>
      <c r="F237" s="19">
        <f t="shared" si="58"/>
        <v>0</v>
      </c>
      <c r="G237" s="19">
        <f t="shared" si="58"/>
        <v>0</v>
      </c>
      <c r="H237" s="19"/>
      <c r="I237" s="19"/>
      <c r="J237" s="19"/>
      <c r="K237" s="19"/>
      <c r="L237" s="19"/>
      <c r="M237" s="19"/>
      <c r="N237" s="19"/>
      <c r="O237" s="19">
        <f t="shared" si="58"/>
        <v>56.061153586955676</v>
      </c>
      <c r="P237" s="19">
        <f t="shared" si="58"/>
        <v>5201.2260615888272</v>
      </c>
      <c r="Q237" s="19">
        <f t="shared" si="58"/>
        <v>0</v>
      </c>
      <c r="R237" s="19">
        <f t="shared" si="58"/>
        <v>0</v>
      </c>
      <c r="S237" s="19">
        <f t="shared" si="58"/>
        <v>11754.363982590945</v>
      </c>
      <c r="U237" s="26" t="s">
        <v>45</v>
      </c>
      <c r="V237" s="19">
        <v>0</v>
      </c>
      <c r="W237" s="19">
        <v>0</v>
      </c>
      <c r="X237" s="19" t="e">
        <f t="shared" ref="X237:AE237" si="59">SUM(X232:X236)</f>
        <v>#REF!</v>
      </c>
      <c r="Y237" s="19">
        <f t="shared" si="59"/>
        <v>0</v>
      </c>
      <c r="Z237" s="19">
        <f t="shared" si="59"/>
        <v>0</v>
      </c>
      <c r="AA237" s="19">
        <f t="shared" si="59"/>
        <v>600.90194671076506</v>
      </c>
      <c r="AB237" s="19">
        <f t="shared" si="59"/>
        <v>6082.1750380942967</v>
      </c>
      <c r="AC237" s="19">
        <f t="shared" si="59"/>
        <v>0</v>
      </c>
      <c r="AD237" s="19">
        <f t="shared" si="59"/>
        <v>0</v>
      </c>
      <c r="AE237" s="19" t="e">
        <f t="shared" si="59"/>
        <v>#REF!</v>
      </c>
    </row>
    <row r="238" spans="2:32">
      <c r="B238" s="26" t="s">
        <v>46</v>
      </c>
      <c r="C238" s="19">
        <v>0</v>
      </c>
      <c r="D238" s="19">
        <v>0</v>
      </c>
      <c r="E238" s="19">
        <f>Industrie!H49</f>
        <v>285.83344989870204</v>
      </c>
      <c r="F238" s="19">
        <v>0</v>
      </c>
      <c r="G238" s="19">
        <v>0</v>
      </c>
      <c r="H238" s="19"/>
      <c r="I238" s="19"/>
      <c r="J238" s="19"/>
      <c r="K238" s="19"/>
      <c r="L238" s="19"/>
      <c r="M238" s="19"/>
      <c r="N238" s="19"/>
      <c r="O238" s="19">
        <v>0</v>
      </c>
      <c r="P238" s="19">
        <v>0</v>
      </c>
      <c r="Q238" s="19">
        <v>0</v>
      </c>
      <c r="R238" s="19">
        <v>0</v>
      </c>
      <c r="S238" s="19">
        <f>SUM(C238:R238)</f>
        <v>285.83344989870204</v>
      </c>
      <c r="U238" s="26" t="s">
        <v>46</v>
      </c>
      <c r="V238" s="19">
        <v>0</v>
      </c>
      <c r="W238" s="19">
        <v>0</v>
      </c>
      <c r="X238" s="19">
        <f>Industrie!H80</f>
        <v>157.7998153442789</v>
      </c>
      <c r="Y238" s="19">
        <v>0</v>
      </c>
      <c r="Z238" s="19">
        <v>0</v>
      </c>
      <c r="AA238" s="19">
        <f>Industrie!H84</f>
        <v>39.449953836069717</v>
      </c>
      <c r="AB238" s="19">
        <v>0</v>
      </c>
      <c r="AC238" s="19">
        <v>0</v>
      </c>
      <c r="AD238" s="19">
        <v>0</v>
      </c>
      <c r="AE238" s="19">
        <f>SUM(V238:AD238)</f>
        <v>197.24976918034861</v>
      </c>
    </row>
    <row r="239" spans="2:32">
      <c r="B239" s="24" t="s">
        <v>47</v>
      </c>
      <c r="C239" s="15">
        <v>0</v>
      </c>
      <c r="D239" s="15">
        <v>0</v>
      </c>
      <c r="E239" s="15">
        <f t="shared" ref="E239:S239" si="60">SUM(E237:E238)</f>
        <v>6782.9102173138663</v>
      </c>
      <c r="F239" s="15">
        <f t="shared" si="60"/>
        <v>0</v>
      </c>
      <c r="G239" s="15">
        <f t="shared" si="60"/>
        <v>0</v>
      </c>
      <c r="H239" s="15"/>
      <c r="I239" s="15"/>
      <c r="J239" s="15"/>
      <c r="K239" s="15"/>
      <c r="L239" s="15"/>
      <c r="M239" s="15"/>
      <c r="N239" s="15"/>
      <c r="O239" s="15">
        <f t="shared" si="60"/>
        <v>56.061153586955676</v>
      </c>
      <c r="P239" s="15">
        <f t="shared" si="60"/>
        <v>5201.2260615888272</v>
      </c>
      <c r="Q239" s="15">
        <f t="shared" si="60"/>
        <v>0</v>
      </c>
      <c r="R239" s="15">
        <f t="shared" si="60"/>
        <v>0</v>
      </c>
      <c r="S239" s="15">
        <f t="shared" si="60"/>
        <v>12040.197432489647</v>
      </c>
      <c r="T239" s="27">
        <f>SUM(C239:R239)</f>
        <v>12040.197432489649</v>
      </c>
      <c r="U239" s="24" t="s">
        <v>47</v>
      </c>
      <c r="V239" s="15">
        <v>0</v>
      </c>
      <c r="W239" s="15">
        <v>0</v>
      </c>
      <c r="X239" s="15" t="e">
        <f t="shared" ref="X239:AE239" si="61">SUM(X237:X238)</f>
        <v>#REF!</v>
      </c>
      <c r="Y239" s="15">
        <f t="shared" si="61"/>
        <v>0</v>
      </c>
      <c r="Z239" s="15">
        <f t="shared" si="61"/>
        <v>0</v>
      </c>
      <c r="AA239" s="15">
        <f t="shared" si="61"/>
        <v>640.35190054683483</v>
      </c>
      <c r="AB239" s="15">
        <f t="shared" si="61"/>
        <v>6082.1750380942967</v>
      </c>
      <c r="AC239" s="15">
        <f t="shared" si="61"/>
        <v>0</v>
      </c>
      <c r="AD239" s="15">
        <f t="shared" si="61"/>
        <v>0</v>
      </c>
      <c r="AE239" s="15" t="e">
        <f t="shared" si="61"/>
        <v>#REF!</v>
      </c>
      <c r="AF239" s="27" t="e">
        <f>SUM(V239:AD239)</f>
        <v>#REF!</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32"/>
      <c r="I243" s="232"/>
      <c r="J243" s="232"/>
      <c r="K243" s="232"/>
      <c r="L243" s="232"/>
      <c r="M243" s="232"/>
      <c r="N243" s="232"/>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Energie'!I37)</f>
        <v>5600.6382676012208</v>
      </c>
      <c r="D255" s="11">
        <v>0</v>
      </c>
      <c r="E255" s="11">
        <f>(P255-Q255)*$X$48*('Prod Energie'!I38)</f>
        <v>4527.3882031049516</v>
      </c>
      <c r="F255" s="11">
        <v>0</v>
      </c>
      <c r="G255" s="11">
        <f>(P255-Q255)*$X$48*('Prod Energie'!I45+'Prod Energie'!D44)</f>
        <v>1865.4960960108695</v>
      </c>
      <c r="H255" s="11"/>
      <c r="I255" s="11"/>
      <c r="J255" s="11"/>
      <c r="K255" s="11"/>
      <c r="L255" s="11"/>
      <c r="M255" s="11"/>
      <c r="N255" s="11"/>
      <c r="O255" s="11">
        <f>(P255-Q255)*$X$48*('Prod Energie'!I43)</f>
        <v>11.805465637671327</v>
      </c>
      <c r="P255" s="11">
        <f>P260/(1+$P$48+$Q$48)</f>
        <v>-5716.7641433231738</v>
      </c>
      <c r="Q255" s="11">
        <f>Q260/(1+$D$48)</f>
        <v>0</v>
      </c>
      <c r="R255" s="11">
        <v>0</v>
      </c>
      <c r="S255" s="11">
        <f t="shared" si="66"/>
        <v>6288.5638890315395</v>
      </c>
      <c r="U255" s="22" t="s">
        <v>35</v>
      </c>
      <c r="V255" s="11">
        <f>(AB255-AC255)*$X$48*('Prod Energie'!I59)</f>
        <v>0</v>
      </c>
      <c r="W255" s="11">
        <v>0</v>
      </c>
      <c r="X255" s="11">
        <f>(AB255-AC255)*$X$48*('Prod Energie'!I60)</f>
        <v>0</v>
      </c>
      <c r="Y255" s="11">
        <v>0</v>
      </c>
      <c r="Z255" s="11">
        <f>(AB255-AC255)*$X$48*('Prod Energie'!I67+'Prod Energie'!D66)</f>
        <v>4605.1316167709801</v>
      </c>
      <c r="AA255" s="11">
        <f>(AB255-AC255)*$X$48*('Prod Energie'!I65)</f>
        <v>1658.8520729472928</v>
      </c>
      <c r="AB255" s="11">
        <f>AB260/(1+$P$48+$Q$48)</f>
        <v>-7131.4465806685448</v>
      </c>
      <c r="AC255" s="11">
        <f>AC260/(1+$D$48)</f>
        <v>0</v>
      </c>
      <c r="AD255" s="11">
        <v>0</v>
      </c>
      <c r="AE255" s="11">
        <f t="shared" si="67"/>
        <v>-867.46289095027169</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68.265575480058743</v>
      </c>
      <c r="Q258" s="11">
        <v>0</v>
      </c>
      <c r="R258" s="11">
        <v>0</v>
      </c>
      <c r="S258" s="11">
        <f t="shared" si="66"/>
        <v>68.265575480058743</v>
      </c>
      <c r="U258" s="22" t="s">
        <v>38</v>
      </c>
      <c r="V258" s="11">
        <v>0</v>
      </c>
      <c r="W258" s="11">
        <v>0</v>
      </c>
      <c r="X258" s="11">
        <v>0</v>
      </c>
      <c r="Y258" s="11">
        <v>0</v>
      </c>
      <c r="Z258" s="11">
        <v>0</v>
      </c>
      <c r="AA258" s="11">
        <v>0</v>
      </c>
      <c r="AB258" s="11">
        <f>AB255*$P$48</f>
        <v>85.158717874206047</v>
      </c>
      <c r="AC258" s="11">
        <v>0</v>
      </c>
      <c r="AD258" s="11">
        <v>0</v>
      </c>
      <c r="AE258" s="11">
        <f t="shared" si="67"/>
        <v>85.158717874206047</v>
      </c>
    </row>
    <row r="259" spans="2:32">
      <c r="B259" s="22" t="s">
        <v>39</v>
      </c>
      <c r="C259" s="11">
        <v>0</v>
      </c>
      <c r="D259" s="11">
        <v>0</v>
      </c>
      <c r="E259" s="11">
        <v>0</v>
      </c>
      <c r="F259" s="11">
        <v>0</v>
      </c>
      <c r="G259" s="11">
        <v>0</v>
      </c>
      <c r="H259" s="11"/>
      <c r="I259" s="11"/>
      <c r="J259" s="11"/>
      <c r="K259" s="11"/>
      <c r="L259" s="11"/>
      <c r="M259" s="11"/>
      <c r="N259" s="11"/>
      <c r="O259" s="11">
        <v>0</v>
      </c>
      <c r="P259" s="11">
        <f>P255*$Q$48</f>
        <v>365.60818106473585</v>
      </c>
      <c r="Q259" s="11">
        <f>Q255*$D$48</f>
        <v>0</v>
      </c>
      <c r="R259" s="11">
        <v>0</v>
      </c>
      <c r="S259" s="11">
        <f t="shared" si="66"/>
        <v>365.60818106473585</v>
      </c>
      <c r="U259" s="22" t="s">
        <v>39</v>
      </c>
      <c r="V259" s="11">
        <v>0</v>
      </c>
      <c r="W259" s="11">
        <v>0</v>
      </c>
      <c r="X259" s="11">
        <v>0</v>
      </c>
      <c r="Y259" s="11">
        <v>0</v>
      </c>
      <c r="Z259" s="11">
        <v>0</v>
      </c>
      <c r="AA259" s="11">
        <v>0</v>
      </c>
      <c r="AB259" s="11">
        <f>AB255*$Q$48</f>
        <v>456.08234787222057</v>
      </c>
      <c r="AC259" s="11">
        <f>AC255*$D$48</f>
        <v>0</v>
      </c>
      <c r="AD259" s="11">
        <v>0</v>
      </c>
      <c r="AE259" s="11">
        <f t="shared" si="67"/>
        <v>456.08234787222057</v>
      </c>
    </row>
    <row r="260" spans="2:32">
      <c r="B260" s="24" t="s">
        <v>40</v>
      </c>
      <c r="C260" s="15">
        <f t="shared" ref="C260:O260" si="68">SUM(C254:C259)</f>
        <v>5600.6382676012208</v>
      </c>
      <c r="D260" s="15">
        <f t="shared" si="68"/>
        <v>0</v>
      </c>
      <c r="E260" s="15">
        <f t="shared" si="68"/>
        <v>4527.3882031049516</v>
      </c>
      <c r="F260" s="15">
        <f t="shared" si="68"/>
        <v>0</v>
      </c>
      <c r="G260" s="15">
        <f t="shared" si="68"/>
        <v>1865.4960960108695</v>
      </c>
      <c r="H260" s="15"/>
      <c r="I260" s="15"/>
      <c r="J260" s="15"/>
      <c r="K260" s="15"/>
      <c r="L260" s="15"/>
      <c r="M260" s="15"/>
      <c r="N260" s="15"/>
      <c r="O260" s="15">
        <f t="shared" si="68"/>
        <v>11.805465637671327</v>
      </c>
      <c r="P260" s="15">
        <f>-P268</f>
        <v>-5282.8903867783793</v>
      </c>
      <c r="Q260" s="15">
        <f>-Q268</f>
        <v>0</v>
      </c>
      <c r="R260" s="15">
        <v>0</v>
      </c>
      <c r="S260" s="15">
        <f t="shared" si="66"/>
        <v>6722.437645576334</v>
      </c>
      <c r="U260" s="24" t="s">
        <v>40</v>
      </c>
      <c r="V260" s="15">
        <f t="shared" ref="V260:AA260" si="69">SUM(V254:V259)</f>
        <v>0</v>
      </c>
      <c r="W260" s="15">
        <f t="shared" si="69"/>
        <v>0</v>
      </c>
      <c r="X260" s="15">
        <f t="shared" si="69"/>
        <v>0</v>
      </c>
      <c r="Y260" s="15">
        <f t="shared" si="69"/>
        <v>0</v>
      </c>
      <c r="Z260" s="15">
        <f t="shared" si="69"/>
        <v>4605.1316167709801</v>
      </c>
      <c r="AA260" s="15">
        <f t="shared" si="69"/>
        <v>1658.8520729472928</v>
      </c>
      <c r="AB260" s="15">
        <f>-AB268</f>
        <v>-6590.2055149221187</v>
      </c>
      <c r="AC260" s="15">
        <f>-AC268</f>
        <v>0</v>
      </c>
      <c r="AD260" s="15">
        <v>0</v>
      </c>
      <c r="AE260" s="15">
        <f t="shared" si="67"/>
        <v>-326.22182520384558</v>
      </c>
    </row>
    <row r="261" spans="2:32">
      <c r="B261" s="22" t="s">
        <v>41</v>
      </c>
      <c r="C261" s="11">
        <v>0</v>
      </c>
      <c r="D261" s="11">
        <v>0</v>
      </c>
      <c r="E261" s="11">
        <f>Industrie!I42</f>
        <v>4264.1025316068972</v>
      </c>
      <c r="F261" s="11">
        <v>0</v>
      </c>
      <c r="G261" s="11">
        <v>0</v>
      </c>
      <c r="H261" s="11"/>
      <c r="I261" s="11"/>
      <c r="J261" s="11"/>
      <c r="K261" s="11"/>
      <c r="L261" s="11"/>
      <c r="M261" s="11"/>
      <c r="N261" s="11"/>
      <c r="O261" s="11">
        <f>Industrie!I51</f>
        <v>0</v>
      </c>
      <c r="P261" s="11">
        <f>Industrie!I46</f>
        <v>4153.4606898453849</v>
      </c>
      <c r="Q261" s="11">
        <f>Industrie!I52</f>
        <v>0</v>
      </c>
      <c r="R261" s="11">
        <v>0</v>
      </c>
      <c r="S261" s="11">
        <f t="shared" si="66"/>
        <v>8417.5632214522811</v>
      </c>
      <c r="U261" s="22" t="s">
        <v>41</v>
      </c>
      <c r="V261" s="11">
        <v>0</v>
      </c>
      <c r="W261" s="11">
        <v>0</v>
      </c>
      <c r="X261" s="11" t="e">
        <f>Industrie!#REF!</f>
        <v>#REF!</v>
      </c>
      <c r="Y261" s="11">
        <v>0</v>
      </c>
      <c r="Z261" s="11">
        <v>0</v>
      </c>
      <c r="AA261" s="11">
        <f>Industrie!I85</f>
        <v>380.40948575870596</v>
      </c>
      <c r="AB261" s="11">
        <f>Industrie!I76</f>
        <v>5499.1277005812517</v>
      </c>
      <c r="AC261" s="11">
        <f>Industrie!I86</f>
        <v>0</v>
      </c>
      <c r="AD261" s="11">
        <v>0</v>
      </c>
      <c r="AE261" s="11" t="e">
        <f t="shared" si="67"/>
        <v>#REF!</v>
      </c>
    </row>
    <row r="262" spans="2:32">
      <c r="B262" s="22" t="s">
        <v>42</v>
      </c>
      <c r="C262" s="11">
        <v>0</v>
      </c>
      <c r="D262" s="11">
        <v>0</v>
      </c>
      <c r="E262" s="11">
        <f>Transports!K49</f>
        <v>2044.9414828236859</v>
      </c>
      <c r="F262" s="11">
        <v>0</v>
      </c>
      <c r="G262" s="11">
        <v>0</v>
      </c>
      <c r="H262" s="11"/>
      <c r="I262" s="11"/>
      <c r="J262" s="11"/>
      <c r="K262" s="11"/>
      <c r="L262" s="11"/>
      <c r="M262" s="11"/>
      <c r="N262" s="11"/>
      <c r="O262" s="11">
        <v>0</v>
      </c>
      <c r="P262" s="11">
        <f>Transports!K50</f>
        <v>105.26141374937271</v>
      </c>
      <c r="Q262" s="11">
        <v>0</v>
      </c>
      <c r="R262" s="11">
        <v>0</v>
      </c>
      <c r="S262" s="11">
        <f>Transports!K51</f>
        <v>2150.2028965730588</v>
      </c>
      <c r="U262" s="22" t="s">
        <v>42</v>
      </c>
      <c r="V262" s="11">
        <v>0</v>
      </c>
      <c r="W262" s="11">
        <v>0</v>
      </c>
      <c r="X262" s="11">
        <f>Transports!K76</f>
        <v>236.86147833050251</v>
      </c>
      <c r="Y262" s="11">
        <v>0</v>
      </c>
      <c r="Z262" s="11">
        <v>0</v>
      </c>
      <c r="AA262" s="11">
        <v>0</v>
      </c>
      <c r="AB262" s="11">
        <f>Transports!K77</f>
        <v>807.64212004064143</v>
      </c>
      <c r="AC262" s="11">
        <v>0</v>
      </c>
      <c r="AD262" s="11">
        <v>0</v>
      </c>
      <c r="AE262" s="11">
        <f>Transports!K78</f>
        <v>1044.5035983711439</v>
      </c>
    </row>
    <row r="263" spans="2:32">
      <c r="B263" s="22" t="s">
        <v>43</v>
      </c>
      <c r="C263" s="11">
        <v>0</v>
      </c>
      <c r="D263" s="11">
        <v>0</v>
      </c>
      <c r="E263" s="11">
        <f>'Résidentiel-tertiaire'!I167</f>
        <v>217.78644813286567</v>
      </c>
      <c r="F263" s="11">
        <v>0</v>
      </c>
      <c r="G263" s="11">
        <v>0</v>
      </c>
      <c r="H263" s="11"/>
      <c r="I263" s="11"/>
      <c r="J263" s="11"/>
      <c r="K263" s="11"/>
      <c r="L263" s="11"/>
      <c r="M263" s="11"/>
      <c r="N263" s="11"/>
      <c r="O263" s="11">
        <f>'Résidentiel-tertiaire'!I168</f>
        <v>59.237913892139474</v>
      </c>
      <c r="P263" s="11">
        <f>'Résidentiel-tertiaire'!I169</f>
        <v>442.98849673525973</v>
      </c>
      <c r="Q263" s="11">
        <v>0</v>
      </c>
      <c r="R263" s="11">
        <v>0</v>
      </c>
      <c r="S263" s="11">
        <f>SUM(C263:R263)</f>
        <v>720.01285876026486</v>
      </c>
      <c r="U263" s="22" t="s">
        <v>43</v>
      </c>
      <c r="V263" s="11">
        <v>0</v>
      </c>
      <c r="W263" s="11">
        <v>0</v>
      </c>
      <c r="X263" s="11">
        <f>'Résidentiel-tertiaire'!I181</f>
        <v>0</v>
      </c>
      <c r="Y263" s="11">
        <v>0</v>
      </c>
      <c r="Z263" s="11">
        <v>0</v>
      </c>
      <c r="AA263" s="11">
        <f>'Résidentiel-tertiaire'!I182</f>
        <v>37.646656358131743</v>
      </c>
      <c r="AB263" s="11">
        <f>'Résidentiel-tertiaire'!I183</f>
        <v>155.2175844434025</v>
      </c>
      <c r="AC263" s="11">
        <v>0</v>
      </c>
      <c r="AD263" s="11">
        <v>0</v>
      </c>
      <c r="AE263" s="11">
        <f>SUM(V263:AD263)</f>
        <v>192.86424080153424</v>
      </c>
    </row>
    <row r="264" spans="2:32">
      <c r="B264" s="22" t="s">
        <v>44</v>
      </c>
      <c r="C264" s="11">
        <v>0</v>
      </c>
      <c r="D264" s="11">
        <v>0</v>
      </c>
      <c r="E264" s="11">
        <f>'Résidentiel-tertiaire'!I172</f>
        <v>0</v>
      </c>
      <c r="F264" s="11">
        <v>0</v>
      </c>
      <c r="G264" s="11">
        <v>0</v>
      </c>
      <c r="H264" s="11"/>
      <c r="I264" s="11"/>
      <c r="J264" s="11"/>
      <c r="K264" s="11"/>
      <c r="L264" s="11"/>
      <c r="M264" s="11"/>
      <c r="N264" s="11"/>
      <c r="O264" s="11">
        <f>'Résidentiel-tertiaire'!I173</f>
        <v>0</v>
      </c>
      <c r="P264" s="11">
        <f>'Résidentiel-tertiaire'!I174</f>
        <v>581.17978644836114</v>
      </c>
      <c r="Q264" s="11">
        <v>0</v>
      </c>
      <c r="R264" s="11">
        <v>0</v>
      </c>
      <c r="S264" s="11">
        <f>SUM(C264:R264)</f>
        <v>581.17978644836114</v>
      </c>
      <c r="U264" s="22" t="s">
        <v>44</v>
      </c>
      <c r="V264" s="11">
        <v>0</v>
      </c>
      <c r="W264" s="11">
        <v>0</v>
      </c>
      <c r="X264" s="11">
        <f>'Résidentiel-tertiaire'!I186</f>
        <v>0</v>
      </c>
      <c r="Y264" s="11">
        <v>0</v>
      </c>
      <c r="Z264" s="11">
        <v>0</v>
      </c>
      <c r="AA264" s="11">
        <f>'Résidentiel-tertiaire'!I187</f>
        <v>0</v>
      </c>
      <c r="AB264" s="11">
        <f>'Résidentiel-tertiaire'!I188</f>
        <v>128.21810985682313</v>
      </c>
      <c r="AC264" s="11">
        <v>0</v>
      </c>
      <c r="AD264" s="11">
        <v>0</v>
      </c>
      <c r="AE264" s="11">
        <f>SUM(V264:AD264)</f>
        <v>128.21810985682313</v>
      </c>
    </row>
    <row r="265" spans="2:32">
      <c r="B265" s="22" t="s">
        <v>4</v>
      </c>
      <c r="C265" s="11">
        <v>0</v>
      </c>
      <c r="D265" s="11">
        <v>0</v>
      </c>
      <c r="E265" s="11">
        <f>Agriculture!Y27</f>
        <v>65.000070000000008</v>
      </c>
      <c r="F265" s="11">
        <v>0</v>
      </c>
      <c r="G265" s="11">
        <v>0</v>
      </c>
      <c r="H265" s="11"/>
      <c r="I265" s="11"/>
      <c r="J265" s="11"/>
      <c r="K265" s="11"/>
      <c r="L265" s="11"/>
      <c r="M265" s="11"/>
      <c r="N265" s="11"/>
      <c r="O265" s="11">
        <v>0</v>
      </c>
      <c r="P265" s="11">
        <f>Agriculture!Y28</f>
        <v>0</v>
      </c>
      <c r="Q265" s="11">
        <v>0</v>
      </c>
      <c r="R265" s="11">
        <v>0</v>
      </c>
      <c r="S265" s="11">
        <f>SUM(C265:R265)</f>
        <v>65.000070000000008</v>
      </c>
      <c r="U265" s="22" t="s">
        <v>4</v>
      </c>
      <c r="V265" s="11">
        <v>0</v>
      </c>
      <c r="W265" s="11">
        <v>0</v>
      </c>
      <c r="X265" s="11">
        <f>Agriculture!AG43</f>
        <v>0</v>
      </c>
      <c r="Y265" s="11">
        <v>0</v>
      </c>
      <c r="Z265" s="11">
        <v>0</v>
      </c>
      <c r="AA265" s="11">
        <f>Agriculture!AG45</f>
        <v>39.000042000000001</v>
      </c>
      <c r="AB265" s="11">
        <f>Agriculture!AG44</f>
        <v>0</v>
      </c>
      <c r="AC265" s="11">
        <v>0</v>
      </c>
      <c r="AD265" s="11">
        <v>0</v>
      </c>
      <c r="AE265" s="11">
        <f>SUM(V265:AD265)</f>
        <v>39.000042000000001</v>
      </c>
    </row>
    <row r="266" spans="2:32">
      <c r="B266" s="26" t="s">
        <v>45</v>
      </c>
      <c r="C266" s="19">
        <v>0</v>
      </c>
      <c r="D266" s="19">
        <v>0</v>
      </c>
      <c r="E266" s="19">
        <f t="shared" ref="E266:S266" si="70">SUM(E261:E265)</f>
        <v>6591.8305325634492</v>
      </c>
      <c r="F266" s="19">
        <f t="shared" si="70"/>
        <v>0</v>
      </c>
      <c r="G266" s="19">
        <f t="shared" si="70"/>
        <v>0</v>
      </c>
      <c r="H266" s="19"/>
      <c r="I266" s="19"/>
      <c r="J266" s="19"/>
      <c r="K266" s="19"/>
      <c r="L266" s="19"/>
      <c r="M266" s="19"/>
      <c r="N266" s="19"/>
      <c r="O266" s="19">
        <f t="shared" si="70"/>
        <v>59.237913892139474</v>
      </c>
      <c r="P266" s="19">
        <f t="shared" si="70"/>
        <v>5282.8903867783793</v>
      </c>
      <c r="Q266" s="19">
        <f t="shared" si="70"/>
        <v>0</v>
      </c>
      <c r="R266" s="19">
        <f t="shared" si="70"/>
        <v>0</v>
      </c>
      <c r="S266" s="19">
        <f t="shared" si="70"/>
        <v>11933.958833233966</v>
      </c>
      <c r="U266" s="26" t="s">
        <v>45</v>
      </c>
      <c r="V266" s="19">
        <v>0</v>
      </c>
      <c r="W266" s="19">
        <v>0</v>
      </c>
      <c r="X266" s="19" t="e">
        <f t="shared" ref="X266:AE266" si="71">SUM(X261:X265)</f>
        <v>#REF!</v>
      </c>
      <c r="Y266" s="19">
        <f t="shared" si="71"/>
        <v>0</v>
      </c>
      <c r="Z266" s="19">
        <f t="shared" si="71"/>
        <v>0</v>
      </c>
      <c r="AA266" s="19">
        <f t="shared" si="71"/>
        <v>457.0561841168377</v>
      </c>
      <c r="AB266" s="19">
        <f t="shared" si="71"/>
        <v>6590.2055149221187</v>
      </c>
      <c r="AC266" s="19">
        <f t="shared" si="71"/>
        <v>0</v>
      </c>
      <c r="AD266" s="19">
        <f t="shared" si="71"/>
        <v>0</v>
      </c>
      <c r="AE266" s="19" t="e">
        <f t="shared" si="71"/>
        <v>#REF!</v>
      </c>
    </row>
    <row r="267" spans="2:32">
      <c r="B267" s="26" t="s">
        <v>46</v>
      </c>
      <c r="C267" s="19">
        <v>0</v>
      </c>
      <c r="D267" s="19">
        <v>0</v>
      </c>
      <c r="E267" s="19">
        <f>Industrie!I49</f>
        <v>286.0471792056976</v>
      </c>
      <c r="F267" s="19">
        <v>0</v>
      </c>
      <c r="G267" s="19">
        <v>0</v>
      </c>
      <c r="H267" s="19"/>
      <c r="I267" s="19"/>
      <c r="J267" s="19"/>
      <c r="K267" s="19"/>
      <c r="L267" s="19"/>
      <c r="M267" s="19"/>
      <c r="N267" s="19"/>
      <c r="O267" s="19">
        <v>0</v>
      </c>
      <c r="P267" s="19">
        <v>0</v>
      </c>
      <c r="Q267" s="19">
        <v>0</v>
      </c>
      <c r="R267" s="19">
        <v>0</v>
      </c>
      <c r="S267" s="19">
        <f>SUM(C267:R267)</f>
        <v>286.0471792056976</v>
      </c>
      <c r="U267" s="26" t="s">
        <v>46</v>
      </c>
      <c r="V267" s="19">
        <v>0</v>
      </c>
      <c r="W267" s="19">
        <v>0</v>
      </c>
      <c r="X267" s="19">
        <f>Industrie!I80</f>
        <v>143.68817825872793</v>
      </c>
      <c r="Y267" s="19">
        <v>0</v>
      </c>
      <c r="Z267" s="19">
        <v>0</v>
      </c>
      <c r="AA267" s="19">
        <f>Industrie!I84</f>
        <v>43.106453477618381</v>
      </c>
      <c r="AB267" s="19">
        <v>0</v>
      </c>
      <c r="AC267" s="19">
        <v>0</v>
      </c>
      <c r="AD267" s="19">
        <v>0</v>
      </c>
      <c r="AE267" s="19">
        <f>SUM(V267:AD267)</f>
        <v>186.7946317363463</v>
      </c>
    </row>
    <row r="268" spans="2:32">
      <c r="B268" s="24" t="s">
        <v>47</v>
      </c>
      <c r="C268" s="15">
        <v>0</v>
      </c>
      <c r="D268" s="15">
        <v>0</v>
      </c>
      <c r="E268" s="15">
        <f t="shared" ref="E268:S268" si="72">SUM(E266:E267)</f>
        <v>6877.877711769147</v>
      </c>
      <c r="F268" s="15">
        <f t="shared" si="72"/>
        <v>0</v>
      </c>
      <c r="G268" s="15">
        <f t="shared" si="72"/>
        <v>0</v>
      </c>
      <c r="H268" s="15"/>
      <c r="I268" s="15"/>
      <c r="J268" s="15"/>
      <c r="K268" s="15"/>
      <c r="L268" s="15"/>
      <c r="M268" s="15"/>
      <c r="N268" s="15"/>
      <c r="O268" s="15">
        <f t="shared" si="72"/>
        <v>59.237913892139474</v>
      </c>
      <c r="P268" s="15">
        <f t="shared" si="72"/>
        <v>5282.8903867783793</v>
      </c>
      <c r="Q268" s="15">
        <f t="shared" si="72"/>
        <v>0</v>
      </c>
      <c r="R268" s="15">
        <f t="shared" si="72"/>
        <v>0</v>
      </c>
      <c r="S268" s="15">
        <f t="shared" si="72"/>
        <v>12220.006012439664</v>
      </c>
      <c r="T268" s="27">
        <f>SUM(C268:R268)</f>
        <v>12220.006012439666</v>
      </c>
      <c r="U268" s="24" t="s">
        <v>47</v>
      </c>
      <c r="V268" s="15">
        <v>0</v>
      </c>
      <c r="W268" s="15">
        <v>0</v>
      </c>
      <c r="X268" s="15" t="e">
        <f t="shared" ref="X268:AE268" si="73">SUM(X266:X267)</f>
        <v>#REF!</v>
      </c>
      <c r="Y268" s="15">
        <f t="shared" si="73"/>
        <v>0</v>
      </c>
      <c r="Z268" s="15">
        <f t="shared" si="73"/>
        <v>0</v>
      </c>
      <c r="AA268" s="15">
        <f t="shared" si="73"/>
        <v>500.1626375944561</v>
      </c>
      <c r="AB268" s="15">
        <f t="shared" si="73"/>
        <v>6590.2055149221187</v>
      </c>
      <c r="AC268" s="15">
        <f t="shared" si="73"/>
        <v>0</v>
      </c>
      <c r="AD268" s="15">
        <f t="shared" si="73"/>
        <v>0</v>
      </c>
      <c r="AE268" s="15" t="e">
        <f t="shared" si="73"/>
        <v>#REF!</v>
      </c>
      <c r="AF268" s="27" t="e">
        <f>SUM(V268:AD268)</f>
        <v>#REF!</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93"/>
  <sheetViews>
    <sheetView topLeftCell="A60" zoomScaleNormal="100" workbookViewId="0">
      <selection activeCell="I77" sqref="I77"/>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559" t="s">
        <v>55</v>
      </c>
      <c r="B3" s="559"/>
      <c r="C3" s="559"/>
      <c r="D3" s="559"/>
      <c r="E3" s="559"/>
      <c r="F3" s="559"/>
      <c r="G3" s="559"/>
      <c r="H3" s="559"/>
      <c r="I3" s="559"/>
      <c r="J3" s="559"/>
      <c r="K3" s="559"/>
      <c r="L3" s="559"/>
      <c r="M3" s="559"/>
    </row>
    <row r="5" spans="1:13">
      <c r="A5" s="35"/>
      <c r="B5" s="30">
        <v>2010</v>
      </c>
      <c r="C5" s="30">
        <v>2011</v>
      </c>
      <c r="D5" s="30">
        <v>2012</v>
      </c>
      <c r="E5" s="30">
        <v>2013</v>
      </c>
      <c r="F5" s="30">
        <v>2014</v>
      </c>
      <c r="G5" s="30">
        <v>2015</v>
      </c>
      <c r="H5" s="30">
        <v>2016</v>
      </c>
      <c r="I5" s="30">
        <v>2017</v>
      </c>
      <c r="J5" s="30">
        <v>2018</v>
      </c>
      <c r="K5" s="30">
        <v>2019</v>
      </c>
      <c r="L5" s="192">
        <v>2020</v>
      </c>
      <c r="M5" s="296" t="s">
        <v>394</v>
      </c>
    </row>
    <row r="6" spans="1:13">
      <c r="A6" s="30" t="s">
        <v>212</v>
      </c>
      <c r="B6" s="151">
        <f>9.9%</f>
        <v>9.9000000000000005E-2</v>
      </c>
      <c r="C6" s="151"/>
      <c r="D6" s="44"/>
      <c r="E6" s="90"/>
      <c r="F6" s="90"/>
      <c r="G6" s="90">
        <f>9%</f>
        <v>0.09</v>
      </c>
      <c r="H6" s="90">
        <f>9%</f>
        <v>0.09</v>
      </c>
      <c r="I6" s="152">
        <f>8%</f>
        <v>0.08</v>
      </c>
      <c r="J6" s="152">
        <f>8%</f>
        <v>0.08</v>
      </c>
      <c r="K6" s="152">
        <f>8%</f>
        <v>0.08</v>
      </c>
      <c r="L6" s="293">
        <f>9%</f>
        <v>0.09</v>
      </c>
      <c r="M6" s="297" t="s">
        <v>535</v>
      </c>
    </row>
    <row r="7" spans="1:13" s="411" customFormat="1">
      <c r="A7" s="30" t="s">
        <v>602</v>
      </c>
      <c r="B7" s="151">
        <v>0.06</v>
      </c>
      <c r="C7" s="151"/>
      <c r="D7" s="167"/>
      <c r="E7" s="167"/>
      <c r="F7" s="167"/>
      <c r="G7" s="167">
        <v>0.03</v>
      </c>
      <c r="H7" s="167">
        <v>0.05</v>
      </c>
      <c r="I7" s="152">
        <v>0.05</v>
      </c>
      <c r="J7" s="152">
        <v>7.0000000000000007E-2</v>
      </c>
      <c r="K7" s="152">
        <v>7.0000000000000007E-2</v>
      </c>
      <c r="L7" s="293">
        <v>0.06</v>
      </c>
      <c r="M7" s="297"/>
    </row>
    <row r="8" spans="1:13">
      <c r="A8" s="299" t="s">
        <v>427</v>
      </c>
      <c r="B8" s="299">
        <f>'Cadrage macroéconomique '!B6</f>
        <v>7064.34</v>
      </c>
      <c r="C8" s="299">
        <f>'Cadrage macroéconomique '!C6</f>
        <v>7433.06</v>
      </c>
      <c r="D8" s="299">
        <f>'Cadrage macroéconomique '!D6</f>
        <v>7516.8600000000006</v>
      </c>
      <c r="E8" s="299">
        <f>'Cadrage macroéconomique '!E6</f>
        <v>7642.56</v>
      </c>
      <c r="F8" s="299">
        <f>'Cadrage macroéconomique '!F6</f>
        <v>8002.9000000000005</v>
      </c>
      <c r="G8" s="299">
        <f>'Cadrage macroéconomique '!G6</f>
        <v>7877.2</v>
      </c>
      <c r="H8" s="299">
        <f>'Cadrage macroéconomique '!H6</f>
        <v>8120.2199999999993</v>
      </c>
      <c r="I8" s="299">
        <f>'Cadrage macroéconomique '!I6</f>
        <v>8120.2199999999993</v>
      </c>
      <c r="J8" s="299">
        <f>'Cadrage macroéconomique '!J6</f>
        <v>8338.1</v>
      </c>
      <c r="K8" s="299">
        <f>'Cadrage macroéconomique '!K6</f>
        <v>8430.2800000000007</v>
      </c>
      <c r="L8" s="192">
        <f>'Cadrage macroéconomique '!L6</f>
        <v>8279.44</v>
      </c>
      <c r="M8" s="298" t="s">
        <v>395</v>
      </c>
    </row>
    <row r="9" spans="1:13">
      <c r="A9" s="30" t="s">
        <v>213</v>
      </c>
      <c r="B9" s="39">
        <f t="shared" ref="B9:L9" si="0">B8*B6</f>
        <v>699.36966000000007</v>
      </c>
      <c r="C9" s="39">
        <f t="shared" si="0"/>
        <v>0</v>
      </c>
      <c r="D9" s="39">
        <f t="shared" si="0"/>
        <v>0</v>
      </c>
      <c r="E9" s="39">
        <f t="shared" si="0"/>
        <v>0</v>
      </c>
      <c r="F9" s="39">
        <f t="shared" si="0"/>
        <v>0</v>
      </c>
      <c r="G9" s="39">
        <f t="shared" si="0"/>
        <v>708.94799999999998</v>
      </c>
      <c r="H9" s="153">
        <f t="shared" si="0"/>
        <v>730.81979999999987</v>
      </c>
      <c r="I9" s="153">
        <f t="shared" si="0"/>
        <v>649.61759999999992</v>
      </c>
      <c r="J9" s="153">
        <f t="shared" si="0"/>
        <v>667.048</v>
      </c>
      <c r="K9" s="153">
        <f t="shared" si="0"/>
        <v>674.42240000000004</v>
      </c>
      <c r="L9" s="157">
        <f t="shared" si="0"/>
        <v>745.14959999999996</v>
      </c>
      <c r="M9" s="298"/>
    </row>
    <row r="10" spans="1:13" s="411" customFormat="1">
      <c r="A10" s="30" t="s">
        <v>603</v>
      </c>
      <c r="B10" s="174">
        <f>B7*B8</f>
        <v>423.86039999999997</v>
      </c>
      <c r="C10" s="174">
        <f t="shared" ref="C10:L10" si="1">C7*C8</f>
        <v>0</v>
      </c>
      <c r="D10" s="174">
        <f t="shared" si="1"/>
        <v>0</v>
      </c>
      <c r="E10" s="174">
        <f t="shared" si="1"/>
        <v>0</v>
      </c>
      <c r="F10" s="174">
        <f t="shared" si="1"/>
        <v>0</v>
      </c>
      <c r="G10" s="174">
        <f t="shared" si="1"/>
        <v>236.31599999999997</v>
      </c>
      <c r="H10" s="174">
        <f t="shared" si="1"/>
        <v>406.01099999999997</v>
      </c>
      <c r="I10" s="174">
        <f t="shared" si="1"/>
        <v>406.01099999999997</v>
      </c>
      <c r="J10" s="174">
        <f t="shared" si="1"/>
        <v>583.66700000000003</v>
      </c>
      <c r="K10" s="174">
        <f t="shared" si="1"/>
        <v>590.1196000000001</v>
      </c>
      <c r="L10" s="174">
        <f t="shared" si="1"/>
        <v>496.76640000000003</v>
      </c>
      <c r="M10" s="298"/>
    </row>
    <row r="11" spans="1:13">
      <c r="A11" s="30" t="s">
        <v>214</v>
      </c>
      <c r="B11" s="90">
        <v>0.109</v>
      </c>
      <c r="C11" s="90"/>
      <c r="D11" s="90"/>
      <c r="E11" s="90"/>
      <c r="F11" s="90"/>
      <c r="G11" s="90">
        <f>11%</f>
        <v>0.11</v>
      </c>
      <c r="H11" s="90">
        <v>0.11</v>
      </c>
      <c r="I11" s="152">
        <v>0.11</v>
      </c>
      <c r="J11" s="152">
        <v>0.11</v>
      </c>
      <c r="K11" s="152">
        <v>0.1</v>
      </c>
      <c r="L11" s="293">
        <v>0.1</v>
      </c>
      <c r="M11" s="297" t="s">
        <v>396</v>
      </c>
    </row>
    <row r="12" spans="1:13">
      <c r="A12" s="30" t="s">
        <v>215</v>
      </c>
      <c r="B12" s="39">
        <f>B11*B8</f>
        <v>770.01306</v>
      </c>
      <c r="C12" s="39">
        <f>C11*C8</f>
        <v>0</v>
      </c>
      <c r="D12" s="39">
        <f>D11*D8</f>
        <v>0</v>
      </c>
      <c r="E12" s="39">
        <f>E11*E8</f>
        <v>0</v>
      </c>
      <c r="F12" s="39">
        <f>F11*F8</f>
        <v>0</v>
      </c>
      <c r="G12" s="39">
        <f t="shared" ref="G12:L12" si="2">G8*G11</f>
        <v>866.49199999999996</v>
      </c>
      <c r="H12" s="153">
        <f t="shared" si="2"/>
        <v>893.22419999999988</v>
      </c>
      <c r="I12" s="153">
        <f t="shared" si="2"/>
        <v>893.22419999999988</v>
      </c>
      <c r="J12" s="153">
        <f t="shared" si="2"/>
        <v>917.19100000000003</v>
      </c>
      <c r="K12" s="153">
        <f t="shared" si="2"/>
        <v>843.02800000000013</v>
      </c>
      <c r="L12" s="157">
        <f t="shared" si="2"/>
        <v>827.94400000000007</v>
      </c>
      <c r="M12" s="298"/>
    </row>
    <row r="13" spans="1:13">
      <c r="B13" s="154"/>
      <c r="M13" s="300"/>
    </row>
    <row r="14" spans="1:13">
      <c r="B14" s="30">
        <v>2010</v>
      </c>
      <c r="C14" s="30">
        <v>2011</v>
      </c>
      <c r="D14" s="30">
        <v>2012</v>
      </c>
      <c r="E14" s="30">
        <v>2013</v>
      </c>
      <c r="F14" s="30">
        <v>2014</v>
      </c>
      <c r="G14" s="30">
        <v>2015</v>
      </c>
      <c r="H14" s="30">
        <v>2016</v>
      </c>
      <c r="I14" s="30">
        <v>2017</v>
      </c>
      <c r="J14" s="30">
        <v>2018</v>
      </c>
      <c r="K14" s="30">
        <v>2019</v>
      </c>
      <c r="L14" s="192">
        <v>2020</v>
      </c>
      <c r="M14" s="298"/>
    </row>
    <row r="15" spans="1:13">
      <c r="A15" s="41" t="s">
        <v>216</v>
      </c>
      <c r="B15" s="39">
        <f>SUM(B12,B9,B10)</f>
        <v>1893.2431200000001</v>
      </c>
      <c r="C15" s="174">
        <f t="shared" ref="C15:L15" si="3">SUM(C12,C9,C10)</f>
        <v>0</v>
      </c>
      <c r="D15" s="174">
        <f t="shared" si="3"/>
        <v>0</v>
      </c>
      <c r="E15" s="174">
        <f t="shared" si="3"/>
        <v>0</v>
      </c>
      <c r="F15" s="174">
        <f t="shared" si="3"/>
        <v>0</v>
      </c>
      <c r="G15" s="174">
        <f t="shared" si="3"/>
        <v>1811.7560000000001</v>
      </c>
      <c r="H15" s="174">
        <f t="shared" si="3"/>
        <v>2030.0549999999998</v>
      </c>
      <c r="I15" s="174">
        <f t="shared" si="3"/>
        <v>1948.8527999999997</v>
      </c>
      <c r="J15" s="174">
        <f t="shared" si="3"/>
        <v>2167.9059999999999</v>
      </c>
      <c r="K15" s="174">
        <f t="shared" si="3"/>
        <v>2107.5700000000002</v>
      </c>
      <c r="L15" s="174">
        <f t="shared" si="3"/>
        <v>2069.86</v>
      </c>
      <c r="M15" s="298" t="s">
        <v>397</v>
      </c>
    </row>
    <row r="16" spans="1:13" ht="28.8">
      <c r="A16" s="132" t="s">
        <v>219</v>
      </c>
      <c r="B16" s="294">
        <f>('Bilans d''énergie 2010-2020'!$B$275+'Bilans d''énergie 2010-2020'!$C$275)*11.63</f>
        <v>2873.7730000000001</v>
      </c>
      <c r="C16" s="294">
        <f>('Bilans d''énergie 2010-2020'!$B$249+'Bilans d''énergie 2010-2020'!$C$249)*11.63</f>
        <v>3106.3730000000005</v>
      </c>
      <c r="D16" s="294">
        <f>('Bilans d''énergie 2010-2020'!$B$223+'Bilans d''énergie 2010-2020'!$C$223)*11.63</f>
        <v>3233.1400000000003</v>
      </c>
      <c r="E16" s="294">
        <f>('Bilans d''énergie 2010-2020'!$B$197+'Bilans d''énergie 2010-2020'!$C$197)*11.63</f>
        <v>3454.11</v>
      </c>
      <c r="F16" s="294">
        <f>('Bilans d''énergie 2010-2020'!$B$171+'Bilans d''énergie 2010-2020'!$C$171)*11.63</f>
        <v>3722.7630000000004</v>
      </c>
      <c r="G16" s="294">
        <f>('Bilans d''énergie 2010-2020'!$B$145+'Bilans d''énergie 2010-2020'!$C$145)*11.63</f>
        <v>3555.2910000000002</v>
      </c>
      <c r="H16" s="294">
        <f>('Bilans d''énergie 2010-2020'!$B$119+'Bilans d''énergie 2010-2020'!$C$119)*11.63</f>
        <v>3537.846</v>
      </c>
      <c r="I16" s="294">
        <f>('Bilans d''énergie 2010-2020'!$B$93+'Bilans d''énergie 2010-2020'!$C$93)*11.63</f>
        <v>3663.4500000000003</v>
      </c>
      <c r="J16" s="294">
        <f>('Bilans d''énergie 2010-2020'!$B$67+'Bilans d''énergie 2010-2020'!$C$67)*11.63</f>
        <v>3918.1469999999999</v>
      </c>
      <c r="K16" s="294">
        <f>('Bilans d''énergie 2010-2020'!$B$41+'Bilans d''énergie 2010-2020'!$C$41)*11.63</f>
        <v>3841.3890000000006</v>
      </c>
      <c r="L16" s="294">
        <f>('Bilans d''énergie 2010-2020'!$B$15+'Bilans d''énergie 2010-2020'!$C$15)*11.63</f>
        <v>3470.3919999999998</v>
      </c>
      <c r="M16" s="298" t="s">
        <v>220</v>
      </c>
    </row>
    <row r="17" spans="1:23">
      <c r="A17" s="132" t="s">
        <v>221</v>
      </c>
      <c r="B17" s="294">
        <f>('Bilans d''énergie 2010-2020'!$G$275)*11.63</f>
        <v>1499.1070000000002</v>
      </c>
      <c r="C17" s="294">
        <f>('Bilans d''énergie 2010-2020'!$G$249)*11.63</f>
        <v>1589.8209999999999</v>
      </c>
      <c r="D17" s="294">
        <f>('Bilans d''énergie 2010-2020'!$G$223)*11.63</f>
        <v>1595.636</v>
      </c>
      <c r="E17" s="294">
        <f>('Bilans d''énergie 2010-2020'!$G$197)*11.63</f>
        <v>1808.4650000000001</v>
      </c>
      <c r="F17" s="294">
        <f>('Bilans d''énergie 2010-2020'!$G$171)*11.63</f>
        <v>2323.6740000000004</v>
      </c>
      <c r="G17" s="294">
        <f>('Bilans d''énergie 2010-2020'!$G$145)*11.63</f>
        <v>2192.2550000000001</v>
      </c>
      <c r="H17" s="294">
        <f>('Bilans d''énergie 2010-2020'!$G$119)*11.63</f>
        <v>2381.8240000000001</v>
      </c>
      <c r="I17" s="294">
        <f>('Bilans d''énergie 2010-2020'!$G$93)*11.63</f>
        <v>2488.8200000000002</v>
      </c>
      <c r="J17" s="294">
        <f>('Bilans d''énergie 2010-2020'!$G$67)*11.63</f>
        <v>2744.6800000000003</v>
      </c>
      <c r="K17" s="294">
        <f>('Bilans d''énergie 2010-2020'!$G$41)*11.63</f>
        <v>2603.9570000000003</v>
      </c>
      <c r="L17" s="294">
        <f>('Bilans d''énergie 2010-2020'!$G$15)*11.63</f>
        <v>2506.2650000000003</v>
      </c>
      <c r="M17" s="298" t="s">
        <v>222</v>
      </c>
    </row>
    <row r="18" spans="1:23" s="411" customFormat="1">
      <c r="A18" s="132" t="s">
        <v>604</v>
      </c>
      <c r="B18" s="294">
        <f>1370009.747/1000</f>
        <v>1370.0097470000001</v>
      </c>
      <c r="C18" s="294">
        <f>1453237.3672/1000</f>
        <v>1453.2373671999999</v>
      </c>
      <c r="D18" s="294">
        <f>1452400.126/1000</f>
        <v>1452.400126</v>
      </c>
      <c r="E18" s="294">
        <f>1684709.88415394/1000</f>
        <v>1684.70988415394</v>
      </c>
      <c r="F18" s="294">
        <f>2207622.665/1000</f>
        <v>2207.6226649999999</v>
      </c>
      <c r="G18" s="294">
        <f>2072269.8094508/1000</f>
        <v>2072.2698094508</v>
      </c>
      <c r="H18" s="294">
        <f>2257071/1000</f>
        <v>2257.0709999999999</v>
      </c>
      <c r="I18" s="294">
        <f>2362649/1000</f>
        <v>2362.6489999999999</v>
      </c>
      <c r="J18" s="411">
        <f>2617200/1000</f>
        <v>2617.1999999999998</v>
      </c>
      <c r="K18" s="294">
        <f>K17-K19</f>
        <v>2476.5000665338603</v>
      </c>
      <c r="L18" s="294"/>
      <c r="M18" s="298" t="s">
        <v>607</v>
      </c>
    </row>
    <row r="19" spans="1:23" s="411" customFormat="1">
      <c r="A19" s="132" t="s">
        <v>605</v>
      </c>
      <c r="B19" s="294">
        <f>B17-B18</f>
        <v>129.09725300000014</v>
      </c>
      <c r="C19" s="294">
        <f t="shared" ref="C19:J19" si="4">C17-C18</f>
        <v>136.58363280000003</v>
      </c>
      <c r="D19" s="294">
        <f t="shared" si="4"/>
        <v>143.23587399999997</v>
      </c>
      <c r="E19" s="294">
        <f t="shared" si="4"/>
        <v>123.75511584606011</v>
      </c>
      <c r="F19" s="294">
        <f t="shared" si="4"/>
        <v>116.05133500000056</v>
      </c>
      <c r="G19" s="294">
        <f t="shared" si="4"/>
        <v>119.98519054920007</v>
      </c>
      <c r="H19" s="294">
        <f t="shared" si="4"/>
        <v>124.75300000000016</v>
      </c>
      <c r="I19" s="294">
        <f t="shared" si="4"/>
        <v>126.17100000000028</v>
      </c>
      <c r="J19" s="294">
        <f t="shared" si="4"/>
        <v>127.48000000000047</v>
      </c>
      <c r="K19" s="294">
        <f>AVERAGE(B19:J19)</f>
        <v>127.4569334661402</v>
      </c>
      <c r="L19" s="294"/>
      <c r="M19" s="298" t="s">
        <v>606</v>
      </c>
    </row>
    <row r="20" spans="1:23">
      <c r="A20" s="132" t="s">
        <v>223</v>
      </c>
      <c r="B20" s="39">
        <f>GES!V7</f>
        <v>2679.7087498478104</v>
      </c>
      <c r="C20" s="39">
        <f>GES!W7</f>
        <v>2883.0373198295515</v>
      </c>
      <c r="D20" s="39">
        <f>GES!X7</f>
        <v>2881.0831328965837</v>
      </c>
      <c r="E20" s="39">
        <f>GES!Y7</f>
        <v>3115.9481205517441</v>
      </c>
      <c r="F20" s="39">
        <f>GES!Z7</f>
        <v>3918.4125338396752</v>
      </c>
      <c r="G20" s="39">
        <f>GES!AA7</f>
        <v>3885.3856175311644</v>
      </c>
      <c r="H20" s="39">
        <f>GES!AB7</f>
        <v>4294.4374098551452</v>
      </c>
      <c r="I20" s="39">
        <f>GES!AC7</f>
        <v>4383.5926336430703</v>
      </c>
      <c r="J20" s="39">
        <f>GES!AD7</f>
        <v>4697.4938515903486</v>
      </c>
      <c r="K20" s="39">
        <f>GES!AE7</f>
        <v>4208.1886098152936</v>
      </c>
      <c r="L20" s="174"/>
      <c r="M20" s="298" t="s">
        <v>224</v>
      </c>
    </row>
    <row r="21" spans="1:23">
      <c r="A21" s="1" t="s">
        <v>225</v>
      </c>
      <c r="B21" s="294">
        <f>('Bilans d''énergie 2010-2020'!$B$285+'Bilans d''énergie 2010-2020'!$C$285)*11.63</f>
        <v>1023.44</v>
      </c>
      <c r="C21" s="294">
        <f>('Bilans d''énergie 2010-2020'!$B$259+'Bilans d''énergie 2010-2020'!$C$259)*11.63</f>
        <v>974.59400000000016</v>
      </c>
      <c r="D21" s="294">
        <f>('Bilans d''énergie 2010-2020'!$B$233+'Bilans d''énergie 2010-2020'!$C$233)*11.63</f>
        <v>1001.343</v>
      </c>
      <c r="E21" s="294">
        <f>('Bilans d''énergie 2010-2020'!$B$207+'Bilans d''énergie 2010-2020'!$C$207)*11.63</f>
        <v>1033.9070000000002</v>
      </c>
      <c r="F21" s="294">
        <f>('Bilans d''énergie 2010-2020'!$B$181+'Bilans d''énergie 2010-2020'!$C$181)*11.63</f>
        <v>1467.7059999999999</v>
      </c>
      <c r="G21" s="294">
        <f>('Bilans d''énergie 2010-2020'!$B$155+'Bilans d''énergie 2010-2020'!$C$155)*11.63</f>
        <v>1429.3270000000002</v>
      </c>
      <c r="H21" s="294">
        <f>('Bilans d''énergie 2010-2020'!$B$129+'Bilans d''énergie 2010-2020'!$C$129)*11.63</f>
        <v>1785.2050000000002</v>
      </c>
      <c r="I21" s="294">
        <f>('Bilans d''énergie 2010-2020'!$B$103+'Bilans d''énergie 2010-2020'!$C$103)*11.63</f>
        <v>1814.2800000000002</v>
      </c>
      <c r="J21" s="294">
        <f>('Bilans d''énergie 2010-2020'!$B$77+'Bilans d''énergie 2010-2020'!$C$77)*11.63</f>
        <v>1946.8620000000003</v>
      </c>
      <c r="K21" s="294">
        <f>'Bilan d''énergie SDES historique'!D35</f>
        <v>180.26500000000001</v>
      </c>
      <c r="L21" s="294">
        <f>('Bilans d''énergie 2010-2020'!$B$25+'Bilans d''énergie 2010-2020'!$C$25)*11.63</f>
        <v>1652.623</v>
      </c>
      <c r="M21" s="298" t="s">
        <v>220</v>
      </c>
    </row>
    <row r="22" spans="1:23" s="466" customFormat="1">
      <c r="A22" s="467" t="s">
        <v>616</v>
      </c>
      <c r="B22" s="474"/>
      <c r="C22" s="474"/>
      <c r="D22" s="474"/>
      <c r="E22" s="474"/>
      <c r="F22" s="474"/>
      <c r="G22" s="474"/>
      <c r="H22" s="474"/>
      <c r="I22" s="474"/>
      <c r="J22" s="474"/>
      <c r="K22" s="474">
        <f>'Bilan d''énergie SDES historique'!B35</f>
        <v>1743.3370000000002</v>
      </c>
      <c r="L22" s="474"/>
      <c r="M22" s="475"/>
    </row>
    <row r="23" spans="1:23" ht="24.6">
      <c r="A23" s="1" t="s">
        <v>226</v>
      </c>
      <c r="B23" s="30"/>
      <c r="C23" s="30"/>
      <c r="D23" s="30"/>
      <c r="E23" s="39">
        <v>0</v>
      </c>
      <c r="F23" s="174">
        <v>0</v>
      </c>
      <c r="G23" s="174">
        <v>0</v>
      </c>
      <c r="H23" s="174">
        <v>0</v>
      </c>
      <c r="I23" s="174">
        <v>0</v>
      </c>
      <c r="J23" s="174">
        <v>0</v>
      </c>
      <c r="K23" s="174">
        <v>0</v>
      </c>
      <c r="L23" s="174">
        <v>0</v>
      </c>
      <c r="M23" s="298" t="s">
        <v>227</v>
      </c>
    </row>
    <row r="24" spans="1:23">
      <c r="A24" s="1" t="s">
        <v>228</v>
      </c>
      <c r="B24" s="30"/>
      <c r="C24" s="30"/>
      <c r="D24" s="30"/>
      <c r="E24" s="39">
        <v>0</v>
      </c>
      <c r="F24" s="174">
        <v>0</v>
      </c>
      <c r="G24" s="174">
        <v>0</v>
      </c>
      <c r="H24" s="174">
        <v>0</v>
      </c>
      <c r="I24" s="174">
        <v>0</v>
      </c>
      <c r="J24" s="174">
        <v>0</v>
      </c>
      <c r="K24" s="174">
        <v>0</v>
      </c>
      <c r="L24" s="174">
        <v>0</v>
      </c>
      <c r="M24" s="298" t="s">
        <v>220</v>
      </c>
      <c r="O24" s="585" t="s">
        <v>404</v>
      </c>
      <c r="P24" s="585"/>
      <c r="Q24" s="585"/>
      <c r="R24" s="585"/>
      <c r="S24" s="585"/>
      <c r="T24" s="585"/>
      <c r="U24" s="585"/>
      <c r="V24" s="585"/>
      <c r="W24" s="585"/>
    </row>
    <row r="25" spans="1:23">
      <c r="A25" s="584" t="s">
        <v>398</v>
      </c>
      <c r="B25" s="584"/>
      <c r="C25" s="584"/>
      <c r="D25" s="584"/>
      <c r="E25" s="584"/>
      <c r="F25" s="584"/>
      <c r="G25" s="584"/>
      <c r="H25" s="584"/>
      <c r="I25" s="584"/>
      <c r="J25" s="584"/>
      <c r="K25" s="584"/>
      <c r="L25" s="584"/>
      <c r="M25" s="584"/>
      <c r="O25" s="585"/>
      <c r="P25" s="585"/>
      <c r="Q25" s="585"/>
      <c r="R25" s="585"/>
      <c r="S25" s="585"/>
      <c r="T25" s="585"/>
      <c r="U25" s="585"/>
      <c r="V25" s="585"/>
      <c r="W25" s="585"/>
    </row>
    <row r="27" spans="1:23">
      <c r="A27" s="559" t="s">
        <v>150</v>
      </c>
      <c r="B27" s="559"/>
      <c r="C27" s="559"/>
      <c r="D27" s="559"/>
      <c r="E27" s="559"/>
      <c r="F27" s="559"/>
      <c r="G27" s="559"/>
      <c r="H27" s="559"/>
      <c r="I27" s="559"/>
      <c r="J27" s="559"/>
      <c r="O27" s="559" t="s">
        <v>151</v>
      </c>
      <c r="P27" s="559"/>
      <c r="Q27" s="559"/>
      <c r="R27" s="559"/>
      <c r="S27" s="559"/>
      <c r="T27" s="559"/>
      <c r="U27" s="559"/>
      <c r="V27" s="559"/>
      <c r="W27" s="559"/>
    </row>
    <row r="29" spans="1:23">
      <c r="A29" s="185"/>
      <c r="B29" s="30">
        <v>2019</v>
      </c>
      <c r="C29" s="30">
        <v>2020</v>
      </c>
      <c r="D29" s="30">
        <v>2025</v>
      </c>
      <c r="E29" s="30">
        <v>2030</v>
      </c>
      <c r="F29" s="30">
        <v>2035</v>
      </c>
      <c r="G29" s="30">
        <v>2040</v>
      </c>
      <c r="H29" s="30">
        <v>2045</v>
      </c>
      <c r="I29" s="192">
        <v>2050</v>
      </c>
      <c r="J29" s="296" t="s">
        <v>394</v>
      </c>
      <c r="K29" t="s">
        <v>415</v>
      </c>
      <c r="O29" s="185"/>
      <c r="P29" s="30">
        <v>2015</v>
      </c>
      <c r="Q29" s="30">
        <v>2020</v>
      </c>
      <c r="R29" s="30">
        <v>2025</v>
      </c>
      <c r="S29" s="30">
        <v>2030</v>
      </c>
      <c r="T29" s="30">
        <v>2035</v>
      </c>
      <c r="U29" s="30">
        <v>2040</v>
      </c>
      <c r="V29" s="30">
        <v>2045</v>
      </c>
      <c r="W29" s="30">
        <v>2050</v>
      </c>
    </row>
    <row r="30" spans="1:23" ht="13.8" customHeight="1">
      <c r="A30" s="30" t="s">
        <v>631</v>
      </c>
      <c r="B30" s="152">
        <f>K6</f>
        <v>0.08</v>
      </c>
      <c r="C30" s="167">
        <f>L6</f>
        <v>0.09</v>
      </c>
      <c r="D30" s="151">
        <f>C30</f>
        <v>0.09</v>
      </c>
      <c r="E30" s="151">
        <f t="shared" ref="E30:I30" si="5">D30</f>
        <v>0.09</v>
      </c>
      <c r="F30" s="151">
        <f t="shared" si="5"/>
        <v>0.09</v>
      </c>
      <c r="G30" s="151">
        <f t="shared" si="5"/>
        <v>0.09</v>
      </c>
      <c r="H30" s="151">
        <f t="shared" si="5"/>
        <v>0.09</v>
      </c>
      <c r="I30" s="151">
        <f t="shared" si="5"/>
        <v>0.09</v>
      </c>
      <c r="J30" s="304" t="s">
        <v>229</v>
      </c>
      <c r="K30" t="s">
        <v>415</v>
      </c>
      <c r="O30" s="30" t="s">
        <v>212</v>
      </c>
      <c r="P30" s="85">
        <v>4.3999999999999997E-2</v>
      </c>
      <c r="Q30" s="30"/>
      <c r="R30" s="30"/>
      <c r="S30" s="30"/>
      <c r="T30" s="30"/>
      <c r="U30" s="30"/>
      <c r="V30" s="30"/>
      <c r="W30" s="30"/>
    </row>
    <row r="31" spans="1:23" s="411" customFormat="1" ht="13.8" customHeight="1">
      <c r="A31" s="30" t="s">
        <v>602</v>
      </c>
      <c r="B31" s="152">
        <f>K7</f>
        <v>7.0000000000000007E-2</v>
      </c>
      <c r="C31" s="167">
        <f>B31</f>
        <v>7.0000000000000007E-2</v>
      </c>
      <c r="D31" s="167">
        <f>C31+(E31-C31)/2</f>
        <v>8.1250000000000003E-2</v>
      </c>
      <c r="E31" s="167">
        <v>9.2499999999999999E-2</v>
      </c>
      <c r="F31" s="167">
        <v>8.5199999999999998E-2</v>
      </c>
      <c r="G31" s="167">
        <v>7.85E-2</v>
      </c>
      <c r="H31" s="167">
        <v>7.2400000000000006E-2</v>
      </c>
      <c r="I31" s="167">
        <v>6.6799999999999998E-2</v>
      </c>
      <c r="J31" s="459" t="s">
        <v>621</v>
      </c>
      <c r="O31" s="30"/>
      <c r="P31" s="85"/>
      <c r="Q31" s="30"/>
      <c r="R31" s="30"/>
      <c r="S31" s="30"/>
      <c r="T31" s="30"/>
      <c r="U31" s="30"/>
      <c r="V31" s="30"/>
      <c r="W31" s="30"/>
    </row>
    <row r="32" spans="1:23" ht="13.8" customHeight="1">
      <c r="A32" s="299" t="s">
        <v>427</v>
      </c>
      <c r="B32" s="30">
        <f>K8</f>
        <v>8430.2800000000007</v>
      </c>
      <c r="C32" s="30">
        <f>L8</f>
        <v>8279.44</v>
      </c>
      <c r="D32" s="135">
        <f>'Cadrage macroéconomique '!C16</f>
        <v>9493.8645198729155</v>
      </c>
      <c r="E32" s="135">
        <f>'Cadrage macroéconomique '!D16</f>
        <v>10481.993564573268</v>
      </c>
      <c r="F32" s="135">
        <f>'Cadrage macroéconomique '!E16</f>
        <v>11572.967873911286</v>
      </c>
      <c r="G32" s="135">
        <f>'Cadrage macroéconomique '!F16</f>
        <v>12777.491665635769</v>
      </c>
      <c r="H32" s="135">
        <f>'Cadrage macroéconomique '!G16</f>
        <v>14107.383261076446</v>
      </c>
      <c r="I32" s="301">
        <f>'Cadrage macroéconomique '!H16</f>
        <v>15575.691041939514</v>
      </c>
      <c r="J32" s="304" t="s">
        <v>230</v>
      </c>
      <c r="K32" t="s">
        <v>610</v>
      </c>
      <c r="O32" s="30" t="s">
        <v>231</v>
      </c>
      <c r="P32" s="134" t="s">
        <v>232</v>
      </c>
      <c r="Q32" s="30"/>
      <c r="R32" s="30"/>
      <c r="S32" s="30"/>
      <c r="T32" s="30"/>
      <c r="U32" s="30"/>
      <c r="V32" s="30"/>
      <c r="W32" s="30"/>
    </row>
    <row r="33" spans="1:23" ht="13.8" customHeight="1">
      <c r="A33" s="30" t="s">
        <v>233</v>
      </c>
      <c r="B33" s="157">
        <f>B32*B30</f>
        <v>674.42240000000004</v>
      </c>
      <c r="C33" s="174">
        <f>C30*C32</f>
        <v>745.14959999999996</v>
      </c>
      <c r="D33" s="174">
        <f t="shared" ref="D33:I33" si="6">D32*D30</f>
        <v>854.44780678856239</v>
      </c>
      <c r="E33" s="174">
        <f t="shared" si="6"/>
        <v>943.37942081159406</v>
      </c>
      <c r="F33" s="174">
        <f t="shared" si="6"/>
        <v>1041.5671086520158</v>
      </c>
      <c r="G33" s="174">
        <f t="shared" si="6"/>
        <v>1149.9742499072192</v>
      </c>
      <c r="H33" s="174">
        <f t="shared" si="6"/>
        <v>1269.6644934968801</v>
      </c>
      <c r="I33" s="302">
        <f t="shared" si="6"/>
        <v>1401.8121937745561</v>
      </c>
      <c r="J33" s="304"/>
      <c r="O33" s="30" t="s">
        <v>233</v>
      </c>
      <c r="P33" s="134">
        <v>746</v>
      </c>
      <c r="Q33" s="30"/>
      <c r="R33" s="30"/>
      <c r="S33" s="30"/>
      <c r="T33" s="30"/>
      <c r="U33" s="30"/>
      <c r="V33" s="30"/>
      <c r="W33" s="30"/>
    </row>
    <row r="34" spans="1:23" s="411" customFormat="1" ht="13.8" customHeight="1">
      <c r="A34" s="30" t="s">
        <v>608</v>
      </c>
      <c r="B34" s="157">
        <f>B31*B32</f>
        <v>590.1196000000001</v>
      </c>
      <c r="C34" s="157">
        <f t="shared" ref="C34:I34" si="7">C31*C32</f>
        <v>579.56080000000009</v>
      </c>
      <c r="D34" s="157">
        <f t="shared" si="7"/>
        <v>771.37649223967446</v>
      </c>
      <c r="E34" s="157">
        <f t="shared" si="7"/>
        <v>969.58440472302721</v>
      </c>
      <c r="F34" s="157">
        <f t="shared" si="7"/>
        <v>986.01686285724156</v>
      </c>
      <c r="G34" s="157">
        <f t="shared" si="7"/>
        <v>1003.0330957524079</v>
      </c>
      <c r="H34" s="157">
        <f t="shared" si="7"/>
        <v>1021.3745481019348</v>
      </c>
      <c r="I34" s="157">
        <f t="shared" si="7"/>
        <v>1040.4561616015594</v>
      </c>
      <c r="J34" s="304"/>
      <c r="O34" s="30"/>
      <c r="P34" s="134"/>
      <c r="Q34" s="30"/>
      <c r="R34" s="30"/>
      <c r="S34" s="30"/>
      <c r="T34" s="30"/>
      <c r="U34" s="30"/>
      <c r="V34" s="30"/>
      <c r="W34" s="30"/>
    </row>
    <row r="35" spans="1:23" ht="13.8" customHeight="1">
      <c r="A35" s="30" t="s">
        <v>214</v>
      </c>
      <c r="B35" s="152">
        <f>K11</f>
        <v>0.1</v>
      </c>
      <c r="C35" s="167">
        <f>L11</f>
        <v>0.1</v>
      </c>
      <c r="D35" s="151">
        <f>C35</f>
        <v>0.1</v>
      </c>
      <c r="E35" s="151">
        <f t="shared" ref="E35:I35" si="8">D35</f>
        <v>0.1</v>
      </c>
      <c r="F35" s="151">
        <f t="shared" si="8"/>
        <v>0.1</v>
      </c>
      <c r="G35" s="151">
        <f t="shared" si="8"/>
        <v>0.1</v>
      </c>
      <c r="H35" s="151">
        <f t="shared" si="8"/>
        <v>0.1</v>
      </c>
      <c r="I35" s="151">
        <f t="shared" si="8"/>
        <v>0.1</v>
      </c>
      <c r="J35" s="304" t="s">
        <v>229</v>
      </c>
      <c r="K35" t="s">
        <v>415</v>
      </c>
      <c r="O35" s="30" t="s">
        <v>214</v>
      </c>
      <c r="P35" s="85">
        <v>5.8999999999999997E-2</v>
      </c>
      <c r="Q35" s="30"/>
      <c r="R35" s="30"/>
      <c r="S35" s="30"/>
      <c r="T35" s="30"/>
      <c r="U35" s="30"/>
      <c r="V35" s="30"/>
      <c r="W35" s="30"/>
    </row>
    <row r="36" spans="1:23" ht="13.8" customHeight="1">
      <c r="A36" s="30" t="s">
        <v>234</v>
      </c>
      <c r="B36" s="157">
        <f>B32*B35</f>
        <v>843.02800000000013</v>
      </c>
      <c r="C36" s="157">
        <f>C32*C35</f>
        <v>827.94400000000007</v>
      </c>
      <c r="D36" s="174">
        <f t="shared" ref="D36:I36" si="9">D35*D32</f>
        <v>949.38645198729159</v>
      </c>
      <c r="E36" s="174">
        <f t="shared" si="9"/>
        <v>1048.1993564573268</v>
      </c>
      <c r="F36" s="174">
        <f t="shared" si="9"/>
        <v>1157.2967873911286</v>
      </c>
      <c r="G36" s="174">
        <f t="shared" si="9"/>
        <v>1277.7491665635771</v>
      </c>
      <c r="H36" s="174">
        <f t="shared" si="9"/>
        <v>1410.7383261076448</v>
      </c>
      <c r="I36" s="302">
        <f t="shared" si="9"/>
        <v>1557.5691041939515</v>
      </c>
      <c r="J36" s="304"/>
      <c r="K36" t="s">
        <v>415</v>
      </c>
      <c r="O36" s="30" t="s">
        <v>234</v>
      </c>
      <c r="P36" s="134" t="s">
        <v>235</v>
      </c>
      <c r="Q36" s="30"/>
      <c r="R36" s="30"/>
      <c r="S36" s="30"/>
      <c r="T36" s="30"/>
      <c r="U36" s="30"/>
      <c r="V36" s="30"/>
      <c r="W36" s="30"/>
    </row>
    <row r="37" spans="1:23" ht="13.8" customHeight="1">
      <c r="J37" s="305"/>
      <c r="K37" t="s">
        <v>415</v>
      </c>
    </row>
    <row r="38" spans="1:23" ht="13.8" customHeight="1">
      <c r="B38" s="30">
        <v>2019</v>
      </c>
      <c r="C38" s="30">
        <v>2020</v>
      </c>
      <c r="D38" s="30">
        <v>2025</v>
      </c>
      <c r="E38" s="30">
        <v>2030</v>
      </c>
      <c r="F38" s="30">
        <v>2035</v>
      </c>
      <c r="G38" s="30">
        <v>2040</v>
      </c>
      <c r="H38" s="30">
        <v>2045</v>
      </c>
      <c r="I38" s="192">
        <v>2050</v>
      </c>
      <c r="J38" s="296" t="s">
        <v>394</v>
      </c>
      <c r="K38" t="s">
        <v>415</v>
      </c>
      <c r="P38" s="30">
        <v>2015</v>
      </c>
      <c r="Q38" s="84">
        <v>2017</v>
      </c>
      <c r="R38" s="30">
        <v>2025</v>
      </c>
      <c r="S38" s="30">
        <v>2030</v>
      </c>
      <c r="T38" s="30">
        <v>2035</v>
      </c>
      <c r="U38" s="30">
        <v>2040</v>
      </c>
      <c r="V38" s="30">
        <v>2045</v>
      </c>
      <c r="W38" s="30">
        <v>2050</v>
      </c>
    </row>
    <row r="39" spans="1:23" ht="13.8" customHeight="1">
      <c r="A39" s="132" t="s">
        <v>216</v>
      </c>
      <c r="B39" s="174">
        <f>SUM(B36,B33,B34)</f>
        <v>2107.5700000000002</v>
      </c>
      <c r="C39" s="174">
        <f t="shared" ref="C39:I39" si="10">SUM(C36,C33,C34)</f>
        <v>2152.6544000000004</v>
      </c>
      <c r="D39" s="174">
        <f t="shared" si="10"/>
        <v>2575.2107510155283</v>
      </c>
      <c r="E39" s="174">
        <f t="shared" si="10"/>
        <v>2961.163181991948</v>
      </c>
      <c r="F39" s="174">
        <f t="shared" si="10"/>
        <v>3184.8807589003859</v>
      </c>
      <c r="G39" s="174">
        <f t="shared" si="10"/>
        <v>3430.756512223204</v>
      </c>
      <c r="H39" s="174">
        <f t="shared" si="10"/>
        <v>3701.7773677064597</v>
      </c>
      <c r="I39" s="174">
        <f t="shared" si="10"/>
        <v>3999.837459570067</v>
      </c>
      <c r="J39" s="304"/>
      <c r="K39" t="s">
        <v>415</v>
      </c>
      <c r="O39" s="132" t="s">
        <v>216</v>
      </c>
      <c r="P39" s="134" t="s">
        <v>236</v>
      </c>
      <c r="Q39" s="134" t="s">
        <v>237</v>
      </c>
      <c r="R39" s="30"/>
      <c r="S39" s="30"/>
      <c r="T39" s="30"/>
      <c r="U39" s="30"/>
      <c r="V39" s="30"/>
      <c r="W39" s="134" t="s">
        <v>238</v>
      </c>
    </row>
    <row r="40" spans="1:23" ht="13.8" customHeight="1">
      <c r="A40" s="132" t="s">
        <v>217</v>
      </c>
      <c r="B40" s="324">
        <v>1</v>
      </c>
      <c r="C40" s="324">
        <f>$B$40+($I$40-$B$40)*1/31</f>
        <v>0.99677419354838714</v>
      </c>
      <c r="D40" s="324">
        <f>$B$40+($I$40-$B$40)*6/31</f>
        <v>0.98064516129032253</v>
      </c>
      <c r="E40" s="324">
        <f>$B$40+($I$40-$B$40)*11/31</f>
        <v>0.96451612903225803</v>
      </c>
      <c r="F40" s="324">
        <f>$B$40+($I$40-$B$40)*16/31</f>
        <v>0.94838709677419353</v>
      </c>
      <c r="G40" s="324">
        <f>$B$40+($I$40-$B$40)*21/31</f>
        <v>0.93225806451612903</v>
      </c>
      <c r="H40" s="324">
        <f>$B$40+($I$40-$B$40)*26/31</f>
        <v>0.91612903225806452</v>
      </c>
      <c r="I40" s="325">
        <v>0.9</v>
      </c>
      <c r="J40" s="304" t="s">
        <v>400</v>
      </c>
      <c r="K40" t="s">
        <v>415</v>
      </c>
      <c r="O40" s="132" t="s">
        <v>217</v>
      </c>
      <c r="P40" s="156">
        <v>1</v>
      </c>
      <c r="Q40" s="156">
        <v>1</v>
      </c>
      <c r="R40" s="30"/>
      <c r="S40" s="30"/>
      <c r="T40" s="30"/>
      <c r="U40" s="30"/>
      <c r="V40" s="30"/>
      <c r="W40" s="156">
        <v>0.9</v>
      </c>
    </row>
    <row r="41" spans="1:23" ht="13.8" customHeight="1">
      <c r="A41" s="132" t="s">
        <v>609</v>
      </c>
      <c r="B41" s="156">
        <v>0</v>
      </c>
      <c r="C41" s="156">
        <v>0</v>
      </c>
      <c r="D41" s="156">
        <v>0</v>
      </c>
      <c r="E41" s="156">
        <v>0</v>
      </c>
      <c r="F41" s="156">
        <v>0</v>
      </c>
      <c r="G41" s="156">
        <v>0</v>
      </c>
      <c r="H41" s="156">
        <v>0</v>
      </c>
      <c r="I41" s="303">
        <v>0</v>
      </c>
      <c r="J41" s="304"/>
      <c r="K41" t="s">
        <v>416</v>
      </c>
      <c r="O41" s="132" t="s">
        <v>218</v>
      </c>
      <c r="P41" s="156">
        <v>0</v>
      </c>
      <c r="Q41" s="156">
        <v>0</v>
      </c>
      <c r="R41" s="30"/>
      <c r="S41" s="30"/>
      <c r="T41" s="30"/>
      <c r="U41" s="30"/>
      <c r="V41" s="30"/>
      <c r="W41" s="156">
        <v>0</v>
      </c>
    </row>
    <row r="42" spans="1:23" ht="13.8" customHeight="1">
      <c r="A42" s="306" t="s">
        <v>632</v>
      </c>
      <c r="B42" s="174">
        <f>('Bilans d''énergie 2010-2020'!C41*11.63)</f>
        <v>2672.5740000000005</v>
      </c>
      <c r="C42" s="157">
        <f>B42</f>
        <v>2672.5740000000005</v>
      </c>
      <c r="D42" s="174">
        <f>D43+D44</f>
        <v>3407.0682816789622</v>
      </c>
      <c r="E42" s="468">
        <f t="shared" ref="E42:I42" si="11">E43+E44</f>
        <v>4185.997974613455</v>
      </c>
      <c r="F42" s="468">
        <f t="shared" si="11"/>
        <v>4201.9007783833213</v>
      </c>
      <c r="G42" s="468">
        <f t="shared" si="11"/>
        <v>4219.1812039283241</v>
      </c>
      <c r="H42" s="468">
        <f t="shared" si="11"/>
        <v>4240.7214895303969</v>
      </c>
      <c r="I42" s="468">
        <f t="shared" si="11"/>
        <v>4264.1025316068972</v>
      </c>
      <c r="J42" s="304" t="s">
        <v>240</v>
      </c>
      <c r="K42" t="s">
        <v>415</v>
      </c>
      <c r="O42" s="132" t="s">
        <v>239</v>
      </c>
      <c r="P42" s="30">
        <v>17.399999999999999</v>
      </c>
      <c r="Q42" s="30">
        <v>17.760000000000002</v>
      </c>
      <c r="R42" s="30"/>
      <c r="S42" s="30"/>
      <c r="T42" s="30"/>
      <c r="U42" s="30"/>
      <c r="V42" s="30"/>
      <c r="W42" s="30">
        <v>34.67</v>
      </c>
    </row>
    <row r="43" spans="1:23" s="477" customFormat="1" ht="13.8" customHeight="1">
      <c r="A43" s="306" t="s">
        <v>620</v>
      </c>
      <c r="B43" s="468">
        <f>('Bilans d''énergie 2010-2020'!C42+'Bilans d''énergie 2010-2020'!C43)*11.63</f>
        <v>2522.547</v>
      </c>
      <c r="C43" s="157">
        <f>B43</f>
        <v>2522.547</v>
      </c>
      <c r="D43" s="468">
        <f>$B$43*D40*(1-D41)*D34/$B$34</f>
        <v>3233.5346320742165</v>
      </c>
      <c r="E43" s="468">
        <f t="shared" ref="E43:I43" si="12">$B$43*E40*(1-E41)*E34/$B$34</f>
        <v>3997.554039744663</v>
      </c>
      <c r="F43" s="468">
        <f t="shared" si="12"/>
        <v>3997.3226669966234</v>
      </c>
      <c r="G43" s="468">
        <f t="shared" si="12"/>
        <v>3997.1517779413084</v>
      </c>
      <c r="H43" s="468">
        <f t="shared" si="12"/>
        <v>3999.8242118082885</v>
      </c>
      <c r="I43" s="468">
        <f t="shared" si="12"/>
        <v>4002.8150432074708</v>
      </c>
      <c r="J43" s="476"/>
      <c r="O43" s="132"/>
      <c r="P43" s="467"/>
      <c r="Q43" s="467"/>
      <c r="R43" s="467"/>
      <c r="S43" s="467"/>
      <c r="T43" s="467"/>
      <c r="U43" s="467"/>
      <c r="V43" s="467"/>
      <c r="W43" s="467"/>
    </row>
    <row r="44" spans="1:23" s="477" customFormat="1" ht="13.8" customHeight="1">
      <c r="A44" s="306" t="s">
        <v>605</v>
      </c>
      <c r="B44" s="468">
        <f>'Bilans d''énergie 2010-2020'!C44*11.63</f>
        <v>148.864</v>
      </c>
      <c r="C44" s="157">
        <f>B44</f>
        <v>148.864</v>
      </c>
      <c r="D44" s="468">
        <f>$B$44*D40*(1-D41)*(D36+D33)/($B$36+$B$33)</f>
        <v>173.53364960474582</v>
      </c>
      <c r="E44" s="468">
        <f t="shared" ref="E44:I44" si="13">$B$44*E40*(1-E41)*(E36+E33)/($B$36+$B$33)</f>
        <v>188.44393486879176</v>
      </c>
      <c r="F44" s="468">
        <f t="shared" si="13"/>
        <v>204.57811138669769</v>
      </c>
      <c r="G44" s="468">
        <f t="shared" si="13"/>
        <v>222.02942598701588</v>
      </c>
      <c r="H44" s="468">
        <f t="shared" si="13"/>
        <v>240.89727772210856</v>
      </c>
      <c r="I44" s="468">
        <f t="shared" si="13"/>
        <v>261.28748839942676</v>
      </c>
      <c r="J44" s="476"/>
      <c r="O44" s="132"/>
      <c r="P44" s="467"/>
      <c r="Q44" s="467"/>
      <c r="R44" s="467"/>
      <c r="S44" s="467"/>
      <c r="T44" s="467"/>
      <c r="U44" s="467"/>
      <c r="V44" s="467"/>
      <c r="W44" s="467"/>
    </row>
    <row r="45" spans="1:23" s="477" customFormat="1" ht="13.8" customHeight="1">
      <c r="A45" s="306" t="s">
        <v>630</v>
      </c>
      <c r="B45" s="468">
        <f>'Bilan d''énergie'!C49</f>
        <v>1168.8150000000001</v>
      </c>
      <c r="C45" s="157">
        <f>'Bilans d''énergie 2010-2020'!B41*11.63</f>
        <v>1168.8150000000001</v>
      </c>
      <c r="D45" s="468">
        <f>$B$45*(1-D41)*D40*(D34)/($B$34)</f>
        <v>1498.2491033815525</v>
      </c>
      <c r="E45" s="468">
        <f t="shared" ref="E45:I45" si="14">$B$45*(1-E41)*E40*(E34)/($B$34)</f>
        <v>1852.2553296188964</v>
      </c>
      <c r="F45" s="468">
        <f t="shared" si="14"/>
        <v>1852.1481237121284</v>
      </c>
      <c r="G45" s="468">
        <f t="shared" si="14"/>
        <v>1852.0689427528882</v>
      </c>
      <c r="H45" s="468">
        <f t="shared" si="14"/>
        <v>1853.3072074077133</v>
      </c>
      <c r="I45" s="468">
        <f t="shared" si="14"/>
        <v>1854.6930006562975</v>
      </c>
      <c r="J45" s="476"/>
      <c r="O45" s="132"/>
      <c r="P45" s="467"/>
      <c r="Q45" s="467"/>
      <c r="R45" s="467"/>
      <c r="S45" s="467"/>
      <c r="T45" s="467"/>
      <c r="U45" s="467"/>
      <c r="V45" s="467"/>
      <c r="W45" s="467"/>
    </row>
    <row r="46" spans="1:23" ht="13.8" customHeight="1">
      <c r="A46" s="306" t="s">
        <v>221</v>
      </c>
      <c r="B46" s="174">
        <f>K17</f>
        <v>2603.9570000000003</v>
      </c>
      <c r="C46" s="157">
        <f>L17</f>
        <v>2506.2650000000003</v>
      </c>
      <c r="D46" s="174">
        <f>D47+D48</f>
        <v>3323.088246059328</v>
      </c>
      <c r="E46" s="468">
        <f t="shared" ref="E46:I46" si="15">E47+E48</f>
        <v>4085.9272781085374</v>
      </c>
      <c r="F46" s="468">
        <f t="shared" si="15"/>
        <v>4099.5141649245743</v>
      </c>
      <c r="G46" s="468">
        <f t="shared" si="15"/>
        <v>4114.288161235897</v>
      </c>
      <c r="H46" s="468">
        <f t="shared" si="15"/>
        <v>4133.0664131130161</v>
      </c>
      <c r="I46" s="468">
        <f t="shared" si="15"/>
        <v>4153.4606898453849</v>
      </c>
      <c r="J46" s="304" t="s">
        <v>240</v>
      </c>
      <c r="K46" t="s">
        <v>415</v>
      </c>
      <c r="O46" s="132" t="s">
        <v>221</v>
      </c>
      <c r="P46" s="30">
        <v>412</v>
      </c>
      <c r="Q46" s="30">
        <v>313</v>
      </c>
      <c r="R46" s="30"/>
      <c r="S46" s="30"/>
      <c r="T46" s="30"/>
      <c r="U46" s="30"/>
      <c r="V46" s="30"/>
      <c r="W46" s="30">
        <v>610</v>
      </c>
    </row>
    <row r="47" spans="1:23" s="411" customFormat="1" ht="13.8" customHeight="1">
      <c r="A47" s="306" t="s">
        <v>620</v>
      </c>
      <c r="B47" s="174">
        <f>K18</f>
        <v>2476.5000665338603</v>
      </c>
      <c r="C47" s="157">
        <f>C46*$B$47/($B$47+$B$48)</f>
        <v>2383.5898362574671</v>
      </c>
      <c r="D47" s="157">
        <f>$B$47*D40*(D34)/($B$34)</f>
        <v>3174.5092287562288</v>
      </c>
      <c r="E47" s="157">
        <f t="shared" ref="E47:I47" si="16">$B$47*E40*(E34)/($B$34)</f>
        <v>3924.582116963672</v>
      </c>
      <c r="F47" s="157">
        <f t="shared" si="16"/>
        <v>3924.3549677268438</v>
      </c>
      <c r="G47" s="157">
        <f t="shared" si="16"/>
        <v>3924.187198104768</v>
      </c>
      <c r="H47" s="157">
        <f t="shared" si="16"/>
        <v>3926.8108489819901</v>
      </c>
      <c r="I47" s="157">
        <f t="shared" si="16"/>
        <v>3929.7470853173554</v>
      </c>
      <c r="J47" s="304" t="s">
        <v>628</v>
      </c>
      <c r="O47" s="132"/>
      <c r="P47" s="30"/>
      <c r="Q47" s="30"/>
      <c r="R47" s="30"/>
      <c r="S47" s="30"/>
      <c r="T47" s="30"/>
      <c r="U47" s="30"/>
      <c r="V47" s="30"/>
      <c r="W47" s="30"/>
    </row>
    <row r="48" spans="1:23" s="411" customFormat="1" ht="13.8" customHeight="1">
      <c r="A48" s="306" t="s">
        <v>605</v>
      </c>
      <c r="B48" s="174">
        <f>K19</f>
        <v>127.4569334661402</v>
      </c>
      <c r="C48" s="157">
        <f>$B$48*C36/$B$36*C40</f>
        <v>124.77259710044531</v>
      </c>
      <c r="D48" s="157">
        <f>$B$48*(D36+D33)/($B$36+$B$33)*D40</f>
        <v>148.57901730309931</v>
      </c>
      <c r="E48" s="157">
        <f>$B$48*(E36+E33)/($B$36+$B$33)*E40</f>
        <v>161.34516114486544</v>
      </c>
      <c r="F48" s="157">
        <f t="shared" ref="F48:I48" si="17">$B$48*(F36+F33)/($B$36+$B$33)*F40</f>
        <v>175.15919719773046</v>
      </c>
      <c r="G48" s="157">
        <f t="shared" si="17"/>
        <v>190.10096313112899</v>
      </c>
      <c r="H48" s="157">
        <f t="shared" si="17"/>
        <v>206.2555641310262</v>
      </c>
      <c r="I48" s="157">
        <f t="shared" si="17"/>
        <v>223.71360452802972</v>
      </c>
      <c r="J48" s="304"/>
      <c r="K48" s="409"/>
      <c r="L48" s="409"/>
      <c r="O48" s="132"/>
      <c r="P48" s="30"/>
      <c r="Q48" s="30"/>
      <c r="R48" s="30"/>
      <c r="S48" s="30"/>
      <c r="T48" s="30"/>
      <c r="U48" s="30"/>
      <c r="V48" s="30"/>
      <c r="W48" s="30"/>
    </row>
    <row r="49" spans="1:23" ht="13.8" customHeight="1">
      <c r="A49" s="30" t="s">
        <v>241</v>
      </c>
      <c r="B49" s="174">
        <f>K21</f>
        <v>180.26500000000001</v>
      </c>
      <c r="C49" s="174">
        <f>B49</f>
        <v>180.26500000000001</v>
      </c>
      <c r="D49" s="174">
        <f>$B49*(D34)/($B$34)*D40</f>
        <v>231.07324480013997</v>
      </c>
      <c r="E49" s="468">
        <f t="shared" ref="E49:I49" si="18">$B49*(E34)/($B$34)*E40</f>
        <v>285.67121999097407</v>
      </c>
      <c r="F49" s="468">
        <f t="shared" si="18"/>
        <v>285.65468574664675</v>
      </c>
      <c r="G49" s="468">
        <f t="shared" si="18"/>
        <v>285.64247375790814</v>
      </c>
      <c r="H49" s="468">
        <f t="shared" si="18"/>
        <v>285.83344989870204</v>
      </c>
      <c r="I49" s="468">
        <f t="shared" si="18"/>
        <v>286.0471792056976</v>
      </c>
      <c r="J49" s="304" t="s">
        <v>399</v>
      </c>
      <c r="K49" t="s">
        <v>415</v>
      </c>
      <c r="O49" s="30" t="s">
        <v>241</v>
      </c>
      <c r="P49" s="30"/>
      <c r="Q49" s="160">
        <v>23.03</v>
      </c>
      <c r="R49" s="30"/>
      <c r="S49" s="30"/>
      <c r="T49" s="30"/>
      <c r="U49" s="30"/>
      <c r="V49" s="30"/>
      <c r="W49" s="30">
        <v>44.952869724770601</v>
      </c>
    </row>
    <row r="50" spans="1:23" s="466" customFormat="1" ht="13.8" customHeight="1">
      <c r="A50" s="467" t="s">
        <v>617</v>
      </c>
      <c r="B50" s="468">
        <f>K22</f>
        <v>1743.3370000000002</v>
      </c>
      <c r="C50" s="468">
        <f>B50</f>
        <v>1743.3370000000002</v>
      </c>
      <c r="D50" s="468">
        <f>$B$50*(D34)/($B$34)*D40</f>
        <v>2234.7018964865151</v>
      </c>
      <c r="E50" s="468">
        <f t="shared" ref="E50:I50" si="19">$B$50*(E34)/($B$34)*E40</f>
        <v>2762.7171533320657</v>
      </c>
      <c r="F50" s="468">
        <f t="shared" si="19"/>
        <v>2762.557251188538</v>
      </c>
      <c r="G50" s="468">
        <f t="shared" si="19"/>
        <v>2762.4391494393831</v>
      </c>
      <c r="H50" s="468">
        <f t="shared" si="19"/>
        <v>2764.2860735364802</v>
      </c>
      <c r="I50" s="468">
        <f t="shared" si="19"/>
        <v>2766.3530427699402</v>
      </c>
      <c r="J50" s="476" t="s">
        <v>629</v>
      </c>
      <c r="O50" s="467"/>
      <c r="P50" s="467"/>
      <c r="Q50" s="469"/>
      <c r="R50" s="467"/>
      <c r="S50" s="467"/>
      <c r="T50" s="467"/>
      <c r="U50" s="467"/>
      <c r="V50" s="467"/>
      <c r="W50" s="467"/>
    </row>
    <row r="51" spans="1:23" ht="13.8" customHeight="1">
      <c r="A51" s="30" t="s">
        <v>242</v>
      </c>
      <c r="B51" s="174">
        <f>K23</f>
        <v>0</v>
      </c>
      <c r="C51" s="174">
        <f>L23</f>
        <v>0</v>
      </c>
      <c r="D51" s="174">
        <f t="shared" ref="D51:I51" si="20">$B51*D39/$B39</f>
        <v>0</v>
      </c>
      <c r="E51" s="174">
        <f t="shared" si="20"/>
        <v>0</v>
      </c>
      <c r="F51" s="174">
        <f t="shared" si="20"/>
        <v>0</v>
      </c>
      <c r="G51" s="174">
        <f t="shared" si="20"/>
        <v>0</v>
      </c>
      <c r="H51" s="174">
        <f t="shared" si="20"/>
        <v>0</v>
      </c>
      <c r="I51" s="302">
        <f t="shared" si="20"/>
        <v>0</v>
      </c>
      <c r="J51" s="304"/>
      <c r="K51" t="s">
        <v>415</v>
      </c>
      <c r="O51" s="30" t="s">
        <v>242</v>
      </c>
      <c r="P51" s="30"/>
      <c r="Q51" s="160">
        <v>2.4900000000000002</v>
      </c>
      <c r="R51" s="30"/>
      <c r="S51" s="30"/>
      <c r="T51" s="30"/>
      <c r="U51" s="30"/>
      <c r="V51" s="30"/>
      <c r="W51" s="30">
        <v>4.8602972477064199</v>
      </c>
    </row>
    <row r="52" spans="1:23" ht="13.8" customHeight="1">
      <c r="A52" s="30" t="s">
        <v>243</v>
      </c>
      <c r="B52" s="174">
        <f>K24</f>
        <v>0</v>
      </c>
      <c r="C52" s="174">
        <f>L24</f>
        <v>0</v>
      </c>
      <c r="D52" s="174">
        <f t="shared" ref="D52:I52" si="21">$B52*D39/$B39</f>
        <v>0</v>
      </c>
      <c r="E52" s="174">
        <f t="shared" si="21"/>
        <v>0</v>
      </c>
      <c r="F52" s="174">
        <f t="shared" si="21"/>
        <v>0</v>
      </c>
      <c r="G52" s="174">
        <f t="shared" si="21"/>
        <v>0</v>
      </c>
      <c r="H52" s="174">
        <f t="shared" si="21"/>
        <v>0</v>
      </c>
      <c r="I52" s="302">
        <f t="shared" si="21"/>
        <v>0</v>
      </c>
      <c r="J52" s="304"/>
      <c r="K52" t="s">
        <v>415</v>
      </c>
      <c r="O52" s="30" t="s">
        <v>243</v>
      </c>
      <c r="P52" s="30"/>
      <c r="Q52" s="160">
        <v>20.13</v>
      </c>
      <c r="R52" s="30"/>
      <c r="S52" s="30"/>
      <c r="T52" s="30"/>
      <c r="U52" s="30"/>
      <c r="V52" s="30"/>
      <c r="W52" s="30">
        <v>39.292282568807302</v>
      </c>
    </row>
    <row r="53" spans="1:23" s="477" customFormat="1" ht="13.8" customHeight="1">
      <c r="A53" s="467" t="s">
        <v>23</v>
      </c>
      <c r="B53" s="468">
        <f>B42+B45+B46+B49+B50</f>
        <v>8368.9480000000021</v>
      </c>
      <c r="C53" s="468">
        <f t="shared" ref="C53:I53" si="22">C42+C45+C46+C49+C50</f>
        <v>8271.2560000000012</v>
      </c>
      <c r="D53" s="468">
        <f t="shared" si="22"/>
        <v>10694.180772406497</v>
      </c>
      <c r="E53" s="468">
        <f t="shared" si="22"/>
        <v>13172.568955663928</v>
      </c>
      <c r="F53" s="468">
        <f t="shared" si="22"/>
        <v>13201.77500395521</v>
      </c>
      <c r="G53" s="468">
        <f t="shared" si="22"/>
        <v>13233.619931114397</v>
      </c>
      <c r="H53" s="468">
        <f t="shared" si="22"/>
        <v>13277.21463348631</v>
      </c>
      <c r="I53" s="468">
        <f t="shared" si="22"/>
        <v>13324.656444084218</v>
      </c>
      <c r="J53" s="476"/>
      <c r="O53" s="185"/>
      <c r="P53" s="185"/>
      <c r="Q53" s="479"/>
      <c r="R53" s="185"/>
      <c r="S53" s="185"/>
      <c r="T53" s="185"/>
      <c r="U53" s="185"/>
      <c r="V53" s="185"/>
      <c r="W53" s="185"/>
    </row>
    <row r="54" spans="1:23" ht="50.4" customHeight="1">
      <c r="A54" s="583" t="s">
        <v>645</v>
      </c>
      <c r="B54" s="583"/>
      <c r="C54" s="583"/>
      <c r="D54" s="583"/>
      <c r="E54" s="583"/>
      <c r="F54" s="583"/>
      <c r="G54" s="583"/>
      <c r="H54" s="583"/>
      <c r="I54" s="583"/>
      <c r="J54" s="583"/>
      <c r="K54" t="s">
        <v>415</v>
      </c>
      <c r="Q54" s="159">
        <v>2018</v>
      </c>
    </row>
    <row r="55" spans="1:23" ht="13.8" customHeight="1">
      <c r="D55" s="409">
        <f>D42+D45+D46+D51</f>
        <v>8228.4056311198419</v>
      </c>
      <c r="E55">
        <f>D55*D69</f>
        <v>7591.3677758073381</v>
      </c>
      <c r="I55">
        <f>I53*I69/0.9</f>
        <v>8883.1042960561444</v>
      </c>
    </row>
    <row r="56" spans="1:23" ht="13.8" customHeight="1">
      <c r="A56" s="559" t="s">
        <v>156</v>
      </c>
      <c r="B56" s="559"/>
      <c r="C56" s="559"/>
      <c r="D56" s="559"/>
      <c r="E56" s="559"/>
      <c r="F56" s="559"/>
      <c r="G56" s="559"/>
      <c r="H56" s="559"/>
      <c r="I56" s="559"/>
      <c r="J56" s="559"/>
      <c r="O56" s="559" t="s">
        <v>157</v>
      </c>
      <c r="P56" s="559"/>
      <c r="Q56" s="559"/>
      <c r="R56" s="559"/>
      <c r="S56" s="559"/>
      <c r="T56" s="559"/>
      <c r="U56" s="559"/>
      <c r="V56" s="559"/>
      <c r="W56" s="559"/>
    </row>
    <row r="57" spans="1:23" ht="13.8" customHeight="1"/>
    <row r="58" spans="1:23" ht="13.8" customHeight="1">
      <c r="A58" s="185"/>
      <c r="B58" s="30">
        <v>2019</v>
      </c>
      <c r="C58" s="30">
        <v>2020</v>
      </c>
      <c r="D58" s="30">
        <v>2025</v>
      </c>
      <c r="E58" s="30">
        <v>2030</v>
      </c>
      <c r="F58" s="30">
        <v>2035</v>
      </c>
      <c r="G58" s="30">
        <v>2040</v>
      </c>
      <c r="H58" s="30">
        <v>2045</v>
      </c>
      <c r="I58" s="30">
        <v>2050</v>
      </c>
      <c r="J58" s="296" t="s">
        <v>394</v>
      </c>
      <c r="O58" s="185"/>
      <c r="P58" s="84">
        <v>2011</v>
      </c>
      <c r="Q58" s="30">
        <v>2020</v>
      </c>
      <c r="R58" s="30">
        <v>2025</v>
      </c>
      <c r="S58" s="30">
        <v>2030</v>
      </c>
      <c r="T58" s="30">
        <v>2035</v>
      </c>
      <c r="U58" s="30">
        <v>2040</v>
      </c>
      <c r="V58" s="30">
        <v>2045</v>
      </c>
      <c r="W58" s="30">
        <v>2050</v>
      </c>
    </row>
    <row r="59" spans="1:23" ht="13.8" customHeight="1">
      <c r="A59" s="30" t="s">
        <v>212</v>
      </c>
      <c r="B59" s="152">
        <f t="shared" ref="B59:I59" si="23">B30</f>
        <v>0.08</v>
      </c>
      <c r="C59" s="152">
        <f t="shared" si="23"/>
        <v>0.09</v>
      </c>
      <c r="D59" s="152">
        <f t="shared" si="23"/>
        <v>0.09</v>
      </c>
      <c r="E59" s="152">
        <f t="shared" si="23"/>
        <v>0.09</v>
      </c>
      <c r="F59" s="152">
        <f t="shared" si="23"/>
        <v>0.09</v>
      </c>
      <c r="G59" s="152">
        <f t="shared" si="23"/>
        <v>0.09</v>
      </c>
      <c r="H59" s="152">
        <f t="shared" si="23"/>
        <v>0.09</v>
      </c>
      <c r="I59" s="152">
        <f t="shared" si="23"/>
        <v>0.09</v>
      </c>
      <c r="J59" s="308" t="s">
        <v>229</v>
      </c>
      <c r="K59" t="s">
        <v>415</v>
      </c>
      <c r="O59" s="30" t="s">
        <v>212</v>
      </c>
      <c r="P59" s="30">
        <v>4.3999999999999997E-2</v>
      </c>
      <c r="Q59" s="30"/>
      <c r="R59" s="30"/>
      <c r="S59" s="30"/>
      <c r="T59" s="30"/>
      <c r="U59" s="30"/>
      <c r="V59" s="30"/>
      <c r="W59" s="30"/>
    </row>
    <row r="60" spans="1:23" s="530" customFormat="1" ht="13.8" customHeight="1">
      <c r="A60" s="467" t="s">
        <v>602</v>
      </c>
      <c r="B60" s="152">
        <f>B31</f>
        <v>7.0000000000000007E-2</v>
      </c>
      <c r="C60" s="152">
        <f>C31</f>
        <v>7.0000000000000007E-2</v>
      </c>
      <c r="D60" s="152">
        <f t="shared" ref="D60:I60" si="24">D31</f>
        <v>8.1250000000000003E-2</v>
      </c>
      <c r="E60" s="152">
        <f t="shared" si="24"/>
        <v>9.2499999999999999E-2</v>
      </c>
      <c r="F60" s="152">
        <f t="shared" si="24"/>
        <v>8.5199999999999998E-2</v>
      </c>
      <c r="G60" s="152">
        <f t="shared" si="24"/>
        <v>7.85E-2</v>
      </c>
      <c r="H60" s="152">
        <f t="shared" si="24"/>
        <v>7.2400000000000006E-2</v>
      </c>
      <c r="I60" s="152">
        <f t="shared" si="24"/>
        <v>6.6799999999999998E-2</v>
      </c>
      <c r="J60" s="308"/>
      <c r="O60" s="467"/>
      <c r="P60" s="467"/>
      <c r="Q60" s="467"/>
      <c r="R60" s="467"/>
      <c r="S60" s="467"/>
      <c r="T60" s="467"/>
      <c r="U60" s="467"/>
      <c r="V60" s="467"/>
      <c r="W60" s="467"/>
    </row>
    <row r="61" spans="1:23" ht="13.8" customHeight="1">
      <c r="A61" s="30" t="s">
        <v>426</v>
      </c>
      <c r="B61" s="30">
        <f>B32</f>
        <v>8430.2800000000007</v>
      </c>
      <c r="C61" s="30">
        <f>C32</f>
        <v>8279.44</v>
      </c>
      <c r="D61" s="30">
        <f t="shared" ref="D61:I61" si="25">D32</f>
        <v>9493.8645198729155</v>
      </c>
      <c r="E61" s="30">
        <f t="shared" si="25"/>
        <v>10481.993564573268</v>
      </c>
      <c r="F61" s="30">
        <f t="shared" si="25"/>
        <v>11572.967873911286</v>
      </c>
      <c r="G61" s="30">
        <f t="shared" si="25"/>
        <v>12777.491665635769</v>
      </c>
      <c r="H61" s="30">
        <f t="shared" si="25"/>
        <v>14107.383261076446</v>
      </c>
      <c r="I61" s="30">
        <f t="shared" si="25"/>
        <v>15575.691041939514</v>
      </c>
      <c r="J61" s="308" t="s">
        <v>230</v>
      </c>
      <c r="K61" t="s">
        <v>415</v>
      </c>
      <c r="O61" s="30" t="s">
        <v>231</v>
      </c>
      <c r="P61" s="30">
        <v>15487.057199999999</v>
      </c>
      <c r="Q61" s="30"/>
      <c r="R61" s="30"/>
      <c r="S61" s="30"/>
      <c r="T61" s="30"/>
      <c r="U61" s="30"/>
      <c r="V61" s="30"/>
      <c r="W61" s="30"/>
    </row>
    <row r="62" spans="1:23" ht="13.8" customHeight="1">
      <c r="A62" s="30" t="s">
        <v>233</v>
      </c>
      <c r="B62" s="157">
        <f>B59*B61</f>
        <v>674.42240000000004</v>
      </c>
      <c r="C62" s="157">
        <f t="shared" ref="C62:I62" si="26">C59*C61</f>
        <v>745.14959999999996</v>
      </c>
      <c r="D62" s="157">
        <f t="shared" si="26"/>
        <v>854.44780678856239</v>
      </c>
      <c r="E62" s="157">
        <f t="shared" si="26"/>
        <v>943.37942081159406</v>
      </c>
      <c r="F62" s="157">
        <f t="shared" si="26"/>
        <v>1041.5671086520158</v>
      </c>
      <c r="G62" s="157">
        <f t="shared" si="26"/>
        <v>1149.9742499072192</v>
      </c>
      <c r="H62" s="157">
        <f t="shared" si="26"/>
        <v>1269.6644934968801</v>
      </c>
      <c r="I62" s="157">
        <f t="shared" si="26"/>
        <v>1401.8121937745561</v>
      </c>
      <c r="J62" s="308"/>
      <c r="K62" t="s">
        <v>415</v>
      </c>
      <c r="O62" s="30" t="s">
        <v>233</v>
      </c>
      <c r="P62" s="30">
        <v>681.43051679999996</v>
      </c>
      <c r="Q62" s="30"/>
      <c r="R62" s="30"/>
      <c r="S62" s="30"/>
      <c r="T62" s="30"/>
      <c r="U62" s="30"/>
      <c r="V62" s="30"/>
      <c r="W62" s="30"/>
    </row>
    <row r="63" spans="1:23" s="530" customFormat="1" ht="13.8" customHeight="1">
      <c r="A63" s="467" t="s">
        <v>608</v>
      </c>
      <c r="B63" s="157">
        <f>B60*B61</f>
        <v>590.1196000000001</v>
      </c>
      <c r="C63" s="157">
        <f t="shared" ref="C63:I63" si="27">C60*C61</f>
        <v>579.56080000000009</v>
      </c>
      <c r="D63" s="157">
        <f t="shared" si="27"/>
        <v>771.37649223967446</v>
      </c>
      <c r="E63" s="157">
        <f t="shared" si="27"/>
        <v>969.58440472302721</v>
      </c>
      <c r="F63" s="157">
        <f t="shared" si="27"/>
        <v>986.01686285724156</v>
      </c>
      <c r="G63" s="157">
        <f t="shared" si="27"/>
        <v>1003.0330957524079</v>
      </c>
      <c r="H63" s="157">
        <f t="shared" si="27"/>
        <v>1021.3745481019348</v>
      </c>
      <c r="I63" s="157">
        <f t="shared" si="27"/>
        <v>1040.4561616015594</v>
      </c>
      <c r="J63" s="308"/>
      <c r="O63" s="467"/>
      <c r="P63" s="467"/>
      <c r="Q63" s="467"/>
      <c r="R63" s="467"/>
      <c r="S63" s="467"/>
      <c r="T63" s="467"/>
      <c r="U63" s="467"/>
      <c r="V63" s="467"/>
      <c r="W63" s="467"/>
    </row>
    <row r="64" spans="1:23" ht="13.8" customHeight="1">
      <c r="A64" s="30" t="s">
        <v>214</v>
      </c>
      <c r="B64" s="152">
        <f t="shared" ref="B64:I64" si="28">B35</f>
        <v>0.1</v>
      </c>
      <c r="C64" s="152">
        <f t="shared" si="28"/>
        <v>0.1</v>
      </c>
      <c r="D64" s="152">
        <f t="shared" si="28"/>
        <v>0.1</v>
      </c>
      <c r="E64" s="152">
        <f t="shared" si="28"/>
        <v>0.1</v>
      </c>
      <c r="F64" s="152">
        <f t="shared" si="28"/>
        <v>0.1</v>
      </c>
      <c r="G64" s="152">
        <f t="shared" si="28"/>
        <v>0.1</v>
      </c>
      <c r="H64" s="152">
        <f t="shared" si="28"/>
        <v>0.1</v>
      </c>
      <c r="I64" s="152">
        <f t="shared" si="28"/>
        <v>0.1</v>
      </c>
      <c r="J64" s="308" t="s">
        <v>229</v>
      </c>
      <c r="K64" t="s">
        <v>415</v>
      </c>
      <c r="O64" s="30" t="s">
        <v>214</v>
      </c>
      <c r="P64" s="30">
        <v>6.6000000000000003E-2</v>
      </c>
      <c r="Q64" s="30"/>
      <c r="R64" s="30"/>
      <c r="S64" s="30"/>
      <c r="T64" s="30"/>
      <c r="U64" s="30"/>
      <c r="V64" s="30"/>
      <c r="W64" s="30"/>
    </row>
    <row r="65" spans="1:23" ht="13.8" customHeight="1">
      <c r="A65" s="30" t="s">
        <v>234</v>
      </c>
      <c r="B65" s="157">
        <f>B61*B64</f>
        <v>843.02800000000013</v>
      </c>
      <c r="C65" s="157">
        <f t="shared" ref="C65:I65" si="29">C61*C64</f>
        <v>827.94400000000007</v>
      </c>
      <c r="D65" s="157">
        <f t="shared" si="29"/>
        <v>949.38645198729159</v>
      </c>
      <c r="E65" s="157">
        <f t="shared" si="29"/>
        <v>1048.1993564573268</v>
      </c>
      <c r="F65" s="157">
        <f t="shared" si="29"/>
        <v>1157.2967873911286</v>
      </c>
      <c r="G65" s="157">
        <f t="shared" si="29"/>
        <v>1277.7491665635771</v>
      </c>
      <c r="H65" s="157">
        <f t="shared" si="29"/>
        <v>1410.7383261076448</v>
      </c>
      <c r="I65" s="157">
        <f t="shared" si="29"/>
        <v>1557.5691041939515</v>
      </c>
      <c r="J65" s="308"/>
      <c r="K65" t="s">
        <v>415</v>
      </c>
      <c r="O65" s="30" t="s">
        <v>234</v>
      </c>
      <c r="P65" s="30">
        <v>1022.1457752</v>
      </c>
      <c r="Q65" s="30"/>
      <c r="R65" s="30"/>
      <c r="S65" s="30"/>
      <c r="T65" s="30"/>
      <c r="U65" s="30"/>
      <c r="V65" s="30"/>
      <c r="W65" s="30"/>
    </row>
    <row r="66" spans="1:23" ht="13.8" customHeight="1">
      <c r="J66" s="309"/>
      <c r="P66" t="s">
        <v>244</v>
      </c>
    </row>
    <row r="67" spans="1:23" ht="13.8" customHeight="1">
      <c r="B67" s="30">
        <v>2019</v>
      </c>
      <c r="C67" s="30">
        <v>2020</v>
      </c>
      <c r="D67" s="30">
        <v>2025</v>
      </c>
      <c r="E67" s="30">
        <v>2030</v>
      </c>
      <c r="F67" s="30">
        <v>2035</v>
      </c>
      <c r="G67" s="30">
        <v>2040</v>
      </c>
      <c r="H67" s="30">
        <v>2045</v>
      </c>
      <c r="I67" s="192">
        <v>2050</v>
      </c>
      <c r="J67" s="296" t="s">
        <v>394</v>
      </c>
      <c r="K67" t="s">
        <v>415</v>
      </c>
      <c r="P67" s="30">
        <v>2015</v>
      </c>
      <c r="Q67" s="30">
        <v>2020</v>
      </c>
      <c r="R67" s="30">
        <v>2025</v>
      </c>
      <c r="S67" s="30">
        <v>2030</v>
      </c>
      <c r="T67" s="30">
        <v>2035</v>
      </c>
      <c r="U67" s="30">
        <v>2040</v>
      </c>
      <c r="V67" s="30">
        <v>2045</v>
      </c>
      <c r="W67" s="30">
        <v>2050</v>
      </c>
    </row>
    <row r="68" spans="1:23" ht="13.8" customHeight="1">
      <c r="A68" s="132" t="s">
        <v>216</v>
      </c>
      <c r="B68" s="174">
        <f>SUM(B65,B62,B63)</f>
        <v>2107.5700000000002</v>
      </c>
      <c r="C68" s="468">
        <f t="shared" ref="C68:I68" si="30">SUM(C65,C62,C63)</f>
        <v>2152.6544000000004</v>
      </c>
      <c r="D68" s="468">
        <f t="shared" si="30"/>
        <v>2575.2107510155283</v>
      </c>
      <c r="E68" s="468">
        <f t="shared" si="30"/>
        <v>2961.163181991948</v>
      </c>
      <c r="F68" s="468">
        <f t="shared" si="30"/>
        <v>3184.8807589003859</v>
      </c>
      <c r="G68" s="468">
        <f t="shared" si="30"/>
        <v>3430.756512223204</v>
      </c>
      <c r="H68" s="468">
        <f t="shared" si="30"/>
        <v>3701.7773677064597</v>
      </c>
      <c r="I68" s="468">
        <f t="shared" si="30"/>
        <v>3999.837459570067</v>
      </c>
      <c r="J68" s="308"/>
      <c r="K68" t="s">
        <v>415</v>
      </c>
      <c r="O68" s="132" t="s">
        <v>216</v>
      </c>
      <c r="P68" s="30">
        <v>1703.576292</v>
      </c>
      <c r="Q68" s="30"/>
      <c r="R68" s="30"/>
      <c r="S68" s="30"/>
      <c r="T68" s="30"/>
      <c r="U68" s="30"/>
      <c r="V68" s="30"/>
      <c r="W68" s="30">
        <v>4420.68</v>
      </c>
    </row>
    <row r="69" spans="1:23" ht="13.8" customHeight="1">
      <c r="A69" s="132" t="s">
        <v>217</v>
      </c>
      <c r="B69" s="324">
        <v>1</v>
      </c>
      <c r="C69" s="324">
        <f>$B$69+($I69-$B$69)*1/31</f>
        <v>0.98709677419354835</v>
      </c>
      <c r="D69" s="324">
        <f>$B$69+($I69-$B$69)*6/31</f>
        <v>0.92258064516129035</v>
      </c>
      <c r="E69" s="324">
        <f>$B$69+($I69-$B$69)*11/31</f>
        <v>0.85806451612903223</v>
      </c>
      <c r="F69" s="324">
        <f>$B$69+($I69-$B$69)*16/31</f>
        <v>0.79354838709677422</v>
      </c>
      <c r="G69" s="324">
        <f>$B$69+($I69-$B$69)*21/31</f>
        <v>0.7290322580645161</v>
      </c>
      <c r="H69" s="324">
        <f>$B$69+($I69-$B$69)*26/31</f>
        <v>0.6645161290322581</v>
      </c>
      <c r="I69" s="325">
        <v>0.6</v>
      </c>
      <c r="J69" s="308" t="s">
        <v>400</v>
      </c>
      <c r="K69" t="s">
        <v>415</v>
      </c>
      <c r="O69" s="132" t="s">
        <v>217</v>
      </c>
      <c r="P69" s="30">
        <v>1</v>
      </c>
      <c r="Q69" s="30"/>
      <c r="R69" s="30"/>
      <c r="S69" s="30"/>
      <c r="T69" s="30"/>
      <c r="U69" s="30"/>
      <c r="V69" s="30"/>
      <c r="W69" s="30">
        <v>0.73</v>
      </c>
    </row>
    <row r="70" spans="1:23" ht="13.8" customHeight="1">
      <c r="A70" s="132" t="s">
        <v>218</v>
      </c>
      <c r="B70" s="324">
        <v>0</v>
      </c>
      <c r="C70" s="324">
        <f>$B$70+($I70-$B$70)*1/31</f>
        <v>2.4193548387096774E-2</v>
      </c>
      <c r="D70" s="324">
        <f>$B$70+($I70-$B$70)*6/31</f>
        <v>0.14516129032258066</v>
      </c>
      <c r="E70" s="324">
        <v>0.35</v>
      </c>
      <c r="F70" s="324">
        <f>$B$70+($I70-$B$70)*16/31</f>
        <v>0.38709677419354838</v>
      </c>
      <c r="G70" s="324">
        <f>$B$70+($I70-$B$70)*21/31</f>
        <v>0.50806451612903225</v>
      </c>
      <c r="H70" s="324">
        <f>$B$70+($I70-$B$70)*26/31</f>
        <v>0.62903225806451613</v>
      </c>
      <c r="I70" s="325">
        <v>0.75</v>
      </c>
      <c r="J70" s="308" t="s">
        <v>400</v>
      </c>
      <c r="K70" t="s">
        <v>415</v>
      </c>
      <c r="O70" s="132" t="s">
        <v>218</v>
      </c>
      <c r="P70" s="30">
        <v>0</v>
      </c>
      <c r="Q70" s="30"/>
      <c r="R70" s="30"/>
      <c r="S70" s="30"/>
      <c r="T70" s="30"/>
      <c r="U70" s="30"/>
      <c r="V70" s="30"/>
      <c r="W70" s="30">
        <v>0.5</v>
      </c>
    </row>
    <row r="71" spans="1:23" ht="13.8" customHeight="1">
      <c r="A71" s="132" t="s">
        <v>245</v>
      </c>
      <c r="B71" s="98">
        <v>0</v>
      </c>
      <c r="C71" s="98">
        <v>0</v>
      </c>
      <c r="D71" s="98">
        <v>0.1</v>
      </c>
      <c r="E71" s="98">
        <v>0.3</v>
      </c>
      <c r="F71" s="98">
        <v>0.35</v>
      </c>
      <c r="G71" s="98">
        <v>0.4</v>
      </c>
      <c r="H71" s="98">
        <v>0.45</v>
      </c>
      <c r="I71" s="303">
        <v>0.5</v>
      </c>
      <c r="J71" s="308" t="s">
        <v>401</v>
      </c>
      <c r="K71" t="s">
        <v>415</v>
      </c>
      <c r="O71" s="132" t="s">
        <v>239</v>
      </c>
      <c r="P71" s="30">
        <v>28.27</v>
      </c>
      <c r="Q71" s="30"/>
      <c r="R71" s="30"/>
      <c r="S71" s="30"/>
      <c r="T71" s="30"/>
      <c r="U71" s="30"/>
      <c r="V71" s="30"/>
      <c r="W71" s="30">
        <v>26.776028657013001</v>
      </c>
    </row>
    <row r="72" spans="1:23" s="530" customFormat="1" ht="13.8" customHeight="1">
      <c r="A72" s="306" t="s">
        <v>632</v>
      </c>
      <c r="B72" s="468">
        <f t="shared" ref="B72:C75" si="31">B42</f>
        <v>2672.5740000000005</v>
      </c>
      <c r="C72" s="468">
        <f t="shared" si="31"/>
        <v>2672.5740000000005</v>
      </c>
      <c r="D72" s="468">
        <f>D73+D74</f>
        <v>2466.0392037521615</v>
      </c>
      <c r="E72" s="468">
        <f t="shared" ref="E72:I72" si="32">E73+E74</f>
        <v>1363.6298029436105</v>
      </c>
      <c r="F72" s="468">
        <f t="shared" si="32"/>
        <v>1110.6187139143833</v>
      </c>
      <c r="G72" s="468">
        <f t="shared" si="32"/>
        <v>760.78007574605647</v>
      </c>
      <c r="H72" s="468">
        <f t="shared" si="32"/>
        <v>482.71594636670494</v>
      </c>
      <c r="I72" s="468">
        <f t="shared" si="32"/>
        <v>269.07553695782133</v>
      </c>
      <c r="J72" s="308"/>
      <c r="O72" s="132"/>
      <c r="P72" s="467"/>
      <c r="Q72" s="467"/>
      <c r="R72" s="467"/>
      <c r="S72" s="467"/>
      <c r="T72" s="467"/>
      <c r="U72" s="467"/>
      <c r="V72" s="467"/>
      <c r="W72" s="467"/>
    </row>
    <row r="73" spans="1:23" s="530" customFormat="1" ht="13.8" customHeight="1">
      <c r="A73" s="306" t="s">
        <v>620</v>
      </c>
      <c r="B73" s="468">
        <f t="shared" si="31"/>
        <v>2522.547</v>
      </c>
      <c r="C73" s="468">
        <f t="shared" si="31"/>
        <v>2522.547</v>
      </c>
      <c r="D73" s="468">
        <f t="shared" ref="D73:I73" si="33">$B$73*D69*(1-D70)*(1-D71)*$D$63/$B$63</f>
        <v>2340.4353861249406</v>
      </c>
      <c r="E73" s="468">
        <f t="shared" si="33"/>
        <v>1287.3509753945473</v>
      </c>
      <c r="F73" s="468">
        <f t="shared" si="33"/>
        <v>1042.4237654610229</v>
      </c>
      <c r="G73" s="468">
        <f t="shared" si="33"/>
        <v>709.53164958258401</v>
      </c>
      <c r="H73" s="468">
        <f t="shared" si="33"/>
        <v>447.06429847846988</v>
      </c>
      <c r="I73" s="468">
        <f t="shared" si="33"/>
        <v>247.30157959120243</v>
      </c>
      <c r="J73" s="308"/>
      <c r="O73" s="132"/>
      <c r="P73" s="467"/>
      <c r="Q73" s="467"/>
      <c r="R73" s="467"/>
      <c r="S73" s="467"/>
      <c r="T73" s="467"/>
      <c r="U73" s="467"/>
      <c r="V73" s="467"/>
      <c r="W73" s="467"/>
    </row>
    <row r="74" spans="1:23" s="530" customFormat="1" ht="13.8" customHeight="1">
      <c r="A74" s="306" t="s">
        <v>605</v>
      </c>
      <c r="B74" s="468">
        <f t="shared" si="31"/>
        <v>148.864</v>
      </c>
      <c r="C74" s="468">
        <f t="shared" si="31"/>
        <v>148.864</v>
      </c>
      <c r="D74" s="468">
        <f t="shared" ref="D74:I74" si="34">$B$74*D69*(1-D70)*(1-D71)*(D65+D62)/($B$65+$B$62)</f>
        <v>125.60381762722112</v>
      </c>
      <c r="E74" s="468">
        <f t="shared" si="34"/>
        <v>76.278827549063095</v>
      </c>
      <c r="F74" s="468">
        <f t="shared" si="34"/>
        <v>68.194948453360382</v>
      </c>
      <c r="G74" s="468">
        <f t="shared" si="34"/>
        <v>51.248426163472502</v>
      </c>
      <c r="H74" s="468">
        <f t="shared" si="34"/>
        <v>35.651647888235047</v>
      </c>
      <c r="I74" s="468">
        <f t="shared" si="34"/>
        <v>21.773957366618895</v>
      </c>
      <c r="J74" s="308"/>
      <c r="O74" s="132"/>
      <c r="P74" s="467"/>
      <c r="Q74" s="467"/>
      <c r="R74" s="467"/>
      <c r="S74" s="467"/>
      <c r="T74" s="467"/>
      <c r="U74" s="467"/>
      <c r="V74" s="467"/>
      <c r="W74" s="467"/>
    </row>
    <row r="75" spans="1:23" s="530" customFormat="1" ht="13.8" customHeight="1">
      <c r="A75" s="306" t="s">
        <v>630</v>
      </c>
      <c r="B75" s="468">
        <f t="shared" si="31"/>
        <v>1168.8150000000001</v>
      </c>
      <c r="C75" s="468">
        <f t="shared" si="31"/>
        <v>1168.8150000000001</v>
      </c>
      <c r="D75" s="468">
        <f t="shared" ref="D75:I75" si="35">$B$75*(1-D70)*(1-D71)*D69*D63/$B$63</f>
        <v>1084.434100071722</v>
      </c>
      <c r="E75" s="468">
        <f t="shared" si="35"/>
        <v>749.76074429356208</v>
      </c>
      <c r="F75" s="468">
        <f t="shared" si="35"/>
        <v>617.4030299154947</v>
      </c>
      <c r="G75" s="468">
        <f t="shared" si="35"/>
        <v>427.49116717476255</v>
      </c>
      <c r="H75" s="468">
        <f t="shared" si="35"/>
        <v>274.28062538526581</v>
      </c>
      <c r="I75" s="468">
        <f t="shared" si="35"/>
        <v>154.55775005469141</v>
      </c>
      <c r="J75" s="308"/>
      <c r="O75" s="132"/>
      <c r="P75" s="467"/>
      <c r="Q75" s="467"/>
      <c r="R75" s="467"/>
      <c r="S75" s="467"/>
      <c r="T75" s="467"/>
      <c r="U75" s="467"/>
      <c r="V75" s="467"/>
      <c r="W75" s="467"/>
    </row>
    <row r="76" spans="1:23" ht="13.8" customHeight="1">
      <c r="A76" s="306" t="s">
        <v>221</v>
      </c>
      <c r="B76" s="174">
        <f>K17</f>
        <v>2603.9570000000003</v>
      </c>
      <c r="C76" s="174">
        <f>L17</f>
        <v>2506.2650000000003</v>
      </c>
      <c r="D76" s="165">
        <f>D77+D78</f>
        <v>3440.4036778861682</v>
      </c>
      <c r="E76" s="165">
        <f t="shared" ref="E76:I76" si="36">E77+E78</f>
        <v>4405.0603022950927</v>
      </c>
      <c r="F76" s="165">
        <f t="shared" si="36"/>
        <v>4512.3583110787022</v>
      </c>
      <c r="G76" s="165">
        <f t="shared" si="36"/>
        <v>4887.3859182668648</v>
      </c>
      <c r="H76" s="165">
        <f t="shared" si="36"/>
        <v>5221.6910046202784</v>
      </c>
      <c r="I76" s="165">
        <f t="shared" si="36"/>
        <v>5499.1277005812517</v>
      </c>
      <c r="J76" s="308"/>
      <c r="K76" t="s">
        <v>416</v>
      </c>
      <c r="O76" s="132" t="s">
        <v>223</v>
      </c>
      <c r="P76" s="30">
        <v>145</v>
      </c>
      <c r="Q76" s="30"/>
      <c r="R76" s="30"/>
      <c r="S76" s="30"/>
      <c r="T76" s="30"/>
      <c r="U76" s="30"/>
      <c r="V76" s="30"/>
      <c r="W76" s="30">
        <v>0</v>
      </c>
    </row>
    <row r="77" spans="1:23" s="530" customFormat="1" ht="13.8" customHeight="1">
      <c r="A77" s="306" t="s">
        <v>620</v>
      </c>
      <c r="B77" s="468">
        <f>B47</f>
        <v>2476.5000665338603</v>
      </c>
      <c r="C77" s="468">
        <f>B77</f>
        <v>2476.5000665338603</v>
      </c>
      <c r="D77" s="165">
        <f>$B77*(D68/$B68)*D69+$B$73*D69*D70*1.1*(D68/$B68)</f>
        <v>3245.7950935996546</v>
      </c>
      <c r="E77" s="165">
        <f t="shared" ref="E77:I77" si="37">$B77*(E68/$B68)*E69+$B$73*E69*E70*1.1*(E68/$B68)</f>
        <v>4156.4954413347805</v>
      </c>
      <c r="F77" s="165">
        <f t="shared" si="37"/>
        <v>4257.8307346489792</v>
      </c>
      <c r="G77" s="165">
        <f t="shared" si="37"/>
        <v>4611.9919101151791</v>
      </c>
      <c r="H77" s="165">
        <f t="shared" si="37"/>
        <v>4927.7181040874029</v>
      </c>
      <c r="I77" s="165">
        <f t="shared" si="37"/>
        <v>5189.767714947714</v>
      </c>
      <c r="J77" s="308"/>
      <c r="O77" s="132"/>
      <c r="P77" s="467"/>
      <c r="Q77" s="467"/>
      <c r="R77" s="467"/>
      <c r="S77" s="467"/>
      <c r="T77" s="467"/>
      <c r="U77" s="467"/>
      <c r="V77" s="467"/>
      <c r="W77" s="467"/>
    </row>
    <row r="78" spans="1:23" s="530" customFormat="1" ht="13.8" customHeight="1">
      <c r="A78" s="306" t="s">
        <v>605</v>
      </c>
      <c r="B78" s="468">
        <f>B44</f>
        <v>148.864</v>
      </c>
      <c r="C78" s="468">
        <f>B78</f>
        <v>148.864</v>
      </c>
      <c r="D78" s="165">
        <f>$B78*(D68/$B68)*D69+$B$74*D69*D70*1.1*(D68/$B68)</f>
        <v>194.60858428651363</v>
      </c>
      <c r="E78" s="165">
        <f t="shared" ref="E78:I78" si="38">$B78*(E68/$B68)*E69+$B$74*E69*E70*1.1*(E68/$B68)</f>
        <v>248.5648609603125</v>
      </c>
      <c r="F78" s="165">
        <f t="shared" si="38"/>
        <v>254.52757642972276</v>
      </c>
      <c r="G78" s="165">
        <f t="shared" si="38"/>
        <v>275.3940081516854</v>
      </c>
      <c r="H78" s="165">
        <f t="shared" si="38"/>
        <v>293.97290053287566</v>
      </c>
      <c r="I78" s="165">
        <f t="shared" si="38"/>
        <v>309.35998563353769</v>
      </c>
      <c r="J78" s="308"/>
      <c r="O78" s="132"/>
      <c r="P78" s="467"/>
      <c r="Q78" s="467"/>
      <c r="R78" s="467"/>
      <c r="S78" s="467"/>
      <c r="T78" s="467"/>
      <c r="U78" s="467"/>
      <c r="V78" s="467"/>
      <c r="W78" s="467"/>
    </row>
    <row r="79" spans="1:23" ht="13.8" customHeight="1">
      <c r="A79" s="132" t="s">
        <v>223</v>
      </c>
      <c r="B79" s="320">
        <f>K20</f>
        <v>4208.1886098152936</v>
      </c>
      <c r="C79" s="320">
        <f>$B$79+($I$79-$B$79)*1/31</f>
        <v>4072.4405901438327</v>
      </c>
      <c r="D79" s="320">
        <f>$B$79+($I$79-$B$79)*6/31</f>
        <v>3393.700491786527</v>
      </c>
      <c r="E79" s="320">
        <f>$B$79+($I$79-$B$79)*11/31</f>
        <v>2714.9603934292218</v>
      </c>
      <c r="F79" s="320">
        <f>$B$79+($I$79-$B$79)*16/31</f>
        <v>2036.2202950719161</v>
      </c>
      <c r="G79" s="320">
        <f>$B$79+($I$79-$B$79)*21/31</f>
        <v>1357.4801967146109</v>
      </c>
      <c r="H79" s="320">
        <f>$B$79+($I$79-$B$79)*26/31</f>
        <v>678.74009835730567</v>
      </c>
      <c r="I79" s="326">
        <v>0</v>
      </c>
      <c r="J79" s="308" t="s">
        <v>402</v>
      </c>
      <c r="K79" t="s">
        <v>415</v>
      </c>
      <c r="O79" s="30" t="s">
        <v>241</v>
      </c>
      <c r="P79" s="30"/>
      <c r="Q79" s="30"/>
      <c r="R79" s="30"/>
      <c r="S79" s="30"/>
      <c r="T79" s="30"/>
      <c r="U79" s="30"/>
      <c r="V79" s="30"/>
      <c r="W79" s="30"/>
    </row>
    <row r="80" spans="1:23" ht="13.8" customHeight="1">
      <c r="A80" s="30" t="s">
        <v>241</v>
      </c>
      <c r="B80" s="174">
        <f>K21</f>
        <v>180.26500000000001</v>
      </c>
      <c r="C80" s="181">
        <f>B80</f>
        <v>180.26500000000001</v>
      </c>
      <c r="D80" s="165">
        <f>$B80*D68/$B68*D69*(1-D81)</f>
        <v>193.05014236827694</v>
      </c>
      <c r="E80" s="165">
        <f t="shared" ref="E80:I80" si="39">$B80*E68/$B68*E69*(1-E81)</f>
        <v>195.59340085719541</v>
      </c>
      <c r="F80" s="165">
        <f t="shared" si="39"/>
        <v>183.74474229940174</v>
      </c>
      <c r="G80" s="165">
        <f t="shared" si="39"/>
        <v>171.14177562970102</v>
      </c>
      <c r="H80" s="165">
        <f t="shared" si="39"/>
        <v>157.7998153442789</v>
      </c>
      <c r="I80" s="165">
        <f t="shared" si="39"/>
        <v>143.68817825872793</v>
      </c>
      <c r="J80" s="308"/>
      <c r="K80" t="s">
        <v>415</v>
      </c>
      <c r="O80" s="30" t="s">
        <v>242</v>
      </c>
      <c r="P80" s="30"/>
      <c r="Q80" s="30"/>
      <c r="R80" s="30"/>
      <c r="S80" s="30"/>
      <c r="T80" s="30"/>
      <c r="U80" s="30"/>
      <c r="V80" s="30"/>
      <c r="W80" s="30"/>
    </row>
    <row r="81" spans="1:23" ht="13.8" customHeight="1">
      <c r="A81" s="30" t="s">
        <v>246</v>
      </c>
      <c r="B81" s="320">
        <v>0</v>
      </c>
      <c r="C81" s="327">
        <v>0</v>
      </c>
      <c r="D81" s="327">
        <f>C81+($I81-$C81)/6</f>
        <v>4.9999999999999996E-2</v>
      </c>
      <c r="E81" s="327">
        <f>D81+($I81-$C81)/6</f>
        <v>9.9999999999999992E-2</v>
      </c>
      <c r="F81" s="327">
        <f>E81+($I81-$C81)/6</f>
        <v>0.15</v>
      </c>
      <c r="G81" s="327">
        <f>F81+($I81-$C81)/6</f>
        <v>0.19999999999999998</v>
      </c>
      <c r="H81" s="327">
        <f>G81+($I81-$C81)/6</f>
        <v>0.24999999999999997</v>
      </c>
      <c r="I81" s="328">
        <v>0.3</v>
      </c>
      <c r="J81" s="308" t="s">
        <v>403</v>
      </c>
      <c r="K81" t="s">
        <v>415</v>
      </c>
      <c r="O81" s="30" t="s">
        <v>243</v>
      </c>
      <c r="P81" s="30"/>
      <c r="Q81" s="30"/>
      <c r="R81" s="30"/>
      <c r="S81" s="30"/>
      <c r="T81" s="30"/>
      <c r="U81" s="30"/>
      <c r="V81" s="30"/>
      <c r="W81" s="30"/>
    </row>
    <row r="82" spans="1:23" s="530" customFormat="1" ht="13.8" customHeight="1">
      <c r="A82" s="467" t="s">
        <v>617</v>
      </c>
      <c r="B82" s="320">
        <f>B50</f>
        <v>1743.3370000000002</v>
      </c>
      <c r="C82" s="427">
        <f>B82</f>
        <v>1743.3370000000002</v>
      </c>
      <c r="D82" s="427">
        <f>$B$82*D63/$B$63*D69</f>
        <v>2102.3840210366557</v>
      </c>
      <c r="E82" s="427">
        <f t="shared" ref="E82:I82" si="40">$B$82*E63/$B$63*E69</f>
        <v>2457.8018822285267</v>
      </c>
      <c r="F82" s="427">
        <f t="shared" si="40"/>
        <v>2311.5274958924501</v>
      </c>
      <c r="G82" s="427">
        <f t="shared" si="40"/>
        <v>2160.2465320875449</v>
      </c>
      <c r="H82" s="427">
        <f t="shared" si="40"/>
        <v>2005.0807434806866</v>
      </c>
      <c r="I82" s="427">
        <f t="shared" si="40"/>
        <v>1844.2353618466266</v>
      </c>
      <c r="J82" s="308"/>
      <c r="O82" s="185"/>
      <c r="P82" s="185"/>
      <c r="Q82" s="185"/>
      <c r="R82" s="185"/>
      <c r="S82" s="185"/>
      <c r="T82" s="185"/>
      <c r="U82" s="185"/>
      <c r="V82" s="185"/>
      <c r="W82" s="185"/>
    </row>
    <row r="83" spans="1:23" s="530" customFormat="1" ht="13.8" customHeight="1">
      <c r="A83" s="467" t="s">
        <v>246</v>
      </c>
      <c r="B83" s="320">
        <v>0</v>
      </c>
      <c r="C83" s="327">
        <v>0</v>
      </c>
      <c r="D83" s="327">
        <v>0</v>
      </c>
      <c r="E83" s="327">
        <v>0</v>
      </c>
      <c r="F83" s="327">
        <v>0</v>
      </c>
      <c r="G83" s="327">
        <v>0</v>
      </c>
      <c r="H83" s="327">
        <v>0</v>
      </c>
      <c r="I83" s="327">
        <v>0</v>
      </c>
      <c r="J83" s="308"/>
      <c r="O83" s="185"/>
      <c r="P83" s="185"/>
      <c r="Q83" s="185"/>
      <c r="R83" s="185"/>
      <c r="S83" s="185"/>
      <c r="T83" s="185"/>
      <c r="U83" s="185"/>
      <c r="V83" s="185"/>
      <c r="W83" s="185"/>
    </row>
    <row r="84" spans="1:23" ht="13.8" customHeight="1">
      <c r="A84" s="30" t="s">
        <v>247</v>
      </c>
      <c r="B84" s="165">
        <f t="shared" ref="B84:I84" si="41">B81*B80</f>
        <v>0</v>
      </c>
      <c r="C84" s="165">
        <f t="shared" si="41"/>
        <v>0</v>
      </c>
      <c r="D84" s="165">
        <f t="shared" si="41"/>
        <v>9.6525071184138458</v>
      </c>
      <c r="E84" s="165">
        <f t="shared" si="41"/>
        <v>19.559340085719541</v>
      </c>
      <c r="F84" s="165">
        <f t="shared" si="41"/>
        <v>27.561711344910261</v>
      </c>
      <c r="G84" s="165">
        <f t="shared" si="41"/>
        <v>34.228355125940197</v>
      </c>
      <c r="H84" s="165">
        <f t="shared" si="41"/>
        <v>39.449953836069717</v>
      </c>
      <c r="I84" s="307">
        <f t="shared" si="41"/>
        <v>43.106453477618381</v>
      </c>
      <c r="J84" s="308"/>
      <c r="K84" t="s">
        <v>415</v>
      </c>
    </row>
    <row r="85" spans="1:23" ht="13.8" customHeight="1">
      <c r="A85" s="30" t="s">
        <v>242</v>
      </c>
      <c r="B85" s="39">
        <f>K23</f>
        <v>0</v>
      </c>
      <c r="C85" s="155">
        <f>L23</f>
        <v>0</v>
      </c>
      <c r="D85" s="161">
        <f>$B85*(D68/$B68) +$B$72*( 1-D70)*D69*D71*(D68/$B68)</f>
        <v>257.54257122078894</v>
      </c>
      <c r="E85" s="165">
        <f t="shared" ref="E85:I85" si="42">$B85*(E68/$B68) +$B$72*( 1-E70)*E69*E71*(E68/$B68)</f>
        <v>628.29647926966186</v>
      </c>
      <c r="F85" s="165">
        <f t="shared" si="42"/>
        <v>687.5024859880682</v>
      </c>
      <c r="G85" s="165">
        <f t="shared" si="42"/>
        <v>624.09760208689488</v>
      </c>
      <c r="H85" s="165">
        <f t="shared" si="42"/>
        <v>520.72953841039646</v>
      </c>
      <c r="I85" s="165">
        <f t="shared" si="42"/>
        <v>380.40948575870596</v>
      </c>
      <c r="J85" s="308" t="s">
        <v>248</v>
      </c>
      <c r="K85" t="s">
        <v>416</v>
      </c>
    </row>
    <row r="86" spans="1:23" ht="13.8" customHeight="1">
      <c r="A86" s="30" t="s">
        <v>243</v>
      </c>
      <c r="B86" s="39">
        <f>K24</f>
        <v>0</v>
      </c>
      <c r="C86" s="155">
        <f>L24</f>
        <v>0</v>
      </c>
      <c r="D86" s="161">
        <f t="shared" ref="D86:I86" si="43">$B86*D68/$B68</f>
        <v>0</v>
      </c>
      <c r="E86" s="161">
        <f t="shared" si="43"/>
        <v>0</v>
      </c>
      <c r="F86" s="161">
        <f t="shared" si="43"/>
        <v>0</v>
      </c>
      <c r="G86" s="161">
        <f t="shared" si="43"/>
        <v>0</v>
      </c>
      <c r="H86" s="161">
        <f t="shared" si="43"/>
        <v>0</v>
      </c>
      <c r="I86" s="307">
        <f t="shared" si="43"/>
        <v>0</v>
      </c>
      <c r="J86" s="308" t="s">
        <v>249</v>
      </c>
      <c r="K86" t="s">
        <v>415</v>
      </c>
    </row>
    <row r="87" spans="1:23" s="537" customFormat="1" ht="13.8" customHeight="1">
      <c r="A87" s="467" t="s">
        <v>23</v>
      </c>
      <c r="B87" s="468">
        <f>B72+B76+B75+B80+B82+B84+B85</f>
        <v>8368.9480000000021</v>
      </c>
      <c r="C87" s="468">
        <f t="shared" ref="C87:I87" si="44">C72+C76+C75+C80+C82+C84+C85</f>
        <v>8271.2560000000012</v>
      </c>
      <c r="D87" s="468">
        <f t="shared" si="44"/>
        <v>9553.5062234541874</v>
      </c>
      <c r="E87" s="468">
        <f t="shared" si="44"/>
        <v>9819.7019519733694</v>
      </c>
      <c r="F87" s="468">
        <f t="shared" si="44"/>
        <v>9450.7164904334113</v>
      </c>
      <c r="G87" s="468">
        <f t="shared" si="44"/>
        <v>9065.3714261177647</v>
      </c>
      <c r="H87" s="468">
        <f t="shared" si="44"/>
        <v>8701.7476274436813</v>
      </c>
      <c r="I87" s="468">
        <f t="shared" si="44"/>
        <v>8334.2004669354428</v>
      </c>
      <c r="J87" s="308"/>
    </row>
    <row r="88" spans="1:23">
      <c r="A88" s="584" t="s">
        <v>660</v>
      </c>
      <c r="B88" s="584"/>
      <c r="C88" s="584"/>
      <c r="D88" s="584"/>
      <c r="E88" s="584"/>
      <c r="F88" s="584"/>
      <c r="G88" s="584"/>
      <c r="H88" s="584"/>
      <c r="I88" s="584"/>
      <c r="J88" s="584"/>
      <c r="K88" t="s">
        <v>415</v>
      </c>
    </row>
    <row r="89" spans="1:23">
      <c r="D89" s="409">
        <f>C72+C75+C76+C85</f>
        <v>6347.6540000000005</v>
      </c>
      <c r="E89" s="409">
        <f>D72+D75+D76+D85</f>
        <v>7248.4195529308408</v>
      </c>
    </row>
    <row r="90" spans="1:23">
      <c r="B90" t="s">
        <v>657</v>
      </c>
      <c r="C90">
        <f>E77/(E73+E85+E77+E75)</f>
        <v>0.60928674172192387</v>
      </c>
      <c r="D90">
        <f>C90*C93</f>
        <v>0.41431498437090825</v>
      </c>
    </row>
    <row r="91" spans="1:23">
      <c r="B91" t="s">
        <v>658</v>
      </c>
      <c r="C91">
        <f>E85/(E73+E85+E77+E75)</f>
        <v>9.2099875987506297E-2</v>
      </c>
    </row>
    <row r="92" spans="1:23">
      <c r="E92">
        <f>D90+C91</f>
        <v>0.50641486035841454</v>
      </c>
    </row>
    <row r="93" spans="1:23">
      <c r="B93" t="s">
        <v>659</v>
      </c>
      <c r="C93">
        <f>'Prod Energie'!E70</f>
        <v>0.68</v>
      </c>
    </row>
  </sheetData>
  <mergeCells count="9">
    <mergeCell ref="A54:J54"/>
    <mergeCell ref="A25:M25"/>
    <mergeCell ref="A3:M3"/>
    <mergeCell ref="O24:W25"/>
    <mergeCell ref="A88:J88"/>
    <mergeCell ref="A27:J27"/>
    <mergeCell ref="A56:J56"/>
    <mergeCell ref="O27:W27"/>
    <mergeCell ref="O56:W56"/>
  </mergeCells>
  <pageMargins left="0.7" right="0.7"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X191"/>
  <sheetViews>
    <sheetView topLeftCell="A28" zoomScaleNormal="100" workbookViewId="0">
      <selection activeCell="G48" sqref="G48"/>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589" t="s">
        <v>405</v>
      </c>
      <c r="B2" s="589"/>
      <c r="C2" s="589"/>
      <c r="D2" s="589"/>
      <c r="E2" s="589"/>
      <c r="F2" s="589"/>
      <c r="G2" s="589"/>
      <c r="H2" s="589"/>
      <c r="I2" s="589"/>
      <c r="J2" s="589"/>
      <c r="K2" s="589"/>
    </row>
    <row r="4" spans="1:14">
      <c r="A4" s="559" t="s">
        <v>55</v>
      </c>
      <c r="B4" s="559"/>
      <c r="C4" s="559"/>
      <c r="D4" s="559"/>
      <c r="E4" s="559"/>
      <c r="F4" s="559"/>
      <c r="G4" s="559"/>
      <c r="H4" s="559"/>
      <c r="I4" s="559"/>
      <c r="J4" s="559"/>
      <c r="K4" s="559"/>
    </row>
    <row r="6" spans="1:14">
      <c r="A6" s="30"/>
      <c r="B6" s="30">
        <v>2010</v>
      </c>
      <c r="C6" s="30">
        <v>2011</v>
      </c>
      <c r="D6" s="30">
        <v>2012</v>
      </c>
      <c r="E6" s="30">
        <v>2013</v>
      </c>
      <c r="F6" s="30">
        <v>2014</v>
      </c>
      <c r="G6" s="30">
        <v>2015</v>
      </c>
      <c r="H6" s="30">
        <v>2016</v>
      </c>
      <c r="I6" s="30">
        <v>2017</v>
      </c>
      <c r="J6" s="30">
        <v>2018</v>
      </c>
      <c r="K6" s="30">
        <v>2019</v>
      </c>
      <c r="L6" s="30">
        <v>2020</v>
      </c>
      <c r="M6" s="295" t="s">
        <v>394</v>
      </c>
    </row>
    <row r="7" spans="1:14">
      <c r="A7" s="30" t="s">
        <v>250</v>
      </c>
      <c r="B7" s="43">
        <f>'Cadrage macroéconomique '!B5</f>
        <v>247400</v>
      </c>
      <c r="C7" s="43">
        <f>'Cadrage macroéconomique '!C5</f>
        <v>252100</v>
      </c>
      <c r="D7" s="43">
        <f>'Cadrage macroéconomique '!D5</f>
        <v>256600</v>
      </c>
      <c r="E7" s="43">
        <f>'Cadrage macroéconomique '!E5</f>
        <v>261400</v>
      </c>
      <c r="F7" s="43">
        <f>'Cadrage macroéconomique '!F5</f>
        <v>268767</v>
      </c>
      <c r="G7" s="43">
        <f>'Cadrage macroéconomique '!G5</f>
        <v>270200</v>
      </c>
      <c r="H7" s="43">
        <f>'Cadrage macroéconomique '!H5</f>
        <v>274600</v>
      </c>
      <c r="I7" s="43">
        <f>'Cadrage macroéconomique '!I5</f>
        <v>278500</v>
      </c>
      <c r="J7" s="43">
        <f>'Cadrage macroéconomique '!J5</f>
        <v>282200</v>
      </c>
      <c r="K7" s="43">
        <f>'Cadrage macroéconomique '!K5</f>
        <v>271407</v>
      </c>
      <c r="L7" s="43">
        <f>'Cadrage macroéconomique '!L5</f>
        <v>271407</v>
      </c>
      <c r="M7" s="308" t="s">
        <v>230</v>
      </c>
      <c r="N7" t="s">
        <v>415</v>
      </c>
    </row>
    <row r="8" spans="1:14">
      <c r="A8" s="30" t="s">
        <v>251</v>
      </c>
      <c r="B8" s="397">
        <v>3.3</v>
      </c>
      <c r="C8" s="157">
        <f>$B$8+($F$8-$B$8)*1/4</f>
        <v>3.25</v>
      </c>
      <c r="D8" s="157">
        <f>$B$8+($F$8-$B$8)*2/4</f>
        <v>3.2</v>
      </c>
      <c r="E8" s="157">
        <f>$B$8+($F$8-$B$8)*3/4</f>
        <v>3.15</v>
      </c>
      <c r="F8" s="398">
        <v>3.1</v>
      </c>
      <c r="G8" s="157">
        <f>$F$8+($K$8-$F$8)*1/5</f>
        <v>3.06</v>
      </c>
      <c r="H8" s="157">
        <f>$F$8+($K$8-$F$8)*2/5</f>
        <v>3.02</v>
      </c>
      <c r="I8" s="157">
        <f>$F$8+($K$8-$F$8)*3/5</f>
        <v>2.98</v>
      </c>
      <c r="J8" s="157">
        <f>$F$8+($K$8-$F$8)*4/5</f>
        <v>2.94</v>
      </c>
      <c r="K8" s="397">
        <v>2.9</v>
      </c>
      <c r="L8" s="30"/>
      <c r="M8" s="308" t="s">
        <v>520</v>
      </c>
      <c r="N8" t="s">
        <v>415</v>
      </c>
    </row>
    <row r="9" spans="1:14">
      <c r="A9" s="30" t="s">
        <v>252</v>
      </c>
      <c r="B9" s="399">
        <f>B7/B8</f>
        <v>74969.696969696975</v>
      </c>
      <c r="C9" s="155">
        <f>C7/C8</f>
        <v>77569.230769230766</v>
      </c>
      <c r="D9" s="181">
        <f t="shared" ref="D9:E9" si="0">D7/D8</f>
        <v>80187.5</v>
      </c>
      <c r="E9" s="181">
        <f t="shared" si="0"/>
        <v>82984.126984126982</v>
      </c>
      <c r="F9" s="399">
        <v>85060</v>
      </c>
      <c r="G9" s="155">
        <f>G7/G8</f>
        <v>88300.65359477124</v>
      </c>
      <c r="H9" s="181">
        <f t="shared" ref="H9:J9" si="1">H7/H8</f>
        <v>90927.152317880798</v>
      </c>
      <c r="I9" s="181">
        <f t="shared" si="1"/>
        <v>93456.375838926178</v>
      </c>
      <c r="J9" s="181">
        <f t="shared" si="1"/>
        <v>95986.394557823136</v>
      </c>
      <c r="K9" s="397">
        <v>90810</v>
      </c>
      <c r="L9" s="30"/>
      <c r="M9" s="308" t="s">
        <v>520</v>
      </c>
      <c r="N9" t="s">
        <v>415</v>
      </c>
    </row>
    <row r="10" spans="1:14">
      <c r="A10" s="30" t="s">
        <v>253</v>
      </c>
      <c r="B10" s="98">
        <v>0.35</v>
      </c>
      <c r="C10" s="163">
        <f>$B$10+($F$10-$B$10)*1/4</f>
        <v>0.36</v>
      </c>
      <c r="D10" s="163">
        <f>$B$10+($F$10-$B$10)*2/4</f>
        <v>0.37</v>
      </c>
      <c r="E10" s="163">
        <f>$B$10+($F$10-$B$10)*3/4</f>
        <v>0.38</v>
      </c>
      <c r="F10" s="163">
        <v>0.39</v>
      </c>
      <c r="G10" s="244">
        <f>$F$10+($K$10-$F$10)*1/5</f>
        <v>0.40200000000000002</v>
      </c>
      <c r="H10" s="244">
        <f>$F$10+($K$10-$F$10)*2/5</f>
        <v>0.41400000000000003</v>
      </c>
      <c r="I10" s="244">
        <f>$F$10+($K$10-$F$10)*3/5</f>
        <v>0.42599999999999999</v>
      </c>
      <c r="J10" s="244">
        <f>$F$10+($K$10-$F$10)*4/5</f>
        <v>0.438</v>
      </c>
      <c r="K10" s="95">
        <v>0.45</v>
      </c>
      <c r="L10" s="30"/>
      <c r="M10" s="308" t="s">
        <v>521</v>
      </c>
      <c r="N10" t="s">
        <v>415</v>
      </c>
    </row>
    <row r="11" spans="1:14" s="311" customFormat="1">
      <c r="A11" s="310" t="s">
        <v>254</v>
      </c>
      <c r="B11" s="310">
        <v>3</v>
      </c>
      <c r="C11" s="310"/>
      <c r="D11" s="310"/>
      <c r="E11" s="310"/>
      <c r="F11" s="310"/>
      <c r="G11" s="310"/>
      <c r="H11" s="310"/>
      <c r="I11" s="310">
        <v>3</v>
      </c>
      <c r="J11" s="310"/>
      <c r="K11" s="310"/>
      <c r="L11" s="310"/>
      <c r="M11" s="312" t="s">
        <v>255</v>
      </c>
      <c r="N11" s="311" t="s">
        <v>415</v>
      </c>
    </row>
    <row r="12" spans="1:14" s="311" customFormat="1">
      <c r="A12" s="310" t="s">
        <v>256</v>
      </c>
      <c r="B12" s="310">
        <v>1</v>
      </c>
      <c r="C12" s="310"/>
      <c r="D12" s="310"/>
      <c r="E12" s="310"/>
      <c r="F12" s="310"/>
      <c r="G12" s="310"/>
      <c r="H12" s="310"/>
      <c r="I12" s="310">
        <v>1</v>
      </c>
      <c r="J12" s="310"/>
      <c r="K12" s="310"/>
      <c r="L12" s="310"/>
      <c r="M12" s="312" t="s">
        <v>255</v>
      </c>
      <c r="N12" s="311" t="s">
        <v>415</v>
      </c>
    </row>
    <row r="13" spans="1:14">
      <c r="A13" s="1" t="s">
        <v>257</v>
      </c>
      <c r="B13" s="39">
        <v>11.184585298263798</v>
      </c>
      <c r="C13" s="39">
        <v>12.023674856966105</v>
      </c>
      <c r="D13" s="39">
        <v>12.260091598115704</v>
      </c>
      <c r="E13" s="39">
        <v>12.967360349938259</v>
      </c>
      <c r="F13" s="39">
        <v>13.905395677622742</v>
      </c>
      <c r="G13" s="39">
        <v>14.605848279137156</v>
      </c>
      <c r="H13" s="39">
        <v>15.461084576160577</v>
      </c>
      <c r="I13" s="39">
        <v>16.629422494155978</v>
      </c>
      <c r="J13" s="39">
        <v>12.504732059129919</v>
      </c>
      <c r="K13" s="39">
        <v>12.261371400198737</v>
      </c>
      <c r="L13" s="30"/>
      <c r="M13" s="308" t="s">
        <v>224</v>
      </c>
      <c r="N13" t="s">
        <v>415</v>
      </c>
    </row>
    <row r="14" spans="1:14">
      <c r="A14" s="1" t="s">
        <v>258</v>
      </c>
      <c r="B14" s="174">
        <v>26.624542160306376</v>
      </c>
      <c r="C14" s="174">
        <v>26.732839207236918</v>
      </c>
      <c r="D14" s="174">
        <v>27.558221932144658</v>
      </c>
      <c r="E14" s="174">
        <v>26.164289344724438</v>
      </c>
      <c r="F14" s="174">
        <v>29.946307846207421</v>
      </c>
      <c r="G14" s="174">
        <v>31.957543365034859</v>
      </c>
      <c r="H14" s="174">
        <v>25.559465758069379</v>
      </c>
      <c r="I14" s="174">
        <v>24.454422289947601</v>
      </c>
      <c r="J14" s="174">
        <v>24.58171122654203</v>
      </c>
      <c r="K14" s="174">
        <v>23.95523107040065</v>
      </c>
      <c r="L14" s="30"/>
      <c r="M14" s="308" t="s">
        <v>224</v>
      </c>
      <c r="N14" t="s">
        <v>415</v>
      </c>
    </row>
    <row r="15" spans="1:14">
      <c r="A15" s="1" t="s">
        <v>23</v>
      </c>
      <c r="B15" s="39">
        <f t="shared" ref="B15:K15" si="2">SUM(B13:B14)</f>
        <v>37.809127458570174</v>
      </c>
      <c r="C15" s="39">
        <f t="shared" si="2"/>
        <v>38.756514064203024</v>
      </c>
      <c r="D15" s="39">
        <f t="shared" si="2"/>
        <v>39.818313530260362</v>
      </c>
      <c r="E15" s="39">
        <f t="shared" si="2"/>
        <v>39.131649694662698</v>
      </c>
      <c r="F15" s="39">
        <f t="shared" si="2"/>
        <v>43.851703523830167</v>
      </c>
      <c r="G15" s="39">
        <f t="shared" si="2"/>
        <v>46.563391644172015</v>
      </c>
      <c r="H15" s="39">
        <f t="shared" si="2"/>
        <v>41.020550334229952</v>
      </c>
      <c r="I15" s="39">
        <f t="shared" si="2"/>
        <v>41.083844784103576</v>
      </c>
      <c r="J15" s="39">
        <f t="shared" si="2"/>
        <v>37.086443285671947</v>
      </c>
      <c r="K15" s="39">
        <f t="shared" si="2"/>
        <v>36.216602470599383</v>
      </c>
      <c r="L15" s="30"/>
      <c r="M15" s="308"/>
      <c r="N15" t="s">
        <v>415</v>
      </c>
    </row>
    <row r="16" spans="1:14">
      <c r="A16" s="1" t="s">
        <v>259</v>
      </c>
      <c r="B16" s="181">
        <f>'Bilans d''énergie 2010-2020'!$G$283*11.63</f>
        <v>567.54399999999998</v>
      </c>
      <c r="C16" s="181">
        <f>'Bilans d''énergie 2010-2020'!$G$257*11.63</f>
        <v>604.76</v>
      </c>
      <c r="D16" s="181">
        <f>'Bilans d''énergie 2010-2020'!$G$231*11.63</f>
        <v>621.04200000000003</v>
      </c>
      <c r="E16" s="181">
        <f>'Bilans d''énergie 2010-2020'!$G$205*11.63</f>
        <v>629.18300000000011</v>
      </c>
      <c r="F16" s="181">
        <f>'Bilans d''énergie 2010-2020'!$G$179*11.63</f>
        <v>630.34600000000012</v>
      </c>
      <c r="G16" s="181">
        <f>'Bilans d''énergie 2010-2020'!$G$153*11.63</f>
        <v>650.11700000000008</v>
      </c>
      <c r="H16" s="181">
        <f>'Bilans d''énergie 2010-2020'!$G$127*11.63</f>
        <v>686.17000000000007</v>
      </c>
      <c r="I16" s="181">
        <f>'Bilans d''énergie 2010-2020'!$G$101*11.63</f>
        <v>672.21400000000006</v>
      </c>
      <c r="J16" s="181">
        <f>'Bilans d''énergie 2010-2020'!$G$75*11.63</f>
        <v>676.8660000000001</v>
      </c>
      <c r="K16" s="155">
        <f>'Bilan d''énergie SDES historique'!N30</f>
        <v>295.7</v>
      </c>
      <c r="L16" s="155">
        <f>'Bilans d''énergie 2010-2020'!$G$23*11.63</f>
        <v>659.42100000000005</v>
      </c>
      <c r="M16" s="308" t="s">
        <v>611</v>
      </c>
      <c r="N16" t="s">
        <v>415</v>
      </c>
    </row>
    <row r="17" spans="1:21">
      <c r="A17" s="1" t="s">
        <v>260</v>
      </c>
      <c r="B17" s="30">
        <f>'Cadrage macroéconomique '!B6</f>
        <v>7064.34</v>
      </c>
      <c r="C17" s="30">
        <f>'Cadrage macroéconomique '!C6</f>
        <v>7433.06</v>
      </c>
      <c r="D17" s="30">
        <f>'Cadrage macroéconomique '!D6</f>
        <v>7516.8600000000006</v>
      </c>
      <c r="E17" s="30">
        <f>'Cadrage macroéconomique '!E6</f>
        <v>7642.56</v>
      </c>
      <c r="F17" s="30">
        <f>'Cadrage macroéconomique '!F6</f>
        <v>8002.9000000000005</v>
      </c>
      <c r="G17" s="30">
        <f>'Cadrage macroéconomique '!G6</f>
        <v>7877.2</v>
      </c>
      <c r="H17" s="30">
        <f>'Cadrage macroéconomique '!H6</f>
        <v>8120.2199999999993</v>
      </c>
      <c r="I17" s="30">
        <f>'Cadrage macroéconomique '!I6</f>
        <v>8120.2199999999993</v>
      </c>
      <c r="J17" s="30">
        <f>'Cadrage macroéconomique '!J6</f>
        <v>8338.1</v>
      </c>
      <c r="K17" s="30">
        <f>'Cadrage macroéconomique '!K6</f>
        <v>8430.2800000000007</v>
      </c>
      <c r="L17" s="155"/>
      <c r="M17" s="308" t="s">
        <v>230</v>
      </c>
      <c r="N17" t="s">
        <v>415</v>
      </c>
    </row>
    <row r="18" spans="1:21">
      <c r="A18" s="1" t="s">
        <v>261</v>
      </c>
      <c r="B18" s="181">
        <f>'Bilans d''énergie 2010-2020'!$C$283*11.63</f>
        <v>183.75400000000002</v>
      </c>
      <c r="C18" s="181">
        <f>'Bilans d''énergie 2010-2020'!$C$257*11.63</f>
        <v>240.74100000000001</v>
      </c>
      <c r="D18" s="181">
        <f>'Bilans d''énergie 2010-2020'!$C$231*11.63</f>
        <v>226.78500000000003</v>
      </c>
      <c r="E18" s="181">
        <f>'Bilans d''énergie 2010-2020'!$C$205*11.63</f>
        <v>165.14600000000002</v>
      </c>
      <c r="F18" s="181">
        <f>'Bilans d''énergie 2010-2020'!$C$179*11.63</f>
        <v>165.14600000000002</v>
      </c>
      <c r="G18" s="181">
        <f>'Bilans d''énergie 2010-2020'!$C$153*11.63</f>
        <v>163.983</v>
      </c>
      <c r="H18" s="181">
        <f>'Bilans d''énergie 2010-2020'!$C$127*11.63</f>
        <v>155.84200000000001</v>
      </c>
      <c r="I18" s="181">
        <f>'Bilans d''énergie 2010-2020'!$C$101*11.63</f>
        <v>150.02700000000002</v>
      </c>
      <c r="J18" s="181">
        <f>'Bilans d''énergie 2010-2020'!$C$75*11.63</f>
        <v>146.53800000000001</v>
      </c>
      <c r="K18" s="181">
        <f>'Bilan d''énergie SDES historique'!D30</f>
        <v>145.375</v>
      </c>
      <c r="L18" s="181">
        <f>'Bilans d''énergie 2010-2020'!$C$23*11.63</f>
        <v>162.82000000000002</v>
      </c>
      <c r="M18" s="308" t="s">
        <v>262</v>
      </c>
      <c r="N18" t="s">
        <v>415</v>
      </c>
    </row>
    <row r="19" spans="1:21">
      <c r="A19" s="1" t="s">
        <v>263</v>
      </c>
      <c r="B19" s="181">
        <f>'Bilans d''énergie 2010-2020'!$H$283*11.63</f>
        <v>31.401000000000003</v>
      </c>
      <c r="C19" s="181">
        <f>'Bilans d''énergie 2010-2020'!$H$257*11.63</f>
        <v>31.401000000000003</v>
      </c>
      <c r="D19" s="181">
        <f>'Bilans d''énergie 2010-2020'!$H$231*11.63</f>
        <v>31.401000000000003</v>
      </c>
      <c r="E19" s="181">
        <f>'Bilans d''énergie 2010-2020'!$H$205*11.63</f>
        <v>31.401000000000003</v>
      </c>
      <c r="F19" s="181">
        <f>'Bilans d''énergie 2010-2020'!$H$179*11.63</f>
        <v>31.401000000000003</v>
      </c>
      <c r="G19" s="181">
        <f>'Bilans d''énergie 2010-2020'!$H$153*11.63</f>
        <v>39.542000000000002</v>
      </c>
      <c r="H19" s="181">
        <f>'Bilans d''énergie 2010-2020'!$H$127*11.63</f>
        <v>39.542000000000002</v>
      </c>
      <c r="I19" s="181">
        <f>'Bilans d''énergie 2010-2020'!$H$101*11.63</f>
        <v>39.542000000000002</v>
      </c>
      <c r="J19" s="181">
        <f>'Bilans d''énergie 2010-2020'!$H$75*11.63</f>
        <v>39.542000000000002</v>
      </c>
      <c r="K19" s="181">
        <f>'Bilan d''énergie SDES historique'!M30</f>
        <v>39.542000000000002</v>
      </c>
      <c r="L19" s="181">
        <f>'Bilans d''énergie 2010-2020'!$H$23*11.63</f>
        <v>39.542000000000002</v>
      </c>
      <c r="M19" s="308" t="s">
        <v>262</v>
      </c>
      <c r="N19" t="s">
        <v>415</v>
      </c>
    </row>
    <row r="20" spans="1:21">
      <c r="B20" s="243"/>
      <c r="C20" s="243"/>
      <c r="D20" s="243"/>
      <c r="E20" s="243"/>
      <c r="F20" s="243"/>
      <c r="G20" s="243"/>
      <c r="H20" s="243"/>
      <c r="I20" s="243"/>
      <c r="J20" s="243"/>
      <c r="K20" s="243"/>
      <c r="L20" s="243"/>
    </row>
    <row r="22" spans="1:21">
      <c r="A22" s="559" t="s">
        <v>150</v>
      </c>
      <c r="B22" s="559"/>
      <c r="C22" s="559"/>
      <c r="D22" s="559"/>
      <c r="E22" s="559"/>
      <c r="F22" s="559"/>
      <c r="G22" s="559"/>
      <c r="H22" s="559"/>
      <c r="I22" s="559"/>
      <c r="J22" s="559"/>
      <c r="K22" s="559"/>
      <c r="M22" s="559" t="s">
        <v>523</v>
      </c>
      <c r="N22" s="559"/>
      <c r="O22" s="559"/>
      <c r="P22" s="559"/>
      <c r="Q22" s="559"/>
      <c r="R22" s="559"/>
      <c r="S22" s="559"/>
      <c r="T22" s="559"/>
      <c r="U22" s="559"/>
    </row>
    <row r="24" spans="1:21">
      <c r="A24" s="30"/>
      <c r="B24" s="1">
        <v>2015</v>
      </c>
      <c r="C24" s="30">
        <v>2019</v>
      </c>
      <c r="D24" s="30">
        <v>2025</v>
      </c>
      <c r="E24" s="30">
        <v>2030</v>
      </c>
      <c r="F24" s="30">
        <v>2035</v>
      </c>
      <c r="G24" s="30">
        <v>2040</v>
      </c>
      <c r="H24" s="30">
        <v>2045</v>
      </c>
      <c r="I24" s="30">
        <v>2050</v>
      </c>
      <c r="J24" s="313" t="s">
        <v>394</v>
      </c>
      <c r="M24" s="30"/>
      <c r="N24" s="84">
        <v>2010</v>
      </c>
      <c r="O24" s="84">
        <v>2018</v>
      </c>
      <c r="P24" s="30">
        <v>2025</v>
      </c>
      <c r="Q24" s="30">
        <v>2030</v>
      </c>
      <c r="R24" s="30">
        <v>2035</v>
      </c>
      <c r="S24" s="30">
        <v>2040</v>
      </c>
      <c r="T24" s="30">
        <v>2045</v>
      </c>
      <c r="U24" s="30">
        <v>2050</v>
      </c>
    </row>
    <row r="25" spans="1:21">
      <c r="A25" s="30" t="s">
        <v>250</v>
      </c>
      <c r="B25" s="337">
        <f>G7</f>
        <v>270200</v>
      </c>
      <c r="C25" s="337">
        <f>K7</f>
        <v>271407</v>
      </c>
      <c r="D25" s="155">
        <f>'Cadrage macroéconomique '!$C$15*1000000</f>
        <v>298870</v>
      </c>
      <c r="E25" s="155">
        <f>'Cadrage macroéconomique '!$D$15*1000000</f>
        <v>312530</v>
      </c>
      <c r="F25" s="155">
        <f>'Cadrage macroéconomique '!$E$15*1000000</f>
        <v>324860</v>
      </c>
      <c r="G25" s="155">
        <f>'Cadrage macroéconomique '!$F$15*1000000</f>
        <v>335890</v>
      </c>
      <c r="H25" s="155">
        <f>'Cadrage macroéconomique '!$G$15*1000000</f>
        <v>345420</v>
      </c>
      <c r="I25" s="155">
        <f>'Cadrage macroéconomique '!$H$15*1000000</f>
        <v>353190</v>
      </c>
      <c r="J25" s="308" t="s">
        <v>264</v>
      </c>
      <c r="K25" t="s">
        <v>415</v>
      </c>
      <c r="M25" s="30" t="s">
        <v>250</v>
      </c>
      <c r="N25" s="30">
        <v>393</v>
      </c>
      <c r="O25" s="30"/>
      <c r="P25" s="30"/>
      <c r="Q25" s="30"/>
      <c r="R25" s="30"/>
      <c r="S25" s="30"/>
      <c r="T25" s="30"/>
      <c r="U25" s="30">
        <v>377.50900000000001</v>
      </c>
    </row>
    <row r="26" spans="1:21">
      <c r="A26" s="30" t="s">
        <v>251</v>
      </c>
      <c r="B26" s="157">
        <f>G8</f>
        <v>3.06</v>
      </c>
      <c r="C26" s="30">
        <f>K8</f>
        <v>2.9</v>
      </c>
      <c r="D26" s="158">
        <f>$C$26+($I$26-$C$26)*6/31</f>
        <v>2.82258064516129</v>
      </c>
      <c r="E26" s="158">
        <f>$C$26+($I$26-$C$26)*11/31</f>
        <v>2.758064516129032</v>
      </c>
      <c r="F26" s="158">
        <f>$C$26+($I$26-$C$26)*16/31</f>
        <v>2.693548387096774</v>
      </c>
      <c r="G26" s="158">
        <f>$C$26+($I$26-$C$26)*21/31</f>
        <v>2.629032258064516</v>
      </c>
      <c r="H26" s="158">
        <f>$C$26+($I$26-$C$26)*26/31</f>
        <v>2.564516129032258</v>
      </c>
      <c r="I26" s="162">
        <v>2.5</v>
      </c>
      <c r="J26" s="308" t="s">
        <v>522</v>
      </c>
      <c r="K26" t="s">
        <v>415</v>
      </c>
      <c r="M26" s="30" t="s">
        <v>251</v>
      </c>
      <c r="N26" s="30">
        <v>3.1</v>
      </c>
      <c r="O26" s="30"/>
      <c r="P26" s="30"/>
      <c r="Q26" s="30"/>
      <c r="R26" s="30"/>
      <c r="S26" s="30"/>
      <c r="T26" s="30"/>
      <c r="U26" s="30">
        <v>2.5</v>
      </c>
    </row>
    <row r="27" spans="1:21">
      <c r="A27" s="30" t="s">
        <v>252</v>
      </c>
      <c r="B27" s="155">
        <f t="shared" ref="B27:I27" si="3">B25/B26</f>
        <v>88300.65359477124</v>
      </c>
      <c r="C27" s="155">
        <f>K9</f>
        <v>90810</v>
      </c>
      <c r="D27" s="155">
        <f t="shared" si="3"/>
        <v>105885.37142857144</v>
      </c>
      <c r="E27" s="155">
        <f t="shared" si="3"/>
        <v>113314.97076023393</v>
      </c>
      <c r="F27" s="155">
        <f t="shared" si="3"/>
        <v>120606.70658682636</v>
      </c>
      <c r="G27" s="155">
        <f t="shared" si="3"/>
        <v>127761.84049079755</v>
      </c>
      <c r="H27" s="155">
        <f t="shared" si="3"/>
        <v>134692.0754716981</v>
      </c>
      <c r="I27" s="155">
        <f t="shared" si="3"/>
        <v>141276</v>
      </c>
      <c r="J27" s="308" t="s">
        <v>265</v>
      </c>
      <c r="K27" t="s">
        <v>415</v>
      </c>
      <c r="M27" s="30" t="s">
        <v>252</v>
      </c>
      <c r="N27" s="30">
        <v>126.774193548387</v>
      </c>
      <c r="O27" s="30"/>
      <c r="P27" s="30"/>
      <c r="Q27" s="30"/>
      <c r="R27" s="30"/>
      <c r="S27" s="30"/>
      <c r="T27" s="30"/>
      <c r="U27" s="30">
        <v>151.00360000000001</v>
      </c>
    </row>
    <row r="28" spans="1:21">
      <c r="A28" s="30" t="s">
        <v>253</v>
      </c>
      <c r="B28" s="98">
        <f>G10</f>
        <v>0.40200000000000002</v>
      </c>
      <c r="C28" s="93">
        <f>K10</f>
        <v>0.45</v>
      </c>
      <c r="D28" s="164">
        <f>$C$28+($I$28-$C$28)*5/30</f>
        <v>0.51500000000000001</v>
      </c>
      <c r="E28" s="164">
        <f>$C$28+($I$28-$C$28)*10/30</f>
        <v>0.57999999999999996</v>
      </c>
      <c r="F28" s="164">
        <f>$C$28+($I$28-$C$28)*15/30</f>
        <v>0.64500000000000002</v>
      </c>
      <c r="G28" s="164">
        <f>$C$28+($I$28-$C$28)*20/30</f>
        <v>0.71</v>
      </c>
      <c r="H28" s="164">
        <f>$C$28+($I$28-$C$28)*25/30</f>
        <v>0.77499999999999991</v>
      </c>
      <c r="I28" s="98">
        <v>0.84</v>
      </c>
      <c r="J28" s="323"/>
      <c r="K28" t="s">
        <v>415</v>
      </c>
      <c r="M28" s="30" t="s">
        <v>253</v>
      </c>
      <c r="N28" s="156">
        <v>0.23</v>
      </c>
      <c r="O28" s="30"/>
      <c r="P28" s="30"/>
      <c r="Q28" s="30"/>
      <c r="R28" s="30"/>
      <c r="S28" s="30"/>
      <c r="T28" s="30"/>
      <c r="U28" s="156">
        <v>0.63</v>
      </c>
    </row>
    <row r="29" spans="1:21" s="311" customFormat="1" ht="12.6" customHeight="1">
      <c r="A29" s="310" t="s">
        <v>254</v>
      </c>
      <c r="B29" s="310">
        <v>3</v>
      </c>
      <c r="C29" s="310">
        <f>+I11</f>
        <v>3</v>
      </c>
      <c r="D29" s="310"/>
      <c r="E29" s="310">
        <v>5</v>
      </c>
      <c r="F29" s="310"/>
      <c r="G29" s="310"/>
      <c r="H29" s="310"/>
      <c r="I29" s="310">
        <f>U29</f>
        <v>5</v>
      </c>
      <c r="J29" s="312" t="s">
        <v>522</v>
      </c>
      <c r="K29" s="311" t="s">
        <v>415</v>
      </c>
      <c r="M29" s="310" t="s">
        <v>254</v>
      </c>
      <c r="N29" s="310">
        <v>3</v>
      </c>
      <c r="O29" s="310"/>
      <c r="P29" s="310"/>
      <c r="Q29" s="310"/>
      <c r="R29" s="310"/>
      <c r="S29" s="310"/>
      <c r="T29" s="310"/>
      <c r="U29" s="310">
        <v>5</v>
      </c>
    </row>
    <row r="30" spans="1:21" s="311" customFormat="1">
      <c r="A30" s="310" t="s">
        <v>256</v>
      </c>
      <c r="B30" s="310">
        <v>1</v>
      </c>
      <c r="C30" s="310">
        <f>+I12</f>
        <v>1</v>
      </c>
      <c r="D30" s="310"/>
      <c r="E30" s="310">
        <v>1</v>
      </c>
      <c r="F30" s="310"/>
      <c r="G30" s="310"/>
      <c r="H30" s="310"/>
      <c r="I30" s="310">
        <f>U30</f>
        <v>1</v>
      </c>
      <c r="J30" s="312" t="s">
        <v>522</v>
      </c>
      <c r="K30" s="311" t="s">
        <v>415</v>
      </c>
      <c r="M30" s="310" t="s">
        <v>256</v>
      </c>
      <c r="N30" s="310">
        <v>1</v>
      </c>
      <c r="O30" s="310"/>
      <c r="P30" s="310"/>
      <c r="Q30" s="310"/>
      <c r="R30" s="310"/>
      <c r="S30" s="310"/>
      <c r="T30" s="310"/>
      <c r="U30" s="310">
        <v>1</v>
      </c>
    </row>
    <row r="31" spans="1:21">
      <c r="A31" s="1" t="s">
        <v>257</v>
      </c>
      <c r="B31" s="174">
        <f>G13</f>
        <v>14.605848279137156</v>
      </c>
      <c r="C31" s="39">
        <f>K13</f>
        <v>12.261371400198737</v>
      </c>
      <c r="D31" s="158">
        <f>$C$31+($I$31-$C$31)*6/31</f>
        <v>13.347070681972173</v>
      </c>
      <c r="E31" s="158">
        <f>$C$31+($I$31-$C$31)*11/31</f>
        <v>14.251820083450038</v>
      </c>
      <c r="F31" s="158">
        <f>$C$31+($I$31-$C$31)*16/31</f>
        <v>15.156569484927902</v>
      </c>
      <c r="G31" s="158">
        <f>$C$31+($I$31-$C$31)*21/31</f>
        <v>16.061318886405765</v>
      </c>
      <c r="H31" s="158">
        <f>$C$31+($I$31-$C$31)*26/31</f>
        <v>16.96606828788363</v>
      </c>
      <c r="I31" s="158">
        <f>I25*C31*I30*I28*C29/(C28*I29*C25)</f>
        <v>17.870817689361495</v>
      </c>
      <c r="J31" s="308" t="s">
        <v>267</v>
      </c>
      <c r="K31" t="s">
        <v>415</v>
      </c>
      <c r="M31" s="30" t="s">
        <v>257</v>
      </c>
      <c r="N31" s="30">
        <v>14.635</v>
      </c>
      <c r="O31" s="30"/>
      <c r="P31" s="30"/>
      <c r="Q31" s="30"/>
      <c r="R31" s="30"/>
      <c r="S31" s="30"/>
      <c r="T31" s="30"/>
      <c r="U31" s="30">
        <v>38.5070456405576</v>
      </c>
    </row>
    <row r="32" spans="1:21">
      <c r="A32" s="310" t="s">
        <v>258</v>
      </c>
      <c r="B32" s="310">
        <f>G14</f>
        <v>31.957543365034859</v>
      </c>
      <c r="C32" s="310">
        <f>K14</f>
        <v>23.95523107040065</v>
      </c>
      <c r="D32" s="314">
        <f>$C$32+($I$32-$C$32)*6/31</f>
        <v>25.352345293187767</v>
      </c>
      <c r="E32" s="314">
        <f>$C$32+($I$32-$C$32)*11/31</f>
        <v>26.51660714551036</v>
      </c>
      <c r="F32" s="314">
        <f>$C$32+($I$32-$C$32)*16/31</f>
        <v>27.680868997832956</v>
      </c>
      <c r="G32" s="314">
        <f>$C$32+($I$32-$C$32)*21/31</f>
        <v>28.845130850155552</v>
      </c>
      <c r="H32" s="314">
        <f>$C$32+($I$32-$C$32)*26/31</f>
        <v>30.009392702478149</v>
      </c>
      <c r="I32" s="314">
        <f>(I25*C32)/C25</f>
        <v>31.173654554800745</v>
      </c>
      <c r="J32" s="312" t="s">
        <v>267</v>
      </c>
      <c r="K32" t="s">
        <v>415</v>
      </c>
      <c r="M32" s="30" t="s">
        <v>268</v>
      </c>
      <c r="N32" s="30">
        <v>32</v>
      </c>
      <c r="O32" s="30"/>
      <c r="P32" s="30"/>
      <c r="Q32" s="30"/>
      <c r="R32" s="30"/>
      <c r="S32" s="30"/>
      <c r="T32" s="30"/>
      <c r="U32" s="30">
        <v>30.7386463104326</v>
      </c>
    </row>
    <row r="33" spans="1:21">
      <c r="A33" s="1" t="s">
        <v>23</v>
      </c>
      <c r="B33" s="174">
        <f>G15</f>
        <v>46.563391644172015</v>
      </c>
      <c r="C33" s="39">
        <f>SUM(C31:C32)</f>
        <v>36.216602470599383</v>
      </c>
      <c r="D33" s="158">
        <f t="shared" ref="D33:I33" si="4">SUM(D31:D32)</f>
        <v>38.699415975159937</v>
      </c>
      <c r="E33" s="158">
        <f t="shared" si="4"/>
        <v>40.768427228960398</v>
      </c>
      <c r="F33" s="158">
        <f t="shared" si="4"/>
        <v>42.837438482760859</v>
      </c>
      <c r="G33" s="158">
        <f t="shared" si="4"/>
        <v>44.906449736561314</v>
      </c>
      <c r="H33" s="158">
        <f t="shared" si="4"/>
        <v>46.975460990361782</v>
      </c>
      <c r="I33" s="158">
        <f t="shared" si="4"/>
        <v>49.044472244162236</v>
      </c>
      <c r="J33" s="308"/>
      <c r="K33" t="s">
        <v>415</v>
      </c>
      <c r="M33" s="30" t="s">
        <v>23</v>
      </c>
      <c r="N33" s="30">
        <v>46.634999999999998</v>
      </c>
      <c r="O33" s="30"/>
      <c r="P33" s="30"/>
      <c r="Q33" s="30"/>
      <c r="R33" s="30"/>
      <c r="S33" s="30"/>
      <c r="T33" s="30"/>
      <c r="U33" s="30">
        <v>69.245691950990206</v>
      </c>
    </row>
    <row r="34" spans="1:21">
      <c r="A34" s="1" t="s">
        <v>260</v>
      </c>
      <c r="B34" s="30">
        <f>'Cadrage macroéconomique '!G6</f>
        <v>7877.2</v>
      </c>
      <c r="C34" s="30">
        <f>'Cadrage macroéconomique '!B16</f>
        <v>8430.2800000000007</v>
      </c>
      <c r="D34" s="43">
        <f>'Cadrage macroéconomique '!C16</f>
        <v>9493.8645198729155</v>
      </c>
      <c r="E34" s="43">
        <f>'Cadrage macroéconomique '!D16</f>
        <v>10481.993564573268</v>
      </c>
      <c r="F34" s="43">
        <f>'Cadrage macroéconomique '!E16</f>
        <v>11572.967873911286</v>
      </c>
      <c r="G34" s="43">
        <f>'Cadrage macroéconomique '!F16</f>
        <v>12777.491665635769</v>
      </c>
      <c r="H34" s="43">
        <f>'Cadrage macroéconomique '!G16</f>
        <v>14107.383261076446</v>
      </c>
      <c r="I34" s="43">
        <f>'Cadrage macroéconomique '!H16</f>
        <v>15575.691041939514</v>
      </c>
      <c r="J34" s="308" t="s">
        <v>264</v>
      </c>
      <c r="K34" t="s">
        <v>415</v>
      </c>
      <c r="M34" s="400" t="s">
        <v>524</v>
      </c>
      <c r="N34" s="134">
        <v>585</v>
      </c>
      <c r="O34" s="30"/>
      <c r="P34" s="30"/>
      <c r="Q34" s="30"/>
      <c r="R34" s="30"/>
      <c r="S34" s="30"/>
      <c r="T34" s="30"/>
      <c r="U34" s="134">
        <v>1145.1866446598101</v>
      </c>
    </row>
    <row r="35" spans="1:21">
      <c r="A35" s="584" t="s">
        <v>646</v>
      </c>
      <c r="B35" s="584"/>
      <c r="C35" s="584"/>
      <c r="D35" s="584"/>
      <c r="E35" s="584"/>
      <c r="F35" s="584"/>
      <c r="G35" s="584"/>
      <c r="H35" s="584"/>
      <c r="I35" s="584"/>
      <c r="J35" s="584"/>
      <c r="K35" t="s">
        <v>415</v>
      </c>
      <c r="M35" s="30" t="s">
        <v>269</v>
      </c>
      <c r="N35" s="391">
        <v>7768.9262609999996</v>
      </c>
      <c r="O35">
        <v>30.35</v>
      </c>
      <c r="U35" s="391">
        <v>18467.740280000002</v>
      </c>
    </row>
    <row r="37" spans="1:21">
      <c r="A37" s="559" t="s">
        <v>156</v>
      </c>
      <c r="B37" s="559"/>
      <c r="C37" s="559"/>
      <c r="D37" s="559"/>
      <c r="E37" s="559"/>
      <c r="F37" s="559"/>
      <c r="G37" s="559"/>
      <c r="H37" s="559"/>
      <c r="I37" s="559"/>
      <c r="J37" s="559"/>
      <c r="K37" s="559"/>
      <c r="M37" s="559" t="s">
        <v>157</v>
      </c>
      <c r="N37" s="559"/>
      <c r="O37" s="559"/>
      <c r="P37" s="559"/>
      <c r="Q37" s="559"/>
      <c r="R37" s="559"/>
      <c r="S37" s="559"/>
      <c r="T37" s="559"/>
      <c r="U37" s="559"/>
    </row>
    <row r="39" spans="1:21">
      <c r="A39" s="30"/>
      <c r="B39" s="1">
        <v>2015</v>
      </c>
      <c r="C39" s="30">
        <v>2019</v>
      </c>
      <c r="D39" s="30">
        <v>2025</v>
      </c>
      <c r="E39" s="30">
        <v>2030</v>
      </c>
      <c r="F39" s="30">
        <v>2035</v>
      </c>
      <c r="G39" s="30">
        <v>2040</v>
      </c>
      <c r="H39" s="30">
        <v>2045</v>
      </c>
      <c r="I39" s="30">
        <v>2050</v>
      </c>
      <c r="J39" s="295" t="s">
        <v>394</v>
      </c>
      <c r="K39" t="s">
        <v>415</v>
      </c>
      <c r="M39" s="30"/>
      <c r="N39" s="84">
        <v>2010</v>
      </c>
      <c r="O39" s="30">
        <v>2020</v>
      </c>
      <c r="P39" s="30">
        <v>2025</v>
      </c>
      <c r="Q39" s="30">
        <v>2030</v>
      </c>
      <c r="R39" s="30">
        <v>2035</v>
      </c>
      <c r="S39" s="30">
        <v>2040</v>
      </c>
      <c r="T39" s="30">
        <v>2045</v>
      </c>
      <c r="U39" s="30">
        <v>2050</v>
      </c>
    </row>
    <row r="40" spans="1:21">
      <c r="A40" s="30" t="s">
        <v>250</v>
      </c>
      <c r="B40" s="321">
        <f>B25</f>
        <v>270200</v>
      </c>
      <c r="C40" s="321">
        <f>C25</f>
        <v>271407</v>
      </c>
      <c r="D40" s="181">
        <f>'Cadrage macroéconomique '!$C$15*1000000</f>
        <v>298870</v>
      </c>
      <c r="E40" s="181">
        <f>'Cadrage macroéconomique '!$D$15*1000000</f>
        <v>312530</v>
      </c>
      <c r="F40" s="181">
        <f>'Cadrage macroéconomique '!$E$15*1000000</f>
        <v>324860</v>
      </c>
      <c r="G40" s="181">
        <f>'Cadrage macroéconomique '!$F$15*1000000</f>
        <v>335890</v>
      </c>
      <c r="H40" s="181">
        <f>'Cadrage macroéconomique '!$G$15*1000000</f>
        <v>345420</v>
      </c>
      <c r="I40" s="181">
        <f>'Cadrage macroéconomique '!$H$15*1000000</f>
        <v>353190</v>
      </c>
      <c r="J40" s="308" t="s">
        <v>264</v>
      </c>
      <c r="K40" t="s">
        <v>415</v>
      </c>
      <c r="M40" s="30" t="s">
        <v>250</v>
      </c>
      <c r="N40" s="30"/>
      <c r="O40" s="30"/>
      <c r="P40" s="30"/>
      <c r="Q40" s="30"/>
      <c r="R40" s="30"/>
      <c r="S40" s="30"/>
      <c r="T40" s="30"/>
      <c r="U40" s="30"/>
    </row>
    <row r="41" spans="1:21">
      <c r="A41" s="30" t="s">
        <v>251</v>
      </c>
      <c r="B41" s="321">
        <f t="shared" ref="B41:C49" si="5">B26</f>
        <v>3.06</v>
      </c>
      <c r="C41" s="321">
        <f t="shared" si="5"/>
        <v>2.9</v>
      </c>
      <c r="D41" s="165">
        <f t="shared" ref="D41:I41" si="6">D26</f>
        <v>2.82258064516129</v>
      </c>
      <c r="E41" s="165">
        <f t="shared" si="6"/>
        <v>2.758064516129032</v>
      </c>
      <c r="F41" s="165">
        <f t="shared" si="6"/>
        <v>2.693548387096774</v>
      </c>
      <c r="G41" s="165">
        <f t="shared" si="6"/>
        <v>2.629032258064516</v>
      </c>
      <c r="H41" s="165">
        <f t="shared" si="6"/>
        <v>2.564516129032258</v>
      </c>
      <c r="I41" s="165">
        <f t="shared" si="6"/>
        <v>2.5</v>
      </c>
      <c r="J41" s="308" t="s">
        <v>265</v>
      </c>
      <c r="K41" t="s">
        <v>415</v>
      </c>
      <c r="M41" s="30" t="s">
        <v>251</v>
      </c>
      <c r="N41" s="30"/>
      <c r="O41" s="30"/>
      <c r="P41" s="30"/>
      <c r="Q41" s="30"/>
      <c r="R41" s="30"/>
      <c r="S41" s="30"/>
      <c r="T41" s="30"/>
      <c r="U41" s="30"/>
    </row>
    <row r="42" spans="1:21">
      <c r="A42" s="30" t="s">
        <v>252</v>
      </c>
      <c r="B42" s="321">
        <f t="shared" si="5"/>
        <v>88300.65359477124</v>
      </c>
      <c r="C42" s="321">
        <f t="shared" si="5"/>
        <v>90810</v>
      </c>
      <c r="D42" s="155">
        <f t="shared" ref="D42:I42" si="7">D40/D41</f>
        <v>105885.37142857144</v>
      </c>
      <c r="E42" s="155">
        <f t="shared" si="7"/>
        <v>113314.97076023393</v>
      </c>
      <c r="F42" s="155">
        <f t="shared" si="7"/>
        <v>120606.70658682636</v>
      </c>
      <c r="G42" s="155">
        <f t="shared" si="7"/>
        <v>127761.84049079755</v>
      </c>
      <c r="H42" s="155">
        <f t="shared" si="7"/>
        <v>134692.0754716981</v>
      </c>
      <c r="I42" s="155">
        <f t="shared" si="7"/>
        <v>141276</v>
      </c>
      <c r="J42" s="308" t="s">
        <v>265</v>
      </c>
      <c r="K42" t="s">
        <v>415</v>
      </c>
      <c r="M42" s="30" t="s">
        <v>252</v>
      </c>
      <c r="N42" s="30"/>
      <c r="O42" s="30"/>
      <c r="P42" s="30"/>
      <c r="Q42" s="30"/>
      <c r="R42" s="30"/>
      <c r="S42" s="30"/>
      <c r="T42" s="30"/>
      <c r="U42" s="30"/>
    </row>
    <row r="43" spans="1:21">
      <c r="A43" s="30" t="s">
        <v>253</v>
      </c>
      <c r="B43" s="320">
        <f t="shared" si="5"/>
        <v>0.40200000000000002</v>
      </c>
      <c r="C43" s="321">
        <f t="shared" si="5"/>
        <v>0.45</v>
      </c>
      <c r="D43" s="133">
        <f>$C$43+($I$43-$C$43)*5/30</f>
        <v>0.45833333333333337</v>
      </c>
      <c r="E43" s="133">
        <f>$C$43+($I$43-$C$43)*10/30</f>
        <v>0.46666666666666667</v>
      </c>
      <c r="F43" s="133">
        <f>$C$43+($I$43-$C$43)*15/30</f>
        <v>0.47499999999999998</v>
      </c>
      <c r="G43" s="133">
        <f>$C$43+($I$43-$C$43)*20/30</f>
        <v>0.48333333333333334</v>
      </c>
      <c r="H43" s="133">
        <f>$C$43+($I$43-$C$43)*25/30</f>
        <v>0.4916666666666667</v>
      </c>
      <c r="I43" s="98">
        <v>0.5</v>
      </c>
      <c r="J43" s="323" t="s">
        <v>270</v>
      </c>
      <c r="K43" t="s">
        <v>415</v>
      </c>
      <c r="M43" s="30" t="s">
        <v>253</v>
      </c>
      <c r="N43" s="30"/>
      <c r="O43" s="30"/>
      <c r="P43" s="30"/>
      <c r="Q43" s="30"/>
      <c r="R43" s="30"/>
      <c r="S43" s="30"/>
      <c r="T43" s="30"/>
      <c r="U43" s="30"/>
    </row>
    <row r="44" spans="1:21" s="311" customFormat="1">
      <c r="A44" s="310" t="s">
        <v>254</v>
      </c>
      <c r="B44" s="321">
        <f t="shared" si="5"/>
        <v>3</v>
      </c>
      <c r="C44" s="321">
        <f t="shared" si="5"/>
        <v>3</v>
      </c>
      <c r="D44" s="310"/>
      <c r="E44" s="310"/>
      <c r="F44" s="310"/>
      <c r="G44" s="310"/>
      <c r="H44" s="310"/>
      <c r="I44" s="310">
        <v>6</v>
      </c>
      <c r="J44" s="312" t="s">
        <v>266</v>
      </c>
      <c r="K44" s="311" t="s">
        <v>415</v>
      </c>
      <c r="M44" s="310" t="s">
        <v>254</v>
      </c>
      <c r="N44" s="310"/>
      <c r="O44" s="310"/>
      <c r="P44" s="310"/>
      <c r="Q44" s="310"/>
      <c r="R44" s="310"/>
      <c r="S44" s="310"/>
      <c r="T44" s="310"/>
      <c r="U44" s="310"/>
    </row>
    <row r="45" spans="1:21" s="311" customFormat="1">
      <c r="A45" s="310" t="s">
        <v>256</v>
      </c>
      <c r="B45" s="321">
        <f t="shared" si="5"/>
        <v>1</v>
      </c>
      <c r="C45" s="321">
        <f t="shared" si="5"/>
        <v>1</v>
      </c>
      <c r="D45" s="310"/>
      <c r="E45" s="310"/>
      <c r="F45" s="310"/>
      <c r="G45" s="310"/>
      <c r="H45" s="310"/>
      <c r="I45" s="310">
        <v>1</v>
      </c>
      <c r="J45" s="312" t="s">
        <v>266</v>
      </c>
      <c r="K45" s="311" t="s">
        <v>415</v>
      </c>
      <c r="M45" s="310" t="s">
        <v>256</v>
      </c>
      <c r="N45" s="310"/>
      <c r="O45" s="310"/>
      <c r="P45" s="310"/>
      <c r="Q45" s="310"/>
      <c r="R45" s="310"/>
      <c r="S45" s="310"/>
      <c r="T45" s="310"/>
      <c r="U45" s="310"/>
    </row>
    <row r="46" spans="1:21">
      <c r="A46" s="1" t="s">
        <v>257</v>
      </c>
      <c r="B46" s="321">
        <f t="shared" si="5"/>
        <v>14.605848279137156</v>
      </c>
      <c r="C46" s="321">
        <f t="shared" si="5"/>
        <v>12.261371400198737</v>
      </c>
      <c r="D46" s="158">
        <f>$C$46+($I$46-$C$46)*6/31</f>
        <v>11.603911045605884</v>
      </c>
      <c r="E46" s="158">
        <f>$C$46+($I$46-$C$46)*11/31</f>
        <v>11.056027416778505</v>
      </c>
      <c r="F46" s="158">
        <f>$C$46+($I$46-$C$46)*16/31</f>
        <v>10.508143787951129</v>
      </c>
      <c r="G46" s="158">
        <f>$C$46+($I$46-$C$46)*21/31</f>
        <v>9.9602601591237505</v>
      </c>
      <c r="H46" s="158">
        <f>$C$46+($I$46-$C$46)*26/31</f>
        <v>9.412376530296374</v>
      </c>
      <c r="I46" s="158">
        <f>I40*C46*I45*I43*C44/(C43*I44*C40)</f>
        <v>8.8644929014689957</v>
      </c>
      <c r="J46" s="308" t="s">
        <v>267</v>
      </c>
      <c r="K46" t="s">
        <v>415</v>
      </c>
      <c r="M46" s="30" t="s">
        <v>257</v>
      </c>
      <c r="N46" s="30"/>
      <c r="O46" s="30"/>
      <c r="P46" s="30"/>
      <c r="Q46" s="30"/>
      <c r="R46" s="30"/>
      <c r="S46" s="30"/>
      <c r="T46" s="30"/>
      <c r="U46" s="30"/>
    </row>
    <row r="47" spans="1:21">
      <c r="A47" s="1" t="s">
        <v>258</v>
      </c>
      <c r="B47" s="321">
        <f t="shared" si="5"/>
        <v>31.957543365034859</v>
      </c>
      <c r="C47" s="321">
        <f t="shared" si="5"/>
        <v>23.95523107040065</v>
      </c>
      <c r="D47" s="158">
        <f>$C$47+($I$47-$C$47)*6/31</f>
        <v>25.352345293187767</v>
      </c>
      <c r="E47" s="158">
        <f>$C$47+($I$47-$C$47)*11/31</f>
        <v>26.51660714551036</v>
      </c>
      <c r="F47" s="158">
        <f>$C$47+($I$47-$C$47)*16/31</f>
        <v>27.680868997832956</v>
      </c>
      <c r="G47" s="158">
        <f>$C$47+($I$47-$C$47)*21/31</f>
        <v>28.845130850155552</v>
      </c>
      <c r="H47" s="158">
        <f>$C$47+($I$47-$C$47)*26/31</f>
        <v>30.009392702478149</v>
      </c>
      <c r="I47" s="158">
        <f>(I40*C47)/C40</f>
        <v>31.173654554800745</v>
      </c>
      <c r="J47" s="308" t="s">
        <v>267</v>
      </c>
      <c r="K47" t="s">
        <v>415</v>
      </c>
      <c r="M47" s="30" t="s">
        <v>268</v>
      </c>
      <c r="N47" s="30"/>
      <c r="O47" s="30"/>
      <c r="P47" s="30"/>
      <c r="Q47" s="30"/>
      <c r="R47" s="30"/>
      <c r="S47" s="30"/>
      <c r="T47" s="30"/>
      <c r="U47" s="30"/>
    </row>
    <row r="48" spans="1:21">
      <c r="A48" s="1" t="s">
        <v>23</v>
      </c>
      <c r="B48" s="321">
        <f t="shared" si="5"/>
        <v>46.563391644172015</v>
      </c>
      <c r="C48" s="321">
        <f t="shared" si="5"/>
        <v>36.216602470599383</v>
      </c>
      <c r="D48" s="158">
        <f t="shared" ref="D48:I48" si="8">SUM(D46:D47)</f>
        <v>36.956256338793651</v>
      </c>
      <c r="E48" s="158">
        <f t="shared" si="8"/>
        <v>37.572634562288869</v>
      </c>
      <c r="F48" s="158">
        <f t="shared" si="8"/>
        <v>38.189012785784087</v>
      </c>
      <c r="G48" s="158">
        <f t="shared" si="8"/>
        <v>38.805391009279305</v>
      </c>
      <c r="H48" s="158">
        <f t="shared" si="8"/>
        <v>39.421769232774523</v>
      </c>
      <c r="I48" s="158">
        <f t="shared" si="8"/>
        <v>40.038147456269741</v>
      </c>
      <c r="J48" s="308"/>
      <c r="K48" t="s">
        <v>415</v>
      </c>
      <c r="M48" s="30" t="s">
        <v>23</v>
      </c>
      <c r="N48" s="30"/>
      <c r="O48" s="30"/>
      <c r="P48" s="30"/>
      <c r="Q48" s="30"/>
      <c r="R48" s="30"/>
      <c r="S48" s="30"/>
      <c r="T48" s="30"/>
      <c r="U48" s="30"/>
    </row>
    <row r="49" spans="1:21" ht="17.399999999999999" customHeight="1">
      <c r="A49" s="1" t="s">
        <v>260</v>
      </c>
      <c r="B49" s="321">
        <f t="shared" si="5"/>
        <v>7877.2</v>
      </c>
      <c r="C49" s="321">
        <f t="shared" si="5"/>
        <v>8430.2800000000007</v>
      </c>
      <c r="D49" s="155">
        <f>D34</f>
        <v>9493.8645198729155</v>
      </c>
      <c r="E49" s="181">
        <f t="shared" ref="E49:I49" si="9">E34</f>
        <v>10481.993564573268</v>
      </c>
      <c r="F49" s="181">
        <f t="shared" si="9"/>
        <v>11572.967873911286</v>
      </c>
      <c r="G49" s="181">
        <f t="shared" si="9"/>
        <v>12777.491665635769</v>
      </c>
      <c r="H49" s="181">
        <f t="shared" si="9"/>
        <v>14107.383261076446</v>
      </c>
      <c r="I49" s="181">
        <f t="shared" si="9"/>
        <v>15575.691041939514</v>
      </c>
      <c r="J49" s="308" t="s">
        <v>264</v>
      </c>
      <c r="K49" t="s">
        <v>415</v>
      </c>
      <c r="M49" s="30" t="s">
        <v>269</v>
      </c>
      <c r="N49" s="30"/>
      <c r="O49" s="30"/>
      <c r="P49" s="30"/>
      <c r="Q49" s="30"/>
      <c r="R49" s="30"/>
      <c r="S49" s="30"/>
      <c r="T49" s="30"/>
      <c r="U49" s="30"/>
    </row>
    <row r="50" spans="1:21">
      <c r="A50" s="584" t="s">
        <v>418</v>
      </c>
      <c r="B50" s="584"/>
      <c r="C50" s="584"/>
      <c r="D50" s="584"/>
      <c r="E50" s="584"/>
      <c r="F50" s="584"/>
      <c r="G50" s="584"/>
      <c r="H50" s="584"/>
      <c r="I50" s="584"/>
      <c r="J50" s="584"/>
      <c r="K50" t="s">
        <v>415</v>
      </c>
    </row>
    <row r="52" spans="1:21">
      <c r="A52" s="587" t="s">
        <v>271</v>
      </c>
      <c r="B52" s="587"/>
      <c r="C52" s="587"/>
      <c r="D52" s="587"/>
      <c r="E52" s="587"/>
      <c r="F52" s="587"/>
      <c r="G52" s="587"/>
      <c r="H52" s="587"/>
      <c r="I52" s="587"/>
      <c r="J52" s="587"/>
      <c r="K52" s="587"/>
    </row>
    <row r="54" spans="1:21">
      <c r="A54" s="559" t="s">
        <v>55</v>
      </c>
      <c r="B54" s="559"/>
      <c r="C54" s="559"/>
      <c r="D54" s="559"/>
      <c r="E54" s="559"/>
      <c r="F54" s="559"/>
      <c r="G54" s="559"/>
      <c r="H54" s="559"/>
      <c r="I54" s="559"/>
      <c r="J54" s="559"/>
      <c r="K54" s="559"/>
    </row>
    <row r="55" spans="1:21">
      <c r="B55" t="s">
        <v>633</v>
      </c>
      <c r="C55" t="s">
        <v>272</v>
      </c>
    </row>
    <row r="56" spans="1:21">
      <c r="A56" s="166" t="s">
        <v>273</v>
      </c>
      <c r="B56" s="1">
        <v>2014</v>
      </c>
      <c r="C56" s="1">
        <v>2010</v>
      </c>
      <c r="E56" s="256" t="s">
        <v>443</v>
      </c>
      <c r="F56" s="256" t="s">
        <v>444</v>
      </c>
      <c r="G56" t="s">
        <v>415</v>
      </c>
      <c r="H56" s="256" t="s">
        <v>273</v>
      </c>
      <c r="I56" s="256" t="s">
        <v>445</v>
      </c>
    </row>
    <row r="57" spans="1:21">
      <c r="A57" s="1" t="s">
        <v>274</v>
      </c>
      <c r="B57" s="167">
        <v>0.05</v>
      </c>
      <c r="C57" s="168">
        <f>B57/B$64</f>
        <v>5.2631578947368418E-2</v>
      </c>
      <c r="E57" s="256" t="s">
        <v>43</v>
      </c>
      <c r="F57" s="360"/>
      <c r="H57" s="256" t="s">
        <v>446</v>
      </c>
      <c r="I57" s="361"/>
    </row>
    <row r="58" spans="1:21">
      <c r="A58" s="1" t="s">
        <v>275</v>
      </c>
      <c r="B58" s="167">
        <v>0.24</v>
      </c>
      <c r="C58" s="168">
        <f>B58/B$64</f>
        <v>0.25263157894736837</v>
      </c>
      <c r="E58" s="256" t="s">
        <v>44</v>
      </c>
      <c r="F58" s="360"/>
      <c r="H58" s="256" t="s">
        <v>275</v>
      </c>
      <c r="I58" s="361"/>
    </row>
    <row r="59" spans="1:21">
      <c r="A59" s="1" t="s">
        <v>276</v>
      </c>
      <c r="B59" s="167">
        <v>0.25</v>
      </c>
      <c r="C59" s="168">
        <f>B59/B$64</f>
        <v>0.26315789473684209</v>
      </c>
      <c r="E59" s="256" t="s">
        <v>41</v>
      </c>
      <c r="F59" s="360"/>
      <c r="H59" s="256" t="s">
        <v>447</v>
      </c>
      <c r="I59" s="361"/>
    </row>
    <row r="60" spans="1:21">
      <c r="A60" s="1" t="s">
        <v>277</v>
      </c>
      <c r="B60" s="167">
        <v>0.26</v>
      </c>
      <c r="C60" s="168">
        <f>B60/B$64</f>
        <v>0.27368421052631575</v>
      </c>
      <c r="G60" s="362"/>
      <c r="H60" s="256" t="s">
        <v>448</v>
      </c>
      <c r="I60" s="361"/>
    </row>
    <row r="61" spans="1:21">
      <c r="A61" s="1" t="s">
        <v>278</v>
      </c>
      <c r="B61" s="167">
        <v>0.15</v>
      </c>
      <c r="C61" s="168">
        <f>B61/B$64</f>
        <v>0.15789473684210525</v>
      </c>
      <c r="H61" s="256" t="s">
        <v>449</v>
      </c>
      <c r="I61" s="361"/>
    </row>
    <row r="62" spans="1:21">
      <c r="A62" s="1" t="s">
        <v>279</v>
      </c>
      <c r="B62" s="167">
        <v>0.05</v>
      </c>
      <c r="C62" s="1"/>
      <c r="H62" s="256" t="s">
        <v>450</v>
      </c>
      <c r="I62" s="361"/>
    </row>
    <row r="63" spans="1:21">
      <c r="A63" s="169" t="s">
        <v>23</v>
      </c>
      <c r="B63" s="170">
        <f>SUM(B57:B62)</f>
        <v>1</v>
      </c>
      <c r="C63" s="170">
        <f>SUM(C57:C62)</f>
        <v>1</v>
      </c>
    </row>
    <row r="64" spans="1:21">
      <c r="A64" s="171" t="s">
        <v>280</v>
      </c>
      <c r="B64" s="172">
        <f>SUM(B57:B61)</f>
        <v>0.95000000000000007</v>
      </c>
      <c r="C64" s="171"/>
      <c r="D64" s="35"/>
      <c r="E64" s="35"/>
      <c r="F64" s="35"/>
      <c r="G64" s="35"/>
      <c r="H64" s="35"/>
      <c r="I64" s="35"/>
      <c r="J64" s="35"/>
      <c r="K64" s="35"/>
      <c r="L64" s="35"/>
    </row>
    <row r="65" spans="1:24">
      <c r="A65" s="171"/>
      <c r="B65" s="172"/>
      <c r="C65" s="171"/>
      <c r="D65" s="35"/>
      <c r="E65" s="35"/>
      <c r="F65" s="35"/>
      <c r="G65" s="35"/>
      <c r="H65" s="35"/>
      <c r="I65" s="35"/>
      <c r="J65" s="35"/>
      <c r="K65" s="35"/>
      <c r="L65" s="35"/>
    </row>
    <row r="66" spans="1:24">
      <c r="A66" s="559" t="s">
        <v>150</v>
      </c>
      <c r="B66" s="559"/>
      <c r="C66" s="559"/>
      <c r="D66" s="559"/>
      <c r="E66" s="559"/>
      <c r="F66" s="559"/>
      <c r="G66" s="559"/>
      <c r="H66" s="559"/>
      <c r="I66" s="559"/>
      <c r="J66" s="559"/>
      <c r="K66" s="559"/>
      <c r="M66" s="559" t="s">
        <v>151</v>
      </c>
      <c r="N66" s="559"/>
      <c r="O66" s="559"/>
      <c r="P66" s="559"/>
      <c r="Q66" s="559"/>
      <c r="R66" s="559"/>
      <c r="S66" s="559"/>
      <c r="T66" s="559"/>
      <c r="U66" s="559"/>
    </row>
    <row r="68" spans="1:24">
      <c r="A68" s="173" t="s">
        <v>273</v>
      </c>
      <c r="B68" s="1">
        <v>2019</v>
      </c>
      <c r="C68" s="30">
        <v>2020</v>
      </c>
      <c r="D68" s="30">
        <v>2025</v>
      </c>
      <c r="E68" s="30">
        <v>2030</v>
      </c>
      <c r="F68" s="30">
        <v>2035</v>
      </c>
      <c r="G68" s="30">
        <v>2040</v>
      </c>
      <c r="H68" s="30">
        <v>2045</v>
      </c>
      <c r="I68" s="30">
        <v>2050</v>
      </c>
      <c r="J68" s="1" t="s">
        <v>281</v>
      </c>
      <c r="K68" s="1" t="s">
        <v>282</v>
      </c>
      <c r="M68" s="102" t="s">
        <v>273</v>
      </c>
      <c r="N68" s="30">
        <v>2015</v>
      </c>
      <c r="O68" s="30">
        <v>2020</v>
      </c>
      <c r="P68" s="30">
        <v>2025</v>
      </c>
      <c r="Q68" s="30">
        <v>2030</v>
      </c>
      <c r="R68" s="30">
        <v>2035</v>
      </c>
      <c r="S68" s="30">
        <v>2040</v>
      </c>
      <c r="T68" s="30">
        <v>2045</v>
      </c>
      <c r="U68" s="30">
        <v>2050</v>
      </c>
      <c r="W68" t="s">
        <v>281</v>
      </c>
      <c r="X68" t="s">
        <v>282</v>
      </c>
    </row>
    <row r="69" spans="1:24">
      <c r="A69" s="30" t="s">
        <v>274</v>
      </c>
      <c r="B69" s="165">
        <f t="shared" ref="B69:C74" si="10">B$75*$B57</f>
        <v>24.030850000000001</v>
      </c>
      <c r="C69" s="165">
        <f t="shared" si="10"/>
        <v>24.030850000000001</v>
      </c>
      <c r="D69" s="161">
        <f t="shared" ref="D69:D74" si="11">$B69+($I69-$B69)*6/31</f>
        <v>21.612181492110601</v>
      </c>
      <c r="E69" s="161">
        <f t="shared" ref="E69:E74" si="12">$B69+($I69-$B69)*11/31</f>
        <v>19.596624402202764</v>
      </c>
      <c r="F69" s="161">
        <f t="shared" ref="F69:F74" si="13">$B69+($I69-$B69)*16/31</f>
        <v>17.58106731229493</v>
      </c>
      <c r="G69" s="161">
        <f t="shared" ref="G69:G74" si="14">$B69+($I69-$B69)*21/31</f>
        <v>15.565510222387097</v>
      </c>
      <c r="H69" s="161">
        <f t="shared" ref="H69:H74" si="15">$B69+($I69-$B69)*26/31</f>
        <v>13.549953132479262</v>
      </c>
      <c r="I69" s="161">
        <f t="shared" ref="I69:I74" si="16">B69*J69*K69</f>
        <v>11.534396042571428</v>
      </c>
      <c r="J69" s="1">
        <v>0.3</v>
      </c>
      <c r="K69" s="174">
        <f>I27/B27</f>
        <v>1.5999428571428571</v>
      </c>
      <c r="M69" s="30" t="s">
        <v>274</v>
      </c>
      <c r="N69" s="30">
        <v>51</v>
      </c>
      <c r="O69" s="30"/>
      <c r="P69" s="30"/>
      <c r="Q69" s="30"/>
      <c r="R69" s="30"/>
      <c r="S69" s="30"/>
      <c r="T69" s="30"/>
      <c r="U69" s="30">
        <v>17</v>
      </c>
      <c r="W69">
        <v>0.25</v>
      </c>
      <c r="X69">
        <v>1.29812437895094</v>
      </c>
    </row>
    <row r="70" spans="1:24">
      <c r="A70" s="30" t="s">
        <v>275</v>
      </c>
      <c r="B70" s="165">
        <f t="shared" si="10"/>
        <v>115.34807999999998</v>
      </c>
      <c r="C70" s="165">
        <f t="shared" si="10"/>
        <v>115.34807999999998</v>
      </c>
      <c r="D70" s="161">
        <f t="shared" si="11"/>
        <v>120.45515972344212</v>
      </c>
      <c r="E70" s="161">
        <f t="shared" si="12"/>
        <v>124.71105949297724</v>
      </c>
      <c r="F70" s="161">
        <f t="shared" si="13"/>
        <v>128.96695926251235</v>
      </c>
      <c r="G70" s="161">
        <f t="shared" si="14"/>
        <v>133.22285903204747</v>
      </c>
      <c r="H70" s="161">
        <f t="shared" si="15"/>
        <v>137.47875880158259</v>
      </c>
      <c r="I70" s="161">
        <f t="shared" si="16"/>
        <v>141.73465857111771</v>
      </c>
      <c r="J70" s="1">
        <v>0.96</v>
      </c>
      <c r="K70" s="174">
        <f>0.8*I27/B27</f>
        <v>1.2799542857142858</v>
      </c>
      <c r="M70" s="30" t="s">
        <v>275</v>
      </c>
      <c r="N70" s="30">
        <v>175</v>
      </c>
      <c r="O70" s="30"/>
      <c r="P70" s="30"/>
      <c r="Q70" s="30"/>
      <c r="R70" s="30"/>
      <c r="S70" s="30"/>
      <c r="T70" s="30"/>
      <c r="U70" s="30">
        <v>133</v>
      </c>
      <c r="W70">
        <v>0.9</v>
      </c>
      <c r="X70">
        <v>0.84618478035320199</v>
      </c>
    </row>
    <row r="71" spans="1:24">
      <c r="A71" s="30" t="s">
        <v>276</v>
      </c>
      <c r="B71" s="165">
        <f t="shared" si="10"/>
        <v>120.15424999999999</v>
      </c>
      <c r="C71" s="165">
        <f t="shared" si="10"/>
        <v>120.15424999999999</v>
      </c>
      <c r="D71" s="161">
        <f t="shared" si="11"/>
        <v>134.10631787926266</v>
      </c>
      <c r="E71" s="161">
        <f t="shared" si="12"/>
        <v>145.73304111198155</v>
      </c>
      <c r="F71" s="161">
        <f t="shared" si="13"/>
        <v>157.35976434470047</v>
      </c>
      <c r="G71" s="161">
        <f t="shared" si="14"/>
        <v>168.98648757741935</v>
      </c>
      <c r="H71" s="161">
        <f t="shared" si="15"/>
        <v>180.61321081013824</v>
      </c>
      <c r="I71" s="161">
        <f t="shared" si="16"/>
        <v>192.23993404285713</v>
      </c>
      <c r="J71" s="1">
        <v>1</v>
      </c>
      <c r="K71" s="174">
        <f>I27/B27</f>
        <v>1.5999428571428571</v>
      </c>
      <c r="M71" s="30" t="s">
        <v>276</v>
      </c>
      <c r="N71" s="30">
        <v>360</v>
      </c>
      <c r="O71" s="30"/>
      <c r="P71" s="30"/>
      <c r="Q71" s="30"/>
      <c r="R71" s="30"/>
      <c r="S71" s="30"/>
      <c r="T71" s="30"/>
      <c r="U71" s="30">
        <v>224</v>
      </c>
      <c r="W71">
        <v>0.4</v>
      </c>
      <c r="X71">
        <v>1.55774925474112</v>
      </c>
    </row>
    <row r="72" spans="1:24">
      <c r="A72" s="30" t="s">
        <v>283</v>
      </c>
      <c r="B72" s="165">
        <f t="shared" si="10"/>
        <v>124.96042</v>
      </c>
      <c r="C72" s="165">
        <f t="shared" si="10"/>
        <v>124.96042</v>
      </c>
      <c r="D72" s="161">
        <f t="shared" si="11"/>
        <v>139.47057059443318</v>
      </c>
      <c r="E72" s="161">
        <f t="shared" si="12"/>
        <v>151.56236275646083</v>
      </c>
      <c r="F72" s="161">
        <f t="shared" si="13"/>
        <v>163.65415491848847</v>
      </c>
      <c r="G72" s="161">
        <f t="shared" si="14"/>
        <v>175.74594708051615</v>
      </c>
      <c r="H72" s="161">
        <f t="shared" si="15"/>
        <v>187.83773924254379</v>
      </c>
      <c r="I72" s="161">
        <f t="shared" si="16"/>
        <v>199.92953140457143</v>
      </c>
      <c r="J72" s="1">
        <v>1</v>
      </c>
      <c r="K72" s="174">
        <f>I27/B27</f>
        <v>1.5999428571428571</v>
      </c>
      <c r="M72" s="30" t="s">
        <v>283</v>
      </c>
      <c r="N72" s="30">
        <v>164</v>
      </c>
      <c r="O72" s="30"/>
      <c r="P72" s="30"/>
      <c r="Q72" s="30"/>
      <c r="R72" s="30"/>
      <c r="S72" s="30"/>
      <c r="T72" s="30"/>
      <c r="U72" s="30">
        <v>117</v>
      </c>
      <c r="W72">
        <v>0.5</v>
      </c>
      <c r="X72">
        <v>1.42793681684603</v>
      </c>
    </row>
    <row r="73" spans="1:24">
      <c r="A73" s="30" t="s">
        <v>278</v>
      </c>
      <c r="B73" s="165">
        <f t="shared" si="10"/>
        <v>72.092549999999989</v>
      </c>
      <c r="C73" s="165">
        <f t="shared" si="10"/>
        <v>72.092549999999989</v>
      </c>
      <c r="D73" s="161">
        <f t="shared" si="11"/>
        <v>76.378236152073725</v>
      </c>
      <c r="E73" s="161">
        <f t="shared" si="12"/>
        <v>79.949641278801835</v>
      </c>
      <c r="F73" s="161">
        <f t="shared" si="13"/>
        <v>83.521046405529944</v>
      </c>
      <c r="G73" s="161">
        <f t="shared" si="14"/>
        <v>87.092451532258053</v>
      </c>
      <c r="H73" s="161">
        <f t="shared" si="15"/>
        <v>90.663856658986163</v>
      </c>
      <c r="I73" s="161">
        <f t="shared" si="16"/>
        <v>94.235261785714272</v>
      </c>
      <c r="J73" s="1">
        <v>1</v>
      </c>
      <c r="K73" s="174">
        <f>I25/B25</f>
        <v>1.3071428571428572</v>
      </c>
      <c r="M73" s="30" t="s">
        <v>278</v>
      </c>
      <c r="N73" s="30">
        <v>164</v>
      </c>
      <c r="O73" s="30"/>
      <c r="P73" s="30"/>
      <c r="Q73" s="30"/>
      <c r="R73" s="30"/>
      <c r="S73" s="30"/>
      <c r="T73" s="30"/>
      <c r="U73" s="30">
        <v>139</v>
      </c>
      <c r="W73">
        <v>0.8</v>
      </c>
      <c r="X73">
        <v>1.0577309754415001</v>
      </c>
    </row>
    <row r="74" spans="1:24" s="411" customFormat="1">
      <c r="A74" s="30" t="s">
        <v>447</v>
      </c>
      <c r="B74" s="165">
        <f t="shared" si="10"/>
        <v>24.030850000000001</v>
      </c>
      <c r="C74" s="165">
        <f t="shared" si="10"/>
        <v>24.030850000000001</v>
      </c>
      <c r="D74" s="165">
        <f t="shared" si="11"/>
        <v>34.9292164993741</v>
      </c>
      <c r="E74" s="165">
        <f t="shared" si="12"/>
        <v>44.011188582185845</v>
      </c>
      <c r="F74" s="165">
        <f t="shared" si="13"/>
        <v>53.09316066499759</v>
      </c>
      <c r="G74" s="165">
        <f t="shared" si="14"/>
        <v>62.175132747809336</v>
      </c>
      <c r="H74" s="165">
        <f t="shared" si="15"/>
        <v>71.257104830621074</v>
      </c>
      <c r="I74" s="165">
        <f t="shared" si="16"/>
        <v>80.339076913432834</v>
      </c>
      <c r="J74" s="30">
        <v>1</v>
      </c>
      <c r="K74" s="174">
        <f>I27*I28*I30/(B30*B28*B27)</f>
        <v>3.3431641791044773</v>
      </c>
      <c r="M74" s="30"/>
      <c r="N74" s="30"/>
      <c r="O74" s="30"/>
      <c r="P74" s="30"/>
      <c r="Q74" s="30"/>
      <c r="R74" s="30"/>
      <c r="S74" s="30"/>
      <c r="T74" s="30"/>
      <c r="U74" s="30"/>
    </row>
    <row r="75" spans="1:24">
      <c r="A75" s="83" t="s">
        <v>23</v>
      </c>
      <c r="B75" s="175">
        <f>'Bilan d''énergie SDES historique'!Q30</f>
        <v>480.61699999999996</v>
      </c>
      <c r="C75" s="176">
        <f>B75</f>
        <v>480.61699999999996</v>
      </c>
      <c r="D75" s="176">
        <f t="shared" ref="D75:I75" si="17">SUM(D69:D74)</f>
        <v>526.95168234069638</v>
      </c>
      <c r="E75" s="176">
        <f t="shared" si="17"/>
        <v>565.5639176246101</v>
      </c>
      <c r="F75" s="176">
        <f t="shared" si="17"/>
        <v>604.17615290852382</v>
      </c>
      <c r="G75" s="176">
        <f t="shared" si="17"/>
        <v>642.78838819243742</v>
      </c>
      <c r="H75" s="176">
        <f t="shared" si="17"/>
        <v>681.40062347635103</v>
      </c>
      <c r="I75" s="176">
        <f t="shared" si="17"/>
        <v>720.01285876026486</v>
      </c>
      <c r="J75" s="1"/>
      <c r="K75" s="1"/>
      <c r="M75" s="83" t="s">
        <v>23</v>
      </c>
      <c r="N75" s="101" t="s">
        <v>158</v>
      </c>
      <c r="O75" s="83"/>
      <c r="P75" s="83"/>
      <c r="Q75" s="83"/>
      <c r="R75" s="83"/>
      <c r="S75" s="83"/>
      <c r="T75" s="83"/>
      <c r="U75" s="101" t="s">
        <v>284</v>
      </c>
    </row>
    <row r="76" spans="1:24" ht="27" customHeight="1">
      <c r="A76" s="583" t="s">
        <v>634</v>
      </c>
      <c r="B76" s="583"/>
      <c r="C76" s="583"/>
      <c r="D76" s="583"/>
      <c r="E76" s="583"/>
      <c r="F76" s="583"/>
      <c r="G76" s="583"/>
      <c r="H76" s="583"/>
      <c r="I76" s="583"/>
      <c r="J76" s="583"/>
      <c r="K76" s="583"/>
      <c r="W76" t="s">
        <v>285</v>
      </c>
      <c r="X76" t="s">
        <v>286</v>
      </c>
    </row>
    <row r="77" spans="1:24">
      <c r="A77" s="460"/>
      <c r="B77" s="460"/>
      <c r="C77" s="460"/>
      <c r="D77" s="460"/>
      <c r="E77" s="460"/>
      <c r="F77" s="460"/>
      <c r="G77" s="460"/>
      <c r="H77" s="460"/>
      <c r="I77" s="460"/>
      <c r="J77" s="460"/>
      <c r="K77" s="322"/>
    </row>
    <row r="78" spans="1:24">
      <c r="A78" s="461" t="s">
        <v>451</v>
      </c>
      <c r="B78" s="461">
        <v>2019</v>
      </c>
      <c r="C78" s="461">
        <v>2020</v>
      </c>
      <c r="D78" s="461">
        <v>2025</v>
      </c>
      <c r="E78" s="461">
        <v>2030</v>
      </c>
      <c r="F78" s="461">
        <v>2035</v>
      </c>
      <c r="G78" s="461">
        <v>2040</v>
      </c>
      <c r="H78" s="461">
        <v>2045</v>
      </c>
      <c r="I78" s="461">
        <v>2050</v>
      </c>
      <c r="J78" s="461" t="s">
        <v>394</v>
      </c>
      <c r="K78" s="322"/>
    </row>
    <row r="79" spans="1:24">
      <c r="A79" s="461" t="s">
        <v>452</v>
      </c>
      <c r="B79" s="461"/>
      <c r="C79" s="461"/>
      <c r="D79" s="461"/>
      <c r="E79" s="461"/>
      <c r="F79" s="461"/>
      <c r="G79" s="461"/>
      <c r="H79" s="461"/>
      <c r="I79" s="461"/>
      <c r="J79" s="461"/>
      <c r="K79" s="322"/>
    </row>
    <row r="80" spans="1:24">
      <c r="A80" s="461" t="s">
        <v>453</v>
      </c>
      <c r="B80" s="462" t="e">
        <f>#REF!-B146</f>
        <v>#REF!</v>
      </c>
      <c r="C80" s="462" t="e">
        <f>#REF!-'Résidentiel-tertiaire'!C141</f>
        <v>#REF!</v>
      </c>
      <c r="D80" s="462" t="e">
        <f>($B$80-D79*$F$57*(1-$I$59))*D$27/$C$27</f>
        <v>#REF!</v>
      </c>
      <c r="E80" s="462" t="e">
        <f t="shared" ref="E80:I80" si="18">($B$80-E79*$F$57*(1-$I$59))*E$27/$C$27</f>
        <v>#REF!</v>
      </c>
      <c r="F80" s="462" t="e">
        <f t="shared" si="18"/>
        <v>#REF!</v>
      </c>
      <c r="G80" s="462" t="e">
        <f t="shared" si="18"/>
        <v>#REF!</v>
      </c>
      <c r="H80" s="462" t="e">
        <f t="shared" si="18"/>
        <v>#REF!</v>
      </c>
      <c r="I80" s="462" t="e">
        <f t="shared" si="18"/>
        <v>#REF!</v>
      </c>
      <c r="J80" s="461"/>
      <c r="K80" s="322"/>
    </row>
    <row r="81" spans="1:24">
      <c r="A81" s="588" t="s">
        <v>454</v>
      </c>
      <c r="B81" s="588"/>
      <c r="C81" s="588"/>
      <c r="D81" s="588"/>
      <c r="E81" s="588"/>
      <c r="F81" s="588"/>
      <c r="G81" s="588"/>
      <c r="H81" s="588"/>
      <c r="I81" s="588"/>
      <c r="J81" s="588"/>
      <c r="K81" s="322"/>
    </row>
    <row r="82" spans="1:24">
      <c r="A82" s="322"/>
      <c r="B82" s="322"/>
      <c r="C82" s="322"/>
      <c r="D82" s="322"/>
      <c r="E82" s="322"/>
      <c r="F82" s="322"/>
      <c r="G82" s="322"/>
      <c r="H82" s="322"/>
      <c r="I82" s="322"/>
      <c r="J82" s="322"/>
      <c r="K82" s="322"/>
    </row>
    <row r="83" spans="1:24">
      <c r="A83" s="559" t="s">
        <v>156</v>
      </c>
      <c r="B83" s="559"/>
      <c r="C83" s="559"/>
      <c r="D83" s="559"/>
      <c r="E83" s="559"/>
      <c r="F83" s="559"/>
      <c r="G83" s="559"/>
      <c r="H83" s="559"/>
      <c r="I83" s="559"/>
      <c r="J83" s="559"/>
      <c r="K83" s="559"/>
      <c r="M83" s="559" t="s">
        <v>157</v>
      </c>
      <c r="N83" s="559"/>
      <c r="O83" s="559"/>
      <c r="P83" s="559"/>
      <c r="Q83" s="559"/>
      <c r="R83" s="559"/>
      <c r="S83" s="559"/>
      <c r="T83" s="559"/>
      <c r="U83" s="559"/>
    </row>
    <row r="85" spans="1:24">
      <c r="A85" s="173" t="s">
        <v>273</v>
      </c>
      <c r="B85" s="1">
        <v>2019</v>
      </c>
      <c r="C85" s="30">
        <v>2020</v>
      </c>
      <c r="D85" s="30">
        <v>2025</v>
      </c>
      <c r="E85" s="30">
        <v>2030</v>
      </c>
      <c r="F85" s="30">
        <v>2035</v>
      </c>
      <c r="G85" s="30">
        <v>2040</v>
      </c>
      <c r="H85" s="30">
        <v>2045</v>
      </c>
      <c r="I85" s="30">
        <v>2050</v>
      </c>
      <c r="J85" s="1" t="s">
        <v>281</v>
      </c>
      <c r="K85" s="1" t="s">
        <v>282</v>
      </c>
      <c r="M85" s="102" t="s">
        <v>273</v>
      </c>
      <c r="N85" s="30">
        <v>2015</v>
      </c>
      <c r="O85" s="30">
        <v>2020</v>
      </c>
      <c r="P85" s="30">
        <v>2025</v>
      </c>
      <c r="Q85" s="30">
        <v>2030</v>
      </c>
      <c r="R85" s="30">
        <v>2035</v>
      </c>
      <c r="S85" s="30">
        <v>2040</v>
      </c>
      <c r="T85" s="30">
        <v>2045</v>
      </c>
      <c r="U85" s="30">
        <v>2050</v>
      </c>
      <c r="W85" t="s">
        <v>281</v>
      </c>
      <c r="X85" t="s">
        <v>282</v>
      </c>
    </row>
    <row r="86" spans="1:24">
      <c r="A86" s="30" t="s">
        <v>274</v>
      </c>
      <c r="B86" s="165">
        <f>B$92*$C57</f>
        <v>25.295631578947365</v>
      </c>
      <c r="C86" s="161">
        <f>$B86+($I86-$B86)*5/35</f>
        <v>23.127382962728245</v>
      </c>
      <c r="D86" s="161">
        <f>$B86+($I86-$B86)*6/31</f>
        <v>22.358004421489206</v>
      </c>
      <c r="E86" s="161">
        <f>$B86+($I86-$B86)*11/31</f>
        <v>19.90998179027407</v>
      </c>
      <c r="F86" s="161">
        <f>$B86+($I86-$B86)*16/31</f>
        <v>17.461959159058935</v>
      </c>
      <c r="G86" s="161">
        <f>$B86+($I86-$B86)*21/31</f>
        <v>15.013936527843802</v>
      </c>
      <c r="H86" s="161">
        <f>$B86+($I86-$B86)*26/31</f>
        <v>12.565913896628667</v>
      </c>
      <c r="I86" s="158">
        <f>B86*J86*K86</f>
        <v>10.117891265413533</v>
      </c>
      <c r="J86" s="1">
        <v>0.25</v>
      </c>
      <c r="K86" s="174">
        <f>I42/B42</f>
        <v>1.5999428571428571</v>
      </c>
      <c r="M86" s="30" t="s">
        <v>274</v>
      </c>
      <c r="N86" s="30">
        <v>51.404494382022499</v>
      </c>
      <c r="O86" s="30"/>
      <c r="P86" s="30"/>
      <c r="Q86" s="30"/>
      <c r="R86" s="30"/>
      <c r="S86" s="30"/>
      <c r="T86" s="30"/>
      <c r="U86" s="30">
        <v>17.396810288791901</v>
      </c>
      <c r="W86">
        <v>0.25</v>
      </c>
      <c r="X86">
        <v>1.3537190082644599</v>
      </c>
    </row>
    <row r="87" spans="1:24">
      <c r="A87" s="30" t="s">
        <v>275</v>
      </c>
      <c r="B87" s="165">
        <f>B$92*$C58</f>
        <v>121.41903157894734</v>
      </c>
      <c r="C87" s="161">
        <f>$B87+($I87-$B87)*5/35</f>
        <v>110.73391891781566</v>
      </c>
      <c r="D87" s="161">
        <f>$B87+($I87-$B87)*6/31</f>
        <v>106.94242732838184</v>
      </c>
      <c r="E87" s="161">
        <f>$B87+($I87-$B87)*11/31</f>
        <v>94.878590452910572</v>
      </c>
      <c r="F87" s="161">
        <f>$B87+($I87-$B87)*16/31</f>
        <v>82.814753577439319</v>
      </c>
      <c r="G87" s="161">
        <f>$B87+($I87-$B87)*21/31</f>
        <v>70.750916701968066</v>
      </c>
      <c r="H87" s="161">
        <f>$B87+($I87-$B87)*26/31</f>
        <v>58.68707982649682</v>
      </c>
      <c r="I87" s="158">
        <f>B87*J87*K87</f>
        <v>46.623242951025553</v>
      </c>
      <c r="J87" s="1">
        <v>0.3</v>
      </c>
      <c r="K87" s="174">
        <f>0.8*I42/B42</f>
        <v>1.2799542857142858</v>
      </c>
      <c r="M87" s="30" t="s">
        <v>275</v>
      </c>
      <c r="N87" s="30">
        <v>174.77528089887599</v>
      </c>
      <c r="O87" s="30"/>
      <c r="P87" s="30"/>
      <c r="Q87" s="30"/>
      <c r="R87" s="30"/>
      <c r="S87" s="30"/>
      <c r="T87" s="30"/>
      <c r="U87" s="30">
        <v>138.80335035750801</v>
      </c>
      <c r="W87">
        <v>0.9</v>
      </c>
      <c r="X87">
        <v>0.882424242424242</v>
      </c>
    </row>
    <row r="88" spans="1:24">
      <c r="A88" s="30" t="s">
        <v>276</v>
      </c>
      <c r="B88" s="165">
        <f>B$92*$C59</f>
        <v>126.47815789473682</v>
      </c>
      <c r="C88" s="161">
        <f>$B88+($I88-$B88)*5/35</f>
        <v>113.03517134539203</v>
      </c>
      <c r="D88" s="161">
        <f>$B88+($I88-$B88)*6/31</f>
        <v>108.26507934401162</v>
      </c>
      <c r="E88" s="161">
        <f>$B88+($I88-$B88)*11/31</f>
        <v>93.087513885073975</v>
      </c>
      <c r="F88" s="161">
        <f>$B88+($I88-$B88)*16/31</f>
        <v>77.909948426136296</v>
      </c>
      <c r="G88" s="161">
        <f>$B88+($I88-$B88)*21/31</f>
        <v>62.732382967198632</v>
      </c>
      <c r="H88" s="161">
        <f>$B88+($I88-$B88)*26/31</f>
        <v>47.554817508260967</v>
      </c>
      <c r="I88" s="158">
        <f>B88*J88*K88</f>
        <v>32.377252049323303</v>
      </c>
      <c r="J88" s="1">
        <v>0.2</v>
      </c>
      <c r="K88" s="174">
        <f>0.8*I42/B42</f>
        <v>1.2799542857142858</v>
      </c>
      <c r="M88" s="30" t="s">
        <v>276</v>
      </c>
      <c r="N88" s="30">
        <v>359.83146067415697</v>
      </c>
      <c r="O88" s="30"/>
      <c r="P88" s="30"/>
      <c r="Q88" s="30"/>
      <c r="R88" s="30"/>
      <c r="S88" s="30"/>
      <c r="T88" s="30"/>
      <c r="U88" s="30">
        <v>233.81313028136401</v>
      </c>
      <c r="W88">
        <v>0.4</v>
      </c>
      <c r="X88">
        <v>1.6244628099173599</v>
      </c>
    </row>
    <row r="89" spans="1:24">
      <c r="A89" s="30" t="s">
        <v>283</v>
      </c>
      <c r="B89" s="165">
        <f>B$92*$C60</f>
        <v>131.53728421052628</v>
      </c>
      <c r="C89" s="161">
        <f>$B89+($I89-$B89)*5/35</f>
        <v>119.96174549430029</v>
      </c>
      <c r="D89" s="161">
        <f>$B89+($I89-$B89)*6/31</f>
        <v>115.85429627241365</v>
      </c>
      <c r="E89" s="161">
        <f>$B89+($I89-$B89)*11/31</f>
        <v>102.78513965731979</v>
      </c>
      <c r="F89" s="161">
        <f>$B89+($I89-$B89)*16/31</f>
        <v>89.715983042225929</v>
      </c>
      <c r="G89" s="161">
        <f>$B89+($I89-$B89)*21/31</f>
        <v>76.646826427132069</v>
      </c>
      <c r="H89" s="161">
        <f>$B89+($I89-$B89)*26/31</f>
        <v>63.577669812038209</v>
      </c>
      <c r="I89" s="158">
        <f>B89*J89*K89</f>
        <v>50.508513196944349</v>
      </c>
      <c r="J89" s="1">
        <v>0.3</v>
      </c>
      <c r="K89" s="174">
        <f>0.8*I42/B42</f>
        <v>1.2799542857142858</v>
      </c>
      <c r="M89" s="30" t="s">
        <v>283</v>
      </c>
      <c r="N89" s="30">
        <v>164.494382022472</v>
      </c>
      <c r="O89" s="30"/>
      <c r="P89" s="30"/>
      <c r="Q89" s="30"/>
      <c r="R89" s="30"/>
      <c r="S89" s="30"/>
      <c r="T89" s="30"/>
      <c r="U89" s="30">
        <v>122.473544433095</v>
      </c>
      <c r="W89">
        <v>0.5</v>
      </c>
      <c r="X89">
        <v>1.4890909090909099</v>
      </c>
    </row>
    <row r="90" spans="1:24">
      <c r="A90" s="30" t="s">
        <v>278</v>
      </c>
      <c r="B90" s="165">
        <f>B$92*$C61</f>
        <v>75.886894736842095</v>
      </c>
      <c r="C90" s="161">
        <f>$B90+($I90-$B90)*5/35</f>
        <v>71.847853482277117</v>
      </c>
      <c r="D90" s="161">
        <f>$B90+($I90-$B90)*6/31</f>
        <v>70.414645295173415</v>
      </c>
      <c r="E90" s="161">
        <f>$B90+($I90-$B90)*11/31</f>
        <v>65.854437427116167</v>
      </c>
      <c r="F90" s="161">
        <f>$B90+($I90-$B90)*16/31</f>
        <v>61.294229559058934</v>
      </c>
      <c r="G90" s="161">
        <f>$B90+($I90-$B90)*21/31</f>
        <v>56.734021691001693</v>
      </c>
      <c r="H90" s="161">
        <f>$B90+($I90-$B90)*26/31</f>
        <v>52.173813822944453</v>
      </c>
      <c r="I90" s="158">
        <f>B90*J90*K90</f>
        <v>47.613605954887213</v>
      </c>
      <c r="J90" s="1">
        <v>0.6</v>
      </c>
      <c r="K90" s="174">
        <f>I40/B40*0.8</f>
        <v>1.0457142857142858</v>
      </c>
      <c r="M90" s="30" t="s">
        <v>278</v>
      </c>
      <c r="N90" s="30">
        <v>164.494382022472</v>
      </c>
      <c r="O90" s="30"/>
      <c r="P90" s="30"/>
      <c r="Q90" s="30"/>
      <c r="R90" s="30"/>
      <c r="S90" s="30"/>
      <c r="T90" s="30"/>
      <c r="U90" s="30">
        <v>145.15383043922299</v>
      </c>
      <c r="W90">
        <v>0.8</v>
      </c>
      <c r="X90">
        <v>1.1030303030302999</v>
      </c>
    </row>
    <row r="91" spans="1:24" s="531" customFormat="1">
      <c r="A91" s="467" t="s">
        <v>447</v>
      </c>
      <c r="B91" s="165">
        <f>B92*B62</f>
        <v>24.030850000000001</v>
      </c>
      <c r="C91" s="165">
        <f>B91</f>
        <v>24.030850000000001</v>
      </c>
      <c r="D91" s="165">
        <f t="shared" ref="D91" si="19">$B91+($I91-$B91)*6/31</f>
        <v>20.468182654956188</v>
      </c>
      <c r="E91" s="165">
        <f t="shared" ref="E91" si="20">$B91+($I91-$B91)*11/31</f>
        <v>17.499293200753009</v>
      </c>
      <c r="F91" s="165">
        <f t="shared" ref="F91" si="21">$B91+($I91-$B91)*16/31</f>
        <v>14.530403746549833</v>
      </c>
      <c r="G91" s="165">
        <f t="shared" ref="G91" si="22">$B91+($I91-$B91)*21/31</f>
        <v>11.561514292346656</v>
      </c>
      <c r="H91" s="165">
        <f t="shared" ref="H91" si="23">$B91+($I91-$B91)*26/31</f>
        <v>8.5926248381434789</v>
      </c>
      <c r="I91" s="165">
        <f t="shared" ref="I91" si="24">B91*J91*K91</f>
        <v>5.623735383940299</v>
      </c>
      <c r="J91" s="467">
        <v>0.1</v>
      </c>
      <c r="K91" s="468">
        <f>I27*I28*I30/(B30*B28*B27)*0.7</f>
        <v>2.3402149253731341</v>
      </c>
      <c r="M91" s="467"/>
      <c r="N91" s="467"/>
      <c r="O91" s="467"/>
      <c r="P91" s="467"/>
      <c r="Q91" s="467"/>
      <c r="R91" s="467"/>
      <c r="S91" s="467"/>
      <c r="T91" s="467"/>
      <c r="U91" s="467"/>
    </row>
    <row r="92" spans="1:24">
      <c r="A92" s="83" t="s">
        <v>23</v>
      </c>
      <c r="B92" s="175">
        <f>B75</f>
        <v>480.61699999999996</v>
      </c>
      <c r="C92" s="176">
        <f>C75</f>
        <v>480.61699999999996</v>
      </c>
      <c r="D92" s="176">
        <f>SUM(D86:D91)</f>
        <v>444.30263531642595</v>
      </c>
      <c r="E92" s="176">
        <f t="shared" ref="E92:I92" si="25">SUM(E86:E91)</f>
        <v>394.01495641344763</v>
      </c>
      <c r="F92" s="176">
        <f t="shared" si="25"/>
        <v>343.72727751046926</v>
      </c>
      <c r="G92" s="176">
        <f t="shared" si="25"/>
        <v>293.43959860749095</v>
      </c>
      <c r="H92" s="176">
        <f t="shared" si="25"/>
        <v>243.15191970451258</v>
      </c>
      <c r="I92" s="176">
        <f t="shared" si="25"/>
        <v>192.86424080153424</v>
      </c>
      <c r="J92" s="1"/>
      <c r="K92" s="1"/>
      <c r="M92" s="83" t="s">
        <v>23</v>
      </c>
      <c r="N92" s="83">
        <v>1220</v>
      </c>
      <c r="O92" s="83"/>
      <c r="P92" s="83"/>
      <c r="Q92" s="83"/>
      <c r="R92" s="83"/>
      <c r="S92" s="83"/>
      <c r="T92" s="83"/>
      <c r="U92" s="83">
        <v>967.624595356236</v>
      </c>
      <c r="V92" t="s">
        <v>287</v>
      </c>
    </row>
    <row r="93" spans="1:24" ht="27.6" customHeight="1">
      <c r="A93" s="583" t="s">
        <v>419</v>
      </c>
      <c r="B93" s="583"/>
      <c r="C93" s="583"/>
      <c r="D93" s="583"/>
      <c r="E93" s="583"/>
      <c r="F93" s="583"/>
      <c r="G93" s="583"/>
      <c r="H93" s="583"/>
      <c r="I93" s="583"/>
      <c r="J93" s="583"/>
      <c r="K93" s="583"/>
      <c r="W93" t="s">
        <v>285</v>
      </c>
      <c r="X93" t="s">
        <v>286</v>
      </c>
    </row>
    <row r="95" spans="1:24">
      <c r="A95" s="587" t="s">
        <v>288</v>
      </c>
      <c r="B95" s="587"/>
      <c r="C95" s="587"/>
      <c r="D95" s="587"/>
      <c r="E95" s="587"/>
      <c r="F95" s="587"/>
      <c r="G95" s="587"/>
      <c r="H95" s="587"/>
      <c r="I95" s="587"/>
      <c r="J95" s="587"/>
      <c r="K95" s="587"/>
    </row>
    <row r="97" spans="1:24">
      <c r="A97" s="559" t="s">
        <v>55</v>
      </c>
      <c r="B97" s="559"/>
      <c r="C97" s="559"/>
      <c r="D97" s="559"/>
      <c r="E97" s="559"/>
      <c r="F97" s="559"/>
      <c r="G97" s="559"/>
      <c r="H97" s="559"/>
      <c r="I97" s="559"/>
      <c r="J97" s="559"/>
      <c r="K97" s="559"/>
    </row>
    <row r="98" spans="1:24">
      <c r="B98" t="s">
        <v>289</v>
      </c>
    </row>
    <row r="99" spans="1:24">
      <c r="A99" s="166" t="s">
        <v>44</v>
      </c>
      <c r="B99" s="1" t="s">
        <v>290</v>
      </c>
      <c r="C99" s="1" t="s">
        <v>272</v>
      </c>
    </row>
    <row r="100" spans="1:24">
      <c r="A100" s="1" t="s">
        <v>274</v>
      </c>
      <c r="B100" s="167">
        <v>0</v>
      </c>
      <c r="C100" s="133">
        <f>B100/B$105</f>
        <v>0</v>
      </c>
    </row>
    <row r="101" spans="1:24">
      <c r="A101" s="1" t="s">
        <v>291</v>
      </c>
      <c r="B101" s="167">
        <v>0</v>
      </c>
      <c r="C101" s="133">
        <f>B101/B$105</f>
        <v>0</v>
      </c>
    </row>
    <row r="102" spans="1:24">
      <c r="A102" s="1" t="s">
        <v>275</v>
      </c>
      <c r="B102" s="177">
        <f>13/(13+43+74)</f>
        <v>0.1</v>
      </c>
      <c r="C102" s="133">
        <f>B102/B$105</f>
        <v>0.1</v>
      </c>
    </row>
    <row r="103" spans="1:24">
      <c r="A103" s="1" t="s">
        <v>292</v>
      </c>
      <c r="B103" s="177">
        <f>74/(74+43+13)</f>
        <v>0.56923076923076921</v>
      </c>
      <c r="C103" s="133">
        <f>B103/B$105</f>
        <v>0.56923076923076921</v>
      </c>
    </row>
    <row r="104" spans="1:24" s="411" customFormat="1">
      <c r="A104" s="30" t="s">
        <v>447</v>
      </c>
      <c r="B104" s="177">
        <f>43/(43+74+13)</f>
        <v>0.33076923076923076</v>
      </c>
      <c r="C104" s="156"/>
    </row>
    <row r="105" spans="1:24">
      <c r="A105" s="169" t="s">
        <v>293</v>
      </c>
      <c r="B105" s="170">
        <f>SUM(B100:B104)</f>
        <v>1</v>
      </c>
      <c r="C105" s="170">
        <f>SUM(C100:C103)</f>
        <v>0.66923076923076918</v>
      </c>
    </row>
    <row r="107" spans="1:24">
      <c r="A107" s="559" t="s">
        <v>150</v>
      </c>
      <c r="B107" s="559"/>
      <c r="C107" s="559"/>
      <c r="D107" s="559"/>
      <c r="E107" s="559"/>
      <c r="F107" s="559"/>
      <c r="G107" s="559"/>
      <c r="H107" s="559"/>
      <c r="I107" s="559"/>
      <c r="J107" s="559"/>
      <c r="K107" s="559"/>
      <c r="M107" s="559" t="s">
        <v>151</v>
      </c>
      <c r="N107" s="559"/>
      <c r="O107" s="559"/>
      <c r="P107" s="559"/>
      <c r="Q107" s="559"/>
      <c r="R107" s="559"/>
      <c r="S107" s="559"/>
      <c r="T107" s="559"/>
      <c r="U107" s="559"/>
    </row>
    <row r="109" spans="1:24">
      <c r="A109" s="173" t="s">
        <v>44</v>
      </c>
      <c r="B109" s="1">
        <v>2019</v>
      </c>
      <c r="C109" s="30">
        <v>2020</v>
      </c>
      <c r="D109" s="30">
        <v>2025</v>
      </c>
      <c r="E109" s="30">
        <v>2030</v>
      </c>
      <c r="F109" s="30">
        <v>2035</v>
      </c>
      <c r="G109" s="30">
        <v>2040</v>
      </c>
      <c r="H109" s="30">
        <v>2045</v>
      </c>
      <c r="I109" s="30">
        <v>2050</v>
      </c>
      <c r="J109" s="1" t="s">
        <v>281</v>
      </c>
      <c r="K109" s="1" t="s">
        <v>282</v>
      </c>
      <c r="M109" s="102" t="s">
        <v>44</v>
      </c>
      <c r="N109" s="30">
        <v>2015</v>
      </c>
      <c r="O109" s="30">
        <v>2020</v>
      </c>
      <c r="P109" s="30">
        <v>2025</v>
      </c>
      <c r="Q109" s="30">
        <v>2030</v>
      </c>
      <c r="R109" s="30">
        <v>2035</v>
      </c>
      <c r="S109" s="30">
        <v>2040</v>
      </c>
      <c r="T109" s="30">
        <v>2045</v>
      </c>
      <c r="U109" s="30">
        <v>2050</v>
      </c>
      <c r="W109" t="s">
        <v>281</v>
      </c>
      <c r="X109" t="s">
        <v>282</v>
      </c>
    </row>
    <row r="110" spans="1:24">
      <c r="A110" s="30" t="s">
        <v>274</v>
      </c>
      <c r="B110" s="165">
        <f>B$115*$B100</f>
        <v>0</v>
      </c>
      <c r="C110" s="165">
        <f>C$115*$C100</f>
        <v>0</v>
      </c>
      <c r="D110" s="161">
        <f>$B110+($I110-$B110)*6/31</f>
        <v>0</v>
      </c>
      <c r="E110" s="161">
        <f>$B110+($I110-$B110)*11/31</f>
        <v>0</v>
      </c>
      <c r="F110" s="161">
        <f>$B110+($I110-$B110)*16/31</f>
        <v>0</v>
      </c>
      <c r="G110" s="161">
        <f>$B110+($I110-$B110)*21/31</f>
        <v>0</v>
      </c>
      <c r="H110" s="161">
        <f>$B110+($I110-$B110)*26/31</f>
        <v>0</v>
      </c>
      <c r="I110" s="158">
        <f>B110*J110*K110</f>
        <v>0</v>
      </c>
      <c r="J110" s="1">
        <f>J86</f>
        <v>0.25</v>
      </c>
      <c r="K110" s="174">
        <f>$I$34/$B$34</f>
        <v>1.9773131368937584</v>
      </c>
      <c r="M110" s="30" t="s">
        <v>274</v>
      </c>
      <c r="N110" s="30">
        <v>146</v>
      </c>
      <c r="O110" s="30"/>
      <c r="P110" s="30"/>
      <c r="Q110" s="30"/>
      <c r="R110" s="30"/>
      <c r="S110" s="30"/>
      <c r="T110" s="30"/>
      <c r="U110" s="30">
        <v>95</v>
      </c>
      <c r="W110">
        <v>0.25</v>
      </c>
      <c r="X110">
        <v>2.6102977329026702</v>
      </c>
    </row>
    <row r="111" spans="1:24">
      <c r="A111" s="30" t="s">
        <v>291</v>
      </c>
      <c r="B111" s="165">
        <f>B$115*$B101</f>
        <v>0</v>
      </c>
      <c r="C111" s="165">
        <f>C$115*$C101</f>
        <v>0</v>
      </c>
      <c r="D111" s="161">
        <f>$B111+($I111-$B111)*6/31</f>
        <v>0</v>
      </c>
      <c r="E111" s="161">
        <f>$B111+($I111-$B111)*11/31</f>
        <v>0</v>
      </c>
      <c r="F111" s="161">
        <f>$B111+($I111-$B111)*16/31</f>
        <v>0</v>
      </c>
      <c r="G111" s="161">
        <f>$B111+($I111-$B111)*21/31</f>
        <v>0</v>
      </c>
      <c r="H111" s="161">
        <f>$B111+($I111-$B111)*26/31</f>
        <v>0</v>
      </c>
      <c r="I111" s="158">
        <f>B111*J111*K111</f>
        <v>0</v>
      </c>
      <c r="J111" s="1">
        <v>0.4</v>
      </c>
      <c r="K111" s="174">
        <f>$I$34/$B$34</f>
        <v>1.9773131368937584</v>
      </c>
      <c r="M111" s="30" t="s">
        <v>291</v>
      </c>
      <c r="N111" s="30">
        <v>78</v>
      </c>
      <c r="O111" s="30"/>
      <c r="P111" s="30"/>
      <c r="Q111" s="30"/>
      <c r="R111" s="30"/>
      <c r="S111" s="30"/>
      <c r="T111" s="30"/>
      <c r="U111" s="30">
        <v>82</v>
      </c>
      <c r="W111">
        <v>0.4</v>
      </c>
      <c r="X111">
        <v>2.6102977329026702</v>
      </c>
    </row>
    <row r="112" spans="1:24">
      <c r="A112" s="30" t="s">
        <v>275</v>
      </c>
      <c r="B112" s="165">
        <f>B$115*$B102</f>
        <v>37.300000000000004</v>
      </c>
      <c r="C112" s="165">
        <f>C$115*$C102</f>
        <v>37.300000000000004</v>
      </c>
      <c r="D112" s="161">
        <f>$B112+($I112-$B112)*6/31</f>
        <v>39.787594271775482</v>
      </c>
      <c r="E112" s="161">
        <f>$B112+($I112-$B112)*11/31</f>
        <v>41.860589498255045</v>
      </c>
      <c r="F112" s="161">
        <f>$B112+($I112-$B112)*16/31</f>
        <v>43.933584724734608</v>
      </c>
      <c r="G112" s="161">
        <f>$B112+($I112-$B112)*21/31</f>
        <v>46.006579951214171</v>
      </c>
      <c r="H112" s="161">
        <f>$B112+($I112-$B112)*26/31</f>
        <v>48.079575177693734</v>
      </c>
      <c r="I112" s="158">
        <f>B112*J112*K112</f>
        <v>50.152570404173296</v>
      </c>
      <c r="J112" s="1">
        <v>0.85</v>
      </c>
      <c r="K112" s="174">
        <f>$I$34/$B$34*0.8</f>
        <v>1.5818505095150068</v>
      </c>
      <c r="M112" s="30" t="s">
        <v>275</v>
      </c>
      <c r="N112" s="30">
        <v>45</v>
      </c>
      <c r="O112" s="30"/>
      <c r="P112" s="30"/>
      <c r="Q112" s="30"/>
      <c r="R112" s="30"/>
      <c r="S112" s="30"/>
      <c r="T112" s="30"/>
      <c r="U112" s="30">
        <v>105</v>
      </c>
      <c r="W112">
        <v>0.9</v>
      </c>
      <c r="X112">
        <v>2.6102977329026702</v>
      </c>
    </row>
    <row r="113" spans="1:24">
      <c r="A113" s="30" t="s">
        <v>292</v>
      </c>
      <c r="B113" s="165">
        <f>B$115*$B103</f>
        <v>212.32307692307694</v>
      </c>
      <c r="C113" s="165">
        <f>C$115*$C103</f>
        <v>212.32307692307694</v>
      </c>
      <c r="D113" s="161">
        <f>$B113+($I113-$B113)*6/31</f>
        <v>236.23410088878398</v>
      </c>
      <c r="E113" s="161">
        <f>$B113+($I113-$B113)*11/31</f>
        <v>256.15995419353982</v>
      </c>
      <c r="F113" s="161">
        <f>$B113+($I113-$B113)*16/31</f>
        <v>276.08580749829571</v>
      </c>
      <c r="G113" s="161">
        <f>$B113+($I113-$B113)*21/31</f>
        <v>296.01166080305154</v>
      </c>
      <c r="H113" s="161">
        <f>$B113+($I113-$B113)*26/31</f>
        <v>315.93751410780737</v>
      </c>
      <c r="I113" s="158">
        <f>B113*J113*K113</f>
        <v>335.86336741256326</v>
      </c>
      <c r="J113" s="1">
        <v>1</v>
      </c>
      <c r="K113" s="174">
        <f>$I$34/$B$34*0.8</f>
        <v>1.5818505095150068</v>
      </c>
      <c r="M113" s="30" t="s">
        <v>292</v>
      </c>
      <c r="N113" s="30">
        <v>302</v>
      </c>
      <c r="O113" s="30"/>
      <c r="P113" s="30"/>
      <c r="Q113" s="30"/>
      <c r="R113" s="30"/>
      <c r="S113" s="30"/>
      <c r="T113" s="30"/>
      <c r="U113" s="30">
        <v>395</v>
      </c>
      <c r="W113">
        <v>0.5</v>
      </c>
      <c r="X113">
        <v>2.6102977329026702</v>
      </c>
    </row>
    <row r="114" spans="1:24" s="411" customFormat="1">
      <c r="A114" s="30" t="s">
        <v>447</v>
      </c>
      <c r="B114" s="165">
        <f>B115*B104</f>
        <v>123.37692307692309</v>
      </c>
      <c r="C114" s="165">
        <f>B114</f>
        <v>123.37692307692309</v>
      </c>
      <c r="D114" s="165">
        <f>$B114+($I114-$B114)*6/31</f>
        <v>137.27116673267176</v>
      </c>
      <c r="E114" s="165">
        <f>$B114+($I114-$B114)*11/31</f>
        <v>148.84970311246235</v>
      </c>
      <c r="F114" s="165">
        <f>$B114+($I114-$B114)*16/31</f>
        <v>160.42823949225291</v>
      </c>
      <c r="G114" s="165">
        <f>$B114+($I114-$B114)*21/31</f>
        <v>172.00677587204348</v>
      </c>
      <c r="H114" s="165">
        <f>$B114+($I114-$B114)*26/31</f>
        <v>183.58531225183404</v>
      </c>
      <c r="I114" s="174">
        <f>B114*J114*K114</f>
        <v>195.1638486316246</v>
      </c>
      <c r="J114" s="30">
        <v>1</v>
      </c>
      <c r="K114" s="174">
        <f>$I$34/$B$34*0.8</f>
        <v>1.5818505095150068</v>
      </c>
      <c r="M114" s="30"/>
      <c r="N114" s="30"/>
      <c r="O114" s="30"/>
      <c r="P114" s="30"/>
      <c r="Q114" s="30"/>
      <c r="R114" s="30"/>
      <c r="S114" s="30"/>
      <c r="T114" s="30"/>
      <c r="U114" s="30"/>
    </row>
    <row r="115" spans="1:24">
      <c r="A115" s="83" t="s">
        <v>293</v>
      </c>
      <c r="B115" s="175">
        <f>'Bilan d''énergie SDES historique'!Q31</f>
        <v>373.00000000000006</v>
      </c>
      <c r="C115" s="178">
        <f>B115</f>
        <v>373.00000000000006</v>
      </c>
      <c r="D115" s="178">
        <f t="shared" ref="D115:I115" si="26">SUM(D110:D114)</f>
        <v>413.29286189323125</v>
      </c>
      <c r="E115" s="178">
        <f t="shared" si="26"/>
        <v>446.87024680425719</v>
      </c>
      <c r="F115" s="178">
        <f t="shared" si="26"/>
        <v>480.44763171528325</v>
      </c>
      <c r="G115" s="178">
        <f t="shared" si="26"/>
        <v>514.02501662630925</v>
      </c>
      <c r="H115" s="178">
        <f t="shared" si="26"/>
        <v>547.60240153733514</v>
      </c>
      <c r="I115" s="178">
        <f t="shared" si="26"/>
        <v>581.17978644836114</v>
      </c>
      <c r="J115" s="1"/>
      <c r="K115" s="1"/>
      <c r="M115" s="83" t="s">
        <v>293</v>
      </c>
      <c r="N115" s="101" t="s">
        <v>159</v>
      </c>
      <c r="O115" s="83"/>
      <c r="P115" s="83"/>
      <c r="Q115" s="83"/>
      <c r="R115" s="83"/>
      <c r="S115" s="83"/>
      <c r="T115" s="83"/>
      <c r="U115" s="101" t="s">
        <v>294</v>
      </c>
    </row>
    <row r="116" spans="1:24">
      <c r="A116" s="583" t="s">
        <v>635</v>
      </c>
      <c r="B116" s="583"/>
      <c r="C116" s="583"/>
      <c r="D116" s="583"/>
      <c r="E116" s="583"/>
      <c r="F116" s="583"/>
      <c r="G116" s="583"/>
      <c r="H116" s="583"/>
      <c r="I116" s="583"/>
      <c r="J116" s="583"/>
      <c r="K116" s="583"/>
      <c r="N116" t="s">
        <v>295</v>
      </c>
      <c r="W116" t="s">
        <v>296</v>
      </c>
      <c r="X116" t="s">
        <v>297</v>
      </c>
    </row>
    <row r="118" spans="1:24">
      <c r="A118" s="461" t="s">
        <v>451</v>
      </c>
      <c r="B118" s="461">
        <v>2019</v>
      </c>
      <c r="C118" s="461">
        <v>2020</v>
      </c>
      <c r="D118" s="461">
        <v>2025</v>
      </c>
      <c r="E118" s="461">
        <v>2030</v>
      </c>
      <c r="F118" s="461">
        <v>2035</v>
      </c>
      <c r="G118" s="461">
        <v>2040</v>
      </c>
      <c r="H118" s="461">
        <v>2045</v>
      </c>
      <c r="I118" s="461">
        <v>2050</v>
      </c>
      <c r="J118" s="461" t="s">
        <v>394</v>
      </c>
    </row>
    <row r="119" spans="1:24">
      <c r="A119" s="461" t="s">
        <v>452</v>
      </c>
      <c r="B119" s="461">
        <v>0</v>
      </c>
      <c r="C119" s="461">
        <v>0</v>
      </c>
      <c r="D119" s="461">
        <v>150</v>
      </c>
      <c r="E119" s="461">
        <v>235</v>
      </c>
      <c r="F119" s="461">
        <v>270</v>
      </c>
      <c r="G119" s="461">
        <v>280</v>
      </c>
      <c r="H119" s="461">
        <v>285</v>
      </c>
      <c r="I119" s="461">
        <v>288</v>
      </c>
      <c r="J119" s="461"/>
    </row>
    <row r="120" spans="1:24">
      <c r="A120" s="461" t="s">
        <v>453</v>
      </c>
      <c r="B120" s="462" t="e">
        <f>#REF!-'Résidentiel-tertiaire'!B153</f>
        <v>#REF!</v>
      </c>
      <c r="C120" s="462" t="e">
        <f>#REF!-'Résidentiel-tertiaire'!C153</f>
        <v>#REF!</v>
      </c>
      <c r="D120" s="462" t="e">
        <f>($B$120-D119*$F$58*(1-$I$59))*D$34/$C$34</f>
        <v>#REF!</v>
      </c>
      <c r="E120" s="462" t="e">
        <f t="shared" ref="E120:I120" si="27">($B$120-E119*$F$58*(1-$I$59))*E$34/$C$34</f>
        <v>#REF!</v>
      </c>
      <c r="F120" s="462" t="e">
        <f t="shared" si="27"/>
        <v>#REF!</v>
      </c>
      <c r="G120" s="462" t="e">
        <f t="shared" si="27"/>
        <v>#REF!</v>
      </c>
      <c r="H120" s="462" t="e">
        <f t="shared" si="27"/>
        <v>#REF!</v>
      </c>
      <c r="I120" s="462" t="e">
        <f t="shared" si="27"/>
        <v>#REF!</v>
      </c>
      <c r="J120" s="461"/>
    </row>
    <row r="121" spans="1:24">
      <c r="A121" s="588" t="s">
        <v>455</v>
      </c>
      <c r="B121" s="588"/>
      <c r="C121" s="588"/>
      <c r="D121" s="588"/>
      <c r="E121" s="588"/>
      <c r="F121" s="588"/>
      <c r="G121" s="588"/>
      <c r="H121" s="588"/>
      <c r="I121" s="588"/>
      <c r="J121" s="588"/>
    </row>
    <row r="123" spans="1:24">
      <c r="A123" s="559" t="s">
        <v>156</v>
      </c>
      <c r="B123" s="559"/>
      <c r="C123" s="559"/>
      <c r="D123" s="559"/>
      <c r="E123" s="559"/>
      <c r="F123" s="559"/>
      <c r="G123" s="559"/>
      <c r="H123" s="559"/>
      <c r="I123" s="559"/>
      <c r="J123" s="559"/>
      <c r="K123" s="559"/>
      <c r="M123" s="559" t="s">
        <v>157</v>
      </c>
      <c r="N123" s="559"/>
      <c r="O123" s="559"/>
      <c r="P123" s="559"/>
      <c r="Q123" s="559"/>
      <c r="R123" s="559"/>
      <c r="S123" s="559"/>
      <c r="T123" s="559"/>
      <c r="U123" s="559"/>
    </row>
    <row r="125" spans="1:24">
      <c r="A125" s="173" t="s">
        <v>44</v>
      </c>
      <c r="B125" s="1">
        <v>2019</v>
      </c>
      <c r="C125" s="30">
        <v>2020</v>
      </c>
      <c r="D125" s="30">
        <v>2025</v>
      </c>
      <c r="E125" s="30">
        <v>2030</v>
      </c>
      <c r="F125" s="30">
        <v>2035</v>
      </c>
      <c r="G125" s="30">
        <v>2040</v>
      </c>
      <c r="H125" s="30">
        <v>2045</v>
      </c>
      <c r="I125" s="30">
        <v>2050</v>
      </c>
      <c r="J125" s="1" t="s">
        <v>281</v>
      </c>
      <c r="K125" s="1" t="s">
        <v>282</v>
      </c>
      <c r="M125" s="102" t="s">
        <v>44</v>
      </c>
      <c r="N125" s="30">
        <v>2015</v>
      </c>
      <c r="O125" s="30">
        <v>2020</v>
      </c>
      <c r="P125" s="30">
        <v>2025</v>
      </c>
      <c r="Q125" s="30">
        <v>2030</v>
      </c>
      <c r="R125" s="30">
        <v>2035</v>
      </c>
      <c r="S125" s="30">
        <v>2040</v>
      </c>
      <c r="T125" s="30">
        <v>2045</v>
      </c>
      <c r="U125" s="30">
        <v>2050</v>
      </c>
      <c r="W125" t="s">
        <v>281</v>
      </c>
      <c r="X125" t="s">
        <v>282</v>
      </c>
    </row>
    <row r="126" spans="1:24">
      <c r="A126" s="30" t="s">
        <v>274</v>
      </c>
      <c r="B126" s="165">
        <f t="shared" ref="B126:C129" si="28">B$130*$C100</f>
        <v>0</v>
      </c>
      <c r="C126" s="165">
        <f t="shared" si="28"/>
        <v>0</v>
      </c>
      <c r="D126" s="161">
        <f>$B126+($I126-$B126)*6/31</f>
        <v>0</v>
      </c>
      <c r="E126" s="161">
        <f>$B126+($I126-$B126)*11/31</f>
        <v>0</v>
      </c>
      <c r="F126" s="161">
        <f>$B126+($I126-$B126)*16/31</f>
        <v>0</v>
      </c>
      <c r="G126" s="161">
        <f>$B126+($I126-$B126)*21/31</f>
        <v>0</v>
      </c>
      <c r="H126" s="161">
        <f>$B126+($I126-$B126)*26/31</f>
        <v>0</v>
      </c>
      <c r="I126" s="158">
        <f>B126*J126*K126</f>
        <v>0</v>
      </c>
      <c r="J126" s="1">
        <f>J86</f>
        <v>0.25</v>
      </c>
      <c r="K126" s="174">
        <f>$I$34/$B$34</f>
        <v>1.9773131368937584</v>
      </c>
      <c r="M126" s="30" t="s">
        <v>274</v>
      </c>
      <c r="N126" s="30">
        <v>145.6</v>
      </c>
      <c r="O126" s="30"/>
      <c r="P126" s="30"/>
      <c r="Q126" s="30"/>
      <c r="R126" s="30"/>
      <c r="S126" s="30"/>
      <c r="T126" s="30"/>
      <c r="U126" s="30">
        <v>95.014837477657295</v>
      </c>
      <c r="W126">
        <v>0.25</v>
      </c>
      <c r="X126">
        <v>2.6102977329026702</v>
      </c>
    </row>
    <row r="127" spans="1:24">
      <c r="A127" s="30" t="s">
        <v>291</v>
      </c>
      <c r="B127" s="165">
        <f t="shared" si="28"/>
        <v>0</v>
      </c>
      <c r="C127" s="165">
        <f t="shared" si="28"/>
        <v>0</v>
      </c>
      <c r="D127" s="161">
        <f>$B127+($I127-$B127)*6/31</f>
        <v>0</v>
      </c>
      <c r="E127" s="161">
        <f>$B127+($I127-$B127)*11/31</f>
        <v>0</v>
      </c>
      <c r="F127" s="161">
        <f>$B127+($I127-$B127)*16/31</f>
        <v>0</v>
      </c>
      <c r="G127" s="161">
        <f>$B127+($I127-$B127)*21/31</f>
        <v>0</v>
      </c>
      <c r="H127" s="161">
        <f>$B127+($I127-$B127)*26/31</f>
        <v>0</v>
      </c>
      <c r="I127" s="158">
        <f>B127*J127*K127</f>
        <v>0</v>
      </c>
      <c r="J127" s="1">
        <v>0.4</v>
      </c>
      <c r="K127" s="174">
        <f>$I$34/$B$34</f>
        <v>1.9773131368937584</v>
      </c>
      <c r="M127" s="30" t="s">
        <v>291</v>
      </c>
      <c r="N127" s="30">
        <v>78.400000000000006</v>
      </c>
      <c r="O127" s="30"/>
      <c r="P127" s="30"/>
      <c r="Q127" s="30"/>
      <c r="R127" s="30"/>
      <c r="S127" s="30"/>
      <c r="T127" s="30"/>
      <c r="U127" s="30">
        <v>81.858936903827896</v>
      </c>
      <c r="W127">
        <v>0.4</v>
      </c>
      <c r="X127">
        <v>2.6102977329026702</v>
      </c>
    </row>
    <row r="128" spans="1:24">
      <c r="A128" s="30" t="s">
        <v>275</v>
      </c>
      <c r="B128" s="165">
        <f t="shared" si="28"/>
        <v>37.300000000000004</v>
      </c>
      <c r="C128" s="165">
        <f t="shared" si="28"/>
        <v>37.300000000000004</v>
      </c>
      <c r="D128" s="161">
        <f>$B128+($I128-$B128)*6/31</f>
        <v>38.645600258777229</v>
      </c>
      <c r="E128" s="161">
        <f>$B128+($I128-$B128)*11/31</f>
        <v>39.766933807758242</v>
      </c>
      <c r="F128" s="161">
        <f>$B128+($I128-$B128)*16/31</f>
        <v>40.888267356739263</v>
      </c>
      <c r="G128" s="161">
        <f>$B128+($I128-$B128)*21/31</f>
        <v>42.009600905720283</v>
      </c>
      <c r="H128" s="161">
        <f>$B128+($I128-$B128)*26/31</f>
        <v>43.130934454701297</v>
      </c>
      <c r="I128" s="158">
        <f>B128*J128*K128</f>
        <v>44.252268003682317</v>
      </c>
      <c r="J128" s="1">
        <v>0.6</v>
      </c>
      <c r="K128" s="174">
        <f>$I$34/$B$34</f>
        <v>1.9773131368937584</v>
      </c>
      <c r="M128" s="30" t="s">
        <v>275</v>
      </c>
      <c r="N128" s="30">
        <v>44.8</v>
      </c>
      <c r="O128" s="30"/>
      <c r="P128" s="30"/>
      <c r="Q128" s="30"/>
      <c r="R128" s="30"/>
      <c r="S128" s="30"/>
      <c r="T128" s="30"/>
      <c r="U128" s="30">
        <v>105.247204590636</v>
      </c>
      <c r="W128">
        <v>0.9</v>
      </c>
      <c r="X128">
        <v>2.6102977329026702</v>
      </c>
    </row>
    <row r="129" spans="1:24">
      <c r="A129" s="30" t="s">
        <v>292</v>
      </c>
      <c r="B129" s="165">
        <f t="shared" si="28"/>
        <v>212.32307692307694</v>
      </c>
      <c r="C129" s="165">
        <f t="shared" si="28"/>
        <v>212.32307692307694</v>
      </c>
      <c r="D129" s="161">
        <f>$B129+($I129-$B129)*6/31</f>
        <v>187.47974110308931</v>
      </c>
      <c r="E129" s="161">
        <f>$B129+($I129-$B129)*11/31</f>
        <v>166.77696125309961</v>
      </c>
      <c r="F129" s="161">
        <f>$B129+($I129-$B129)*16/31</f>
        <v>146.07418140310992</v>
      </c>
      <c r="G129" s="161">
        <f>$B129+($I129-$B129)*21/31</f>
        <v>125.37140155312022</v>
      </c>
      <c r="H129" s="161">
        <f>$B129+($I129-$B129)*26/31</f>
        <v>104.66862170313053</v>
      </c>
      <c r="I129" s="158">
        <f>B129*J129*K129</f>
        <v>83.965841853140816</v>
      </c>
      <c r="J129" s="1">
        <v>0.4</v>
      </c>
      <c r="K129" s="174">
        <f>$I$34/$B$34*0.5</f>
        <v>0.98865656844687921</v>
      </c>
      <c r="M129" s="30" t="s">
        <v>292</v>
      </c>
      <c r="N129" s="30">
        <v>302.39999999999998</v>
      </c>
      <c r="O129" s="30"/>
      <c r="P129" s="30"/>
      <c r="Q129" s="30"/>
      <c r="R129" s="30"/>
      <c r="S129" s="30"/>
      <c r="T129" s="30"/>
      <c r="U129" s="30">
        <v>394.67701721488402</v>
      </c>
      <c r="W129">
        <v>0.5</v>
      </c>
      <c r="X129">
        <v>2.6102977329026702</v>
      </c>
    </row>
    <row r="130" spans="1:24">
      <c r="A130" s="83" t="s">
        <v>293</v>
      </c>
      <c r="B130" s="179">
        <f>B115</f>
        <v>373.00000000000006</v>
      </c>
      <c r="C130" s="178">
        <f>C115</f>
        <v>373.00000000000006</v>
      </c>
      <c r="D130" s="178">
        <f t="shared" ref="D130:I130" si="29">SUM(D126:D129)</f>
        <v>226.12534136186653</v>
      </c>
      <c r="E130" s="178">
        <f t="shared" si="29"/>
        <v>206.54389506085786</v>
      </c>
      <c r="F130" s="178">
        <f t="shared" si="29"/>
        <v>186.96244875984917</v>
      </c>
      <c r="G130" s="178">
        <f t="shared" si="29"/>
        <v>167.3810024588405</v>
      </c>
      <c r="H130" s="178">
        <f t="shared" si="29"/>
        <v>147.79955615783183</v>
      </c>
      <c r="I130" s="178">
        <f t="shared" si="29"/>
        <v>128.21810985682313</v>
      </c>
      <c r="J130" s="1"/>
      <c r="K130" s="1"/>
      <c r="M130" s="83" t="s">
        <v>293</v>
      </c>
      <c r="N130" s="83">
        <v>1120</v>
      </c>
      <c r="O130" s="83"/>
      <c r="P130" s="83"/>
      <c r="Q130" s="83"/>
      <c r="R130" s="83"/>
      <c r="S130" s="83"/>
      <c r="T130" s="83"/>
      <c r="U130" s="83">
        <v>1287.8164895048601</v>
      </c>
      <c r="V130" t="s">
        <v>287</v>
      </c>
    </row>
    <row r="131" spans="1:24">
      <c r="A131" s="583" t="s">
        <v>420</v>
      </c>
      <c r="B131" s="583"/>
      <c r="C131" s="583"/>
      <c r="D131" s="583"/>
      <c r="E131" s="583"/>
      <c r="F131" s="583"/>
      <c r="G131" s="583"/>
      <c r="H131" s="583"/>
      <c r="I131" s="583"/>
      <c r="J131" s="583"/>
      <c r="K131" s="583"/>
      <c r="N131" t="s">
        <v>295</v>
      </c>
      <c r="W131" t="s">
        <v>296</v>
      </c>
      <c r="X131" t="s">
        <v>297</v>
      </c>
    </row>
    <row r="132" spans="1:24">
      <c r="N132" t="s">
        <v>298</v>
      </c>
    </row>
    <row r="134" spans="1:24">
      <c r="A134" s="587" t="s">
        <v>299</v>
      </c>
      <c r="B134" s="587"/>
      <c r="C134" s="587"/>
      <c r="D134" s="587"/>
      <c r="E134" s="587"/>
      <c r="F134" s="587"/>
      <c r="G134" s="587"/>
      <c r="H134" s="587"/>
      <c r="I134" s="587"/>
      <c r="J134" s="587"/>
      <c r="K134" s="587"/>
    </row>
    <row r="136" spans="1:24">
      <c r="A136" s="586" t="s">
        <v>300</v>
      </c>
      <c r="B136" s="586"/>
      <c r="C136" s="586"/>
      <c r="D136" s="586"/>
      <c r="E136" s="586"/>
      <c r="F136" s="586"/>
      <c r="G136" s="586"/>
      <c r="H136" s="586"/>
      <c r="I136" s="586"/>
      <c r="J136" s="180"/>
      <c r="K136" s="180"/>
    </row>
    <row r="138" spans="1:24">
      <c r="A138" s="559" t="s">
        <v>301</v>
      </c>
      <c r="B138" s="559"/>
      <c r="C138" s="559"/>
      <c r="D138" s="559"/>
      <c r="E138" s="559"/>
      <c r="F138" s="559"/>
      <c r="G138" s="559"/>
      <c r="H138" s="559"/>
      <c r="I138" s="559"/>
      <c r="J138" s="559"/>
      <c r="M138" s="559" t="s">
        <v>302</v>
      </c>
      <c r="N138" s="559"/>
      <c r="O138" s="559"/>
      <c r="P138" s="559"/>
      <c r="Q138" s="559"/>
      <c r="R138" s="559"/>
      <c r="S138" s="559"/>
      <c r="T138" s="559"/>
      <c r="U138" s="559"/>
    </row>
    <row r="140" spans="1:24">
      <c r="A140" s="1" t="s">
        <v>303</v>
      </c>
      <c r="B140" s="1">
        <v>2019</v>
      </c>
      <c r="C140" s="1">
        <v>2020</v>
      </c>
      <c r="D140" s="1">
        <v>2025</v>
      </c>
      <c r="E140" s="1">
        <v>2030</v>
      </c>
      <c r="F140" s="1">
        <v>2035</v>
      </c>
      <c r="G140" s="1">
        <v>2040</v>
      </c>
      <c r="H140" s="1">
        <v>2045</v>
      </c>
      <c r="I140" s="1">
        <v>2050</v>
      </c>
      <c r="J140" s="256" t="s">
        <v>394</v>
      </c>
      <c r="M140" s="1"/>
      <c r="N140" s="1">
        <v>2015</v>
      </c>
      <c r="O140" s="1">
        <v>2020</v>
      </c>
      <c r="P140" s="1">
        <v>2025</v>
      </c>
      <c r="Q140" s="1">
        <v>2030</v>
      </c>
      <c r="R140" s="1">
        <v>2035</v>
      </c>
      <c r="S140" s="1">
        <v>2040</v>
      </c>
      <c r="T140" s="1">
        <v>2045</v>
      </c>
      <c r="U140" s="1">
        <v>2050</v>
      </c>
    </row>
    <row r="141" spans="1:24">
      <c r="A141" s="1" t="s">
        <v>279</v>
      </c>
      <c r="B141" s="181">
        <v>0</v>
      </c>
      <c r="C141" s="181">
        <v>0</v>
      </c>
      <c r="D141" s="181">
        <v>0</v>
      </c>
      <c r="E141" s="181">
        <v>0</v>
      </c>
      <c r="F141" s="181">
        <v>0</v>
      </c>
      <c r="G141" s="181">
        <v>0</v>
      </c>
      <c r="H141" s="181">
        <v>0</v>
      </c>
      <c r="I141" s="181">
        <v>0</v>
      </c>
      <c r="J141" s="308" t="s">
        <v>421</v>
      </c>
      <c r="K141" t="s">
        <v>415</v>
      </c>
      <c r="M141" s="1" t="s">
        <v>304</v>
      </c>
      <c r="N141" s="1">
        <v>40</v>
      </c>
      <c r="O141" s="1"/>
      <c r="P141" s="1"/>
      <c r="Q141" s="1"/>
      <c r="R141" s="1"/>
      <c r="S141" s="1"/>
      <c r="T141" s="1"/>
      <c r="U141" s="1">
        <v>10</v>
      </c>
    </row>
    <row r="143" spans="1:24">
      <c r="A143" s="559" t="s">
        <v>305</v>
      </c>
      <c r="B143" s="559"/>
      <c r="C143" s="559"/>
      <c r="D143" s="559"/>
      <c r="E143" s="559"/>
      <c r="F143" s="559"/>
      <c r="G143" s="559"/>
      <c r="H143" s="559"/>
      <c r="I143" s="559"/>
      <c r="J143" s="559"/>
      <c r="M143" s="559" t="s">
        <v>306</v>
      </c>
      <c r="N143" s="559"/>
      <c r="O143" s="559"/>
      <c r="P143" s="559"/>
      <c r="Q143" s="559"/>
      <c r="R143" s="559"/>
      <c r="S143" s="559"/>
      <c r="T143" s="559"/>
      <c r="U143" s="559"/>
    </row>
    <row r="145" spans="1:21">
      <c r="A145" s="1" t="s">
        <v>303</v>
      </c>
      <c r="B145" s="1">
        <v>2019</v>
      </c>
      <c r="C145" s="1">
        <v>2020</v>
      </c>
      <c r="D145" s="1">
        <v>2025</v>
      </c>
      <c r="E145" s="1">
        <v>2030</v>
      </c>
      <c r="F145" s="1">
        <v>2035</v>
      </c>
      <c r="G145" s="1">
        <v>2040</v>
      </c>
      <c r="H145" s="1">
        <v>2045</v>
      </c>
      <c r="I145" s="1">
        <v>2050</v>
      </c>
      <c r="J145" s="256" t="s">
        <v>394</v>
      </c>
      <c r="M145" s="1"/>
      <c r="N145" s="1">
        <v>2015</v>
      </c>
      <c r="O145" s="1">
        <v>2020</v>
      </c>
      <c r="P145" s="1">
        <v>2025</v>
      </c>
      <c r="Q145" s="1">
        <v>2030</v>
      </c>
      <c r="R145" s="1">
        <v>2035</v>
      </c>
      <c r="S145" s="1">
        <v>2040</v>
      </c>
      <c r="T145" s="1">
        <v>2045</v>
      </c>
      <c r="U145" s="1">
        <v>2050</v>
      </c>
    </row>
    <row r="146" spans="1:21">
      <c r="A146" s="1" t="s">
        <v>279</v>
      </c>
      <c r="B146" s="181">
        <v>0</v>
      </c>
      <c r="C146" s="181">
        <v>0</v>
      </c>
      <c r="D146" s="182">
        <v>0</v>
      </c>
      <c r="E146" s="181">
        <v>0</v>
      </c>
      <c r="F146" s="182">
        <v>0</v>
      </c>
      <c r="G146" s="181">
        <v>0</v>
      </c>
      <c r="H146" s="182">
        <v>0</v>
      </c>
      <c r="I146" s="181">
        <v>0</v>
      </c>
      <c r="J146" s="308" t="s">
        <v>421</v>
      </c>
      <c r="K146" t="s">
        <v>415</v>
      </c>
      <c r="M146" s="1" t="s">
        <v>304</v>
      </c>
      <c r="N146" s="1"/>
      <c r="O146" s="1"/>
      <c r="P146" s="1"/>
      <c r="Q146" s="1"/>
      <c r="R146" s="1"/>
      <c r="S146" s="1"/>
      <c r="T146" s="1"/>
      <c r="U146" s="1"/>
    </row>
    <row r="148" spans="1:21">
      <c r="A148" s="586" t="s">
        <v>307</v>
      </c>
      <c r="B148" s="586"/>
      <c r="C148" s="586"/>
      <c r="D148" s="586"/>
      <c r="E148" s="586"/>
      <c r="F148" s="586"/>
      <c r="G148" s="586"/>
      <c r="H148" s="586"/>
      <c r="I148" s="586"/>
    </row>
    <row r="150" spans="1:21">
      <c r="A150" s="559" t="s">
        <v>301</v>
      </c>
      <c r="B150" s="559"/>
      <c r="C150" s="559"/>
      <c r="D150" s="559"/>
      <c r="E150" s="559"/>
      <c r="F150" s="559"/>
      <c r="G150" s="559"/>
      <c r="H150" s="559"/>
      <c r="I150" s="559"/>
      <c r="J150" s="559"/>
    </row>
    <row r="152" spans="1:21">
      <c r="A152" s="1" t="s">
        <v>303</v>
      </c>
      <c r="B152" s="1">
        <v>2019</v>
      </c>
      <c r="C152" s="1">
        <v>2020</v>
      </c>
      <c r="D152" s="1">
        <v>2025</v>
      </c>
      <c r="E152" s="1">
        <v>2030</v>
      </c>
      <c r="F152" s="1">
        <v>2035</v>
      </c>
      <c r="G152" s="1">
        <v>2040</v>
      </c>
      <c r="H152" s="1">
        <v>2045</v>
      </c>
      <c r="I152" s="1">
        <v>2050</v>
      </c>
      <c r="J152" s="256" t="s">
        <v>394</v>
      </c>
    </row>
    <row r="153" spans="1:21">
      <c r="A153" s="1" t="s">
        <v>279</v>
      </c>
      <c r="B153" s="181">
        <v>0</v>
      </c>
      <c r="C153" s="181">
        <v>0</v>
      </c>
      <c r="D153" s="182">
        <v>0</v>
      </c>
      <c r="E153" s="181">
        <v>0</v>
      </c>
      <c r="F153" s="182">
        <v>0</v>
      </c>
      <c r="G153" s="181">
        <v>0</v>
      </c>
      <c r="H153" s="182">
        <v>0</v>
      </c>
      <c r="I153" s="181">
        <v>0</v>
      </c>
      <c r="J153" s="308" t="s">
        <v>421</v>
      </c>
      <c r="K153" t="s">
        <v>415</v>
      </c>
    </row>
    <row r="155" spans="1:21">
      <c r="A155" s="559" t="s">
        <v>305</v>
      </c>
      <c r="B155" s="559"/>
      <c r="C155" s="559"/>
      <c r="D155" s="559"/>
      <c r="E155" s="559"/>
      <c r="F155" s="559"/>
      <c r="G155" s="559"/>
      <c r="H155" s="559"/>
      <c r="I155" s="559"/>
      <c r="J155" s="559"/>
    </row>
    <row r="157" spans="1:21">
      <c r="A157" s="1" t="s">
        <v>303</v>
      </c>
      <c r="B157" s="1">
        <v>2019</v>
      </c>
      <c r="C157" s="1">
        <v>2020</v>
      </c>
      <c r="D157" s="1">
        <v>2025</v>
      </c>
      <c r="E157" s="1">
        <v>2030</v>
      </c>
      <c r="F157" s="1">
        <v>2035</v>
      </c>
      <c r="G157" s="1">
        <v>2040</v>
      </c>
      <c r="H157" s="1">
        <v>2045</v>
      </c>
      <c r="I157" s="1">
        <v>2050</v>
      </c>
      <c r="J157" s="256" t="s">
        <v>394</v>
      </c>
    </row>
    <row r="158" spans="1:21">
      <c r="A158" s="1" t="s">
        <v>279</v>
      </c>
      <c r="B158" s="181">
        <v>0</v>
      </c>
      <c r="C158" s="181">
        <v>0</v>
      </c>
      <c r="D158" s="182">
        <v>0</v>
      </c>
      <c r="E158" s="181">
        <v>0</v>
      </c>
      <c r="F158" s="182">
        <v>0</v>
      </c>
      <c r="G158" s="181">
        <v>0</v>
      </c>
      <c r="H158" s="182">
        <v>0</v>
      </c>
      <c r="I158" s="181">
        <v>0</v>
      </c>
      <c r="J158" s="308" t="s">
        <v>421</v>
      </c>
      <c r="K158" t="s">
        <v>415</v>
      </c>
    </row>
    <row r="160" spans="1:21">
      <c r="A160" s="587" t="s">
        <v>308</v>
      </c>
      <c r="B160" s="587"/>
      <c r="C160" s="587"/>
      <c r="D160" s="587"/>
      <c r="E160" s="587"/>
      <c r="F160" s="587"/>
      <c r="G160" s="587"/>
      <c r="H160" s="587"/>
      <c r="I160" s="587"/>
      <c r="J160" s="587"/>
      <c r="K160" s="587"/>
    </row>
    <row r="163" spans="1:11">
      <c r="A163" s="559" t="s">
        <v>301</v>
      </c>
      <c r="B163" s="559"/>
      <c r="C163" s="559"/>
      <c r="D163" s="559"/>
      <c r="E163" s="559"/>
      <c r="F163" s="559"/>
      <c r="G163" s="559"/>
      <c r="H163" s="559"/>
      <c r="I163" s="559"/>
      <c r="J163" s="559"/>
    </row>
    <row r="164" spans="1:11">
      <c r="B164" s="183"/>
      <c r="C164" s="183"/>
      <c r="D164" s="183"/>
      <c r="E164" s="183"/>
      <c r="F164" s="183"/>
      <c r="G164" s="183"/>
      <c r="H164" s="183"/>
      <c r="I164" s="183"/>
    </row>
    <row r="165" spans="1:11">
      <c r="A165" s="30" t="s">
        <v>303</v>
      </c>
      <c r="B165" s="30">
        <v>2019</v>
      </c>
      <c r="C165" s="30">
        <v>2020</v>
      </c>
      <c r="D165" s="30">
        <v>2025</v>
      </c>
      <c r="E165" s="30">
        <v>2030</v>
      </c>
      <c r="F165" s="30">
        <v>2035</v>
      </c>
      <c r="G165" s="30">
        <v>2040</v>
      </c>
      <c r="H165" s="30">
        <v>2045</v>
      </c>
      <c r="I165" s="192">
        <v>2050</v>
      </c>
      <c r="J165" s="256" t="s">
        <v>422</v>
      </c>
      <c r="K165" t="s">
        <v>415</v>
      </c>
    </row>
    <row r="166" spans="1:11">
      <c r="A166" s="30" t="s">
        <v>309</v>
      </c>
      <c r="B166" s="174">
        <f>B141+B75</f>
        <v>480.61699999999996</v>
      </c>
      <c r="C166" s="174">
        <f t="shared" ref="C166:I166" si="30">C141+C75</f>
        <v>480.61699999999996</v>
      </c>
      <c r="D166" s="174">
        <f t="shared" si="30"/>
        <v>526.95168234069638</v>
      </c>
      <c r="E166" s="174">
        <f t="shared" si="30"/>
        <v>565.5639176246101</v>
      </c>
      <c r="F166" s="174">
        <f t="shared" si="30"/>
        <v>604.17615290852382</v>
      </c>
      <c r="G166" s="174">
        <f t="shared" si="30"/>
        <v>642.78838819243742</v>
      </c>
      <c r="H166" s="174">
        <f t="shared" si="30"/>
        <v>681.40062347635103</v>
      </c>
      <c r="I166" s="174">
        <f t="shared" si="30"/>
        <v>720.01285876026486</v>
      </c>
      <c r="J166" s="308" t="s">
        <v>423</v>
      </c>
      <c r="K166" t="s">
        <v>415</v>
      </c>
    </row>
    <row r="167" spans="1:11">
      <c r="A167" s="256" t="s">
        <v>310</v>
      </c>
      <c r="B167" s="174">
        <f>K18</f>
        <v>145.375</v>
      </c>
      <c r="C167" s="174">
        <f>L18</f>
        <v>162.82000000000002</v>
      </c>
      <c r="D167" s="174">
        <f t="shared" ref="D167:I169" si="31">$B167/$B$166*D$166</f>
        <v>159.39011899345786</v>
      </c>
      <c r="E167" s="174">
        <f t="shared" si="31"/>
        <v>171.06938482133944</v>
      </c>
      <c r="F167" s="174">
        <f t="shared" si="31"/>
        <v>182.74865064922099</v>
      </c>
      <c r="G167" s="174">
        <f t="shared" si="31"/>
        <v>194.42791647710254</v>
      </c>
      <c r="H167" s="174">
        <f t="shared" si="31"/>
        <v>206.10718230498406</v>
      </c>
      <c r="I167" s="302">
        <f t="shared" si="31"/>
        <v>217.78644813286567</v>
      </c>
      <c r="J167" s="308" t="s">
        <v>424</v>
      </c>
      <c r="K167" t="s">
        <v>415</v>
      </c>
    </row>
    <row r="168" spans="1:11">
      <c r="A168" s="256" t="s">
        <v>312</v>
      </c>
      <c r="B168" s="174">
        <f>K19</f>
        <v>39.542000000000002</v>
      </c>
      <c r="C168" s="174">
        <f>L19</f>
        <v>39.542000000000002</v>
      </c>
      <c r="D168" s="174">
        <f t="shared" si="31"/>
        <v>43.354112366220541</v>
      </c>
      <c r="E168" s="174">
        <f t="shared" si="31"/>
        <v>46.530872671404332</v>
      </c>
      <c r="F168" s="174">
        <f t="shared" si="31"/>
        <v>49.707632976588116</v>
      </c>
      <c r="G168" s="174">
        <f t="shared" si="31"/>
        <v>52.884393281771899</v>
      </c>
      <c r="H168" s="174">
        <f t="shared" si="31"/>
        <v>56.061153586955676</v>
      </c>
      <c r="I168" s="302">
        <f t="shared" si="31"/>
        <v>59.237913892139474</v>
      </c>
      <c r="J168" s="308" t="s">
        <v>424</v>
      </c>
      <c r="K168" t="s">
        <v>415</v>
      </c>
    </row>
    <row r="169" spans="1:11">
      <c r="A169" s="256" t="s">
        <v>313</v>
      </c>
      <c r="B169" s="174">
        <f>K16</f>
        <v>295.7</v>
      </c>
      <c r="C169" s="174">
        <f>B169</f>
        <v>295.7</v>
      </c>
      <c r="D169" s="174">
        <f t="shared" si="31"/>
        <v>324.20745098101798</v>
      </c>
      <c r="E169" s="174">
        <f t="shared" si="31"/>
        <v>347.96366013186639</v>
      </c>
      <c r="F169" s="174">
        <f t="shared" si="31"/>
        <v>371.71986928271474</v>
      </c>
      <c r="G169" s="174">
        <f t="shared" si="31"/>
        <v>395.47607843356303</v>
      </c>
      <c r="H169" s="174">
        <f t="shared" si="31"/>
        <v>419.23228758441132</v>
      </c>
      <c r="I169" s="302">
        <f t="shared" si="31"/>
        <v>442.98849673525973</v>
      </c>
      <c r="J169" s="308" t="s">
        <v>424</v>
      </c>
      <c r="K169" t="s">
        <v>415</v>
      </c>
    </row>
    <row r="170" spans="1:11">
      <c r="B170" s="183"/>
      <c r="C170" s="183"/>
      <c r="D170" s="183"/>
      <c r="E170" s="183"/>
      <c r="F170" s="183"/>
      <c r="G170" s="183"/>
      <c r="H170" s="183"/>
      <c r="I170" s="183"/>
      <c r="J170" s="308"/>
      <c r="K170" t="s">
        <v>415</v>
      </c>
    </row>
    <row r="171" spans="1:11">
      <c r="A171" s="256" t="s">
        <v>314</v>
      </c>
      <c r="B171" s="174">
        <f>B153+B115</f>
        <v>373.00000000000006</v>
      </c>
      <c r="C171" s="174">
        <f t="shared" ref="C171:H171" si="32">C153+C115</f>
        <v>373.00000000000006</v>
      </c>
      <c r="D171" s="174">
        <f t="shared" si="32"/>
        <v>413.29286189323125</v>
      </c>
      <c r="E171" s="174">
        <f t="shared" si="32"/>
        <v>446.87024680425719</v>
      </c>
      <c r="F171" s="174">
        <f t="shared" si="32"/>
        <v>480.44763171528325</v>
      </c>
      <c r="G171" s="174">
        <f t="shared" si="32"/>
        <v>514.02501662630925</v>
      </c>
      <c r="H171" s="174">
        <f t="shared" si="32"/>
        <v>547.60240153733514</v>
      </c>
      <c r="I171" s="174">
        <f>I153+I115</f>
        <v>581.17978644836114</v>
      </c>
      <c r="J171" s="308"/>
      <c r="K171" t="s">
        <v>415</v>
      </c>
    </row>
    <row r="172" spans="1:11">
      <c r="A172" s="256" t="s">
        <v>310</v>
      </c>
      <c r="B172" s="174">
        <f>'Bilan d''énergie SDES historique'!D31</f>
        <v>0</v>
      </c>
      <c r="C172" s="174">
        <f>B172</f>
        <v>0</v>
      </c>
      <c r="D172" s="174">
        <f t="shared" ref="D172:I174" si="33">$B172/$B$171*D$171</f>
        <v>0</v>
      </c>
      <c r="E172" s="174">
        <f t="shared" si="33"/>
        <v>0</v>
      </c>
      <c r="F172" s="174">
        <f t="shared" si="33"/>
        <v>0</v>
      </c>
      <c r="G172" s="174">
        <f t="shared" si="33"/>
        <v>0</v>
      </c>
      <c r="H172" s="174">
        <f t="shared" si="33"/>
        <v>0</v>
      </c>
      <c r="I172" s="302">
        <f t="shared" si="33"/>
        <v>0</v>
      </c>
      <c r="J172" s="308" t="s">
        <v>424</v>
      </c>
      <c r="K172" t="s">
        <v>415</v>
      </c>
    </row>
    <row r="173" spans="1:11">
      <c r="A173" s="256" t="s">
        <v>312</v>
      </c>
      <c r="B173" s="174">
        <v>0</v>
      </c>
      <c r="C173" s="174">
        <f t="shared" ref="C173:C174" si="34">B173</f>
        <v>0</v>
      </c>
      <c r="D173" s="174">
        <f t="shared" si="33"/>
        <v>0</v>
      </c>
      <c r="E173" s="174">
        <f t="shared" si="33"/>
        <v>0</v>
      </c>
      <c r="F173" s="174">
        <f t="shared" si="33"/>
        <v>0</v>
      </c>
      <c r="G173" s="174">
        <f t="shared" si="33"/>
        <v>0</v>
      </c>
      <c r="H173" s="174">
        <f t="shared" si="33"/>
        <v>0</v>
      </c>
      <c r="I173" s="302">
        <f t="shared" si="33"/>
        <v>0</v>
      </c>
      <c r="J173" s="308" t="s">
        <v>424</v>
      </c>
      <c r="K173" t="s">
        <v>415</v>
      </c>
    </row>
    <row r="174" spans="1:11">
      <c r="A174" s="256" t="s">
        <v>313</v>
      </c>
      <c r="B174" s="174">
        <f>'Bilan d''énergie SDES historique'!N31</f>
        <v>373.00000000000006</v>
      </c>
      <c r="C174" s="174">
        <f t="shared" si="34"/>
        <v>373.00000000000006</v>
      </c>
      <c r="D174" s="174">
        <f t="shared" si="33"/>
        <v>413.29286189323125</v>
      </c>
      <c r="E174" s="174">
        <f t="shared" si="33"/>
        <v>446.87024680425719</v>
      </c>
      <c r="F174" s="174">
        <f t="shared" si="33"/>
        <v>480.44763171528325</v>
      </c>
      <c r="G174" s="174">
        <f t="shared" si="33"/>
        <v>514.02501662630925</v>
      </c>
      <c r="H174" s="174">
        <f t="shared" si="33"/>
        <v>547.60240153733514</v>
      </c>
      <c r="I174" s="302">
        <f t="shared" si="33"/>
        <v>581.17978644836114</v>
      </c>
      <c r="J174" s="308" t="s">
        <v>424</v>
      </c>
      <c r="K174" t="s">
        <v>416</v>
      </c>
    </row>
    <row r="175" spans="1:11">
      <c r="A175" s="584" t="s">
        <v>425</v>
      </c>
      <c r="B175" s="584"/>
      <c r="C175" s="584"/>
      <c r="D175" s="584"/>
      <c r="E175" s="584"/>
      <c r="F175" s="584"/>
      <c r="G175" s="584"/>
      <c r="H175" s="584"/>
      <c r="I175" s="584"/>
      <c r="J175" s="584"/>
    </row>
    <row r="177" spans="1:11">
      <c r="A177" s="559" t="s">
        <v>305</v>
      </c>
      <c r="B177" s="559"/>
      <c r="C177" s="559"/>
      <c r="D177" s="559"/>
      <c r="E177" s="559"/>
      <c r="F177" s="559"/>
      <c r="G177" s="559"/>
      <c r="H177" s="559"/>
      <c r="I177" s="559"/>
      <c r="J177" s="559"/>
    </row>
    <row r="178" spans="1:11">
      <c r="B178" s="183"/>
      <c r="C178" s="183"/>
      <c r="D178" s="183"/>
      <c r="E178" s="183"/>
      <c r="F178" s="183"/>
      <c r="G178" s="183"/>
      <c r="H178" s="183"/>
      <c r="I178" s="183"/>
    </row>
    <row r="179" spans="1:11">
      <c r="A179" s="30" t="s">
        <v>303</v>
      </c>
      <c r="B179" s="30">
        <v>2019</v>
      </c>
      <c r="C179" s="30">
        <v>2020</v>
      </c>
      <c r="D179" s="30">
        <v>2025</v>
      </c>
      <c r="E179" s="30">
        <v>2030</v>
      </c>
      <c r="F179" s="30">
        <v>2035</v>
      </c>
      <c r="G179" s="30">
        <v>2040</v>
      </c>
      <c r="H179" s="30">
        <v>2045</v>
      </c>
      <c r="I179" s="192">
        <v>2050</v>
      </c>
      <c r="J179" s="256" t="s">
        <v>394</v>
      </c>
      <c r="K179" t="s">
        <v>415</v>
      </c>
    </row>
    <row r="180" spans="1:11">
      <c r="A180" s="30" t="s">
        <v>309</v>
      </c>
      <c r="B180" s="165">
        <f t="shared" ref="B180:I180" si="35">B146+B92</f>
        <v>480.61699999999996</v>
      </c>
      <c r="C180" s="165">
        <f t="shared" si="35"/>
        <v>480.61699999999996</v>
      </c>
      <c r="D180" s="165">
        <f t="shared" si="35"/>
        <v>444.30263531642595</v>
      </c>
      <c r="E180" s="165">
        <f t="shared" si="35"/>
        <v>394.01495641344763</v>
      </c>
      <c r="F180" s="165">
        <f t="shared" si="35"/>
        <v>343.72727751046926</v>
      </c>
      <c r="G180" s="165">
        <f t="shared" si="35"/>
        <v>293.43959860749095</v>
      </c>
      <c r="H180" s="165">
        <f t="shared" si="35"/>
        <v>243.15191970451258</v>
      </c>
      <c r="I180" s="307">
        <f t="shared" si="35"/>
        <v>192.86424080153424</v>
      </c>
      <c r="J180" s="308"/>
      <c r="K180" t="s">
        <v>415</v>
      </c>
    </row>
    <row r="181" spans="1:11">
      <c r="A181" s="256" t="s">
        <v>310</v>
      </c>
      <c r="B181" s="181">
        <f>K18</f>
        <v>145.375</v>
      </c>
      <c r="C181" s="181">
        <f>L18</f>
        <v>162.82000000000002</v>
      </c>
      <c r="D181" s="165">
        <f>C181+($I181-$C181)/6</f>
        <v>135.68333333333334</v>
      </c>
      <c r="E181" s="165">
        <f>D181+($I181-$C181)/6</f>
        <v>108.54666666666667</v>
      </c>
      <c r="F181" s="165">
        <f>E181+($I181-$C181)/6</f>
        <v>81.41</v>
      </c>
      <c r="G181" s="165">
        <f>F181+($I181-$C181)/6</f>
        <v>54.273333333333326</v>
      </c>
      <c r="H181" s="165">
        <f>G181+($I181-$C181)/6</f>
        <v>27.136666666666656</v>
      </c>
      <c r="I181" s="307">
        <v>0</v>
      </c>
      <c r="J181" s="308" t="s">
        <v>315</v>
      </c>
      <c r="K181" t="s">
        <v>415</v>
      </c>
    </row>
    <row r="182" spans="1:11">
      <c r="A182" s="256" t="s">
        <v>312</v>
      </c>
      <c r="B182" s="181">
        <f>K19</f>
        <v>39.542000000000002</v>
      </c>
      <c r="C182" s="181">
        <f>L19</f>
        <v>39.542000000000002</v>
      </c>
      <c r="D182" s="165">
        <f t="shared" ref="D182:I182" si="36">$C182/$C$180*D$180+($C181/$C180*D180/3)</f>
        <v>86.726852843509377</v>
      </c>
      <c r="E182" s="165">
        <f t="shared" si="36"/>
        <v>76.910813546433872</v>
      </c>
      <c r="F182" s="165">
        <f t="shared" si="36"/>
        <v>67.094774249358323</v>
      </c>
      <c r="G182" s="165">
        <f t="shared" si="36"/>
        <v>57.278734952282804</v>
      </c>
      <c r="H182" s="165">
        <f t="shared" si="36"/>
        <v>47.46269565520727</v>
      </c>
      <c r="I182" s="307">
        <f t="shared" si="36"/>
        <v>37.646656358131743</v>
      </c>
      <c r="J182" s="308" t="s">
        <v>316</v>
      </c>
      <c r="K182" t="s">
        <v>415</v>
      </c>
    </row>
    <row r="183" spans="1:11">
      <c r="A183" s="256" t="s">
        <v>313</v>
      </c>
      <c r="B183" s="181">
        <f>B169</f>
        <v>295.7</v>
      </c>
      <c r="C183" s="181">
        <f>B183</f>
        <v>295.7</v>
      </c>
      <c r="D183" s="165">
        <f t="shared" ref="D183:I183" si="37">D180-D181-D182</f>
        <v>221.89244913958322</v>
      </c>
      <c r="E183" s="165">
        <f t="shared" si="37"/>
        <v>208.55747620034708</v>
      </c>
      <c r="F183" s="165">
        <f t="shared" si="37"/>
        <v>195.22250326111092</v>
      </c>
      <c r="G183" s="165">
        <f t="shared" si="37"/>
        <v>181.88753032187483</v>
      </c>
      <c r="H183" s="165">
        <f t="shared" si="37"/>
        <v>168.55255738263867</v>
      </c>
      <c r="I183" s="307">
        <f t="shared" si="37"/>
        <v>155.2175844434025</v>
      </c>
      <c r="J183" s="308" t="s">
        <v>317</v>
      </c>
      <c r="K183" t="s">
        <v>415</v>
      </c>
    </row>
    <row r="184" spans="1:11">
      <c r="B184" s="183"/>
      <c r="C184" s="183"/>
      <c r="D184" s="183"/>
      <c r="E184" s="183"/>
      <c r="F184" s="183"/>
      <c r="G184" s="183"/>
      <c r="H184" s="183"/>
      <c r="I184" s="183"/>
      <c r="J184" s="308"/>
    </row>
    <row r="185" spans="1:11">
      <c r="A185" s="256" t="s">
        <v>314</v>
      </c>
      <c r="B185" s="165">
        <f t="shared" ref="B185:I185" si="38">B158+B130</f>
        <v>373.00000000000006</v>
      </c>
      <c r="C185" s="165">
        <f t="shared" si="38"/>
        <v>373.00000000000006</v>
      </c>
      <c r="D185" s="165">
        <f t="shared" si="38"/>
        <v>226.12534136186653</v>
      </c>
      <c r="E185" s="165">
        <f t="shared" si="38"/>
        <v>206.54389506085786</v>
      </c>
      <c r="F185" s="165">
        <f t="shared" si="38"/>
        <v>186.96244875984917</v>
      </c>
      <c r="G185" s="165">
        <f t="shared" si="38"/>
        <v>167.3810024588405</v>
      </c>
      <c r="H185" s="165">
        <f t="shared" si="38"/>
        <v>147.79955615783183</v>
      </c>
      <c r="I185" s="307">
        <f t="shared" si="38"/>
        <v>128.21810985682313</v>
      </c>
      <c r="J185" s="308"/>
      <c r="K185" t="s">
        <v>415</v>
      </c>
    </row>
    <row r="186" spans="1:11">
      <c r="A186" s="256" t="s">
        <v>310</v>
      </c>
      <c r="B186" s="181">
        <f t="shared" ref="B186:C188" si="39">B172</f>
        <v>0</v>
      </c>
      <c r="C186" s="181">
        <f t="shared" si="39"/>
        <v>0</v>
      </c>
      <c r="D186" s="165">
        <f>C186+($I186-$C186)/6</f>
        <v>0</v>
      </c>
      <c r="E186" s="165">
        <f>D186+($I186-$C186)/6</f>
        <v>0</v>
      </c>
      <c r="F186" s="165">
        <f>E186+($I186-$C186)/6</f>
        <v>0</v>
      </c>
      <c r="G186" s="165">
        <f>F186+($I186-$C186)/6</f>
        <v>0</v>
      </c>
      <c r="H186" s="165">
        <f>G186+($I186-$C186)/6</f>
        <v>0</v>
      </c>
      <c r="I186" s="307">
        <v>0</v>
      </c>
      <c r="J186" s="308" t="s">
        <v>315</v>
      </c>
      <c r="K186" t="s">
        <v>415</v>
      </c>
    </row>
    <row r="187" spans="1:11">
      <c r="A187" s="256" t="s">
        <v>312</v>
      </c>
      <c r="B187" s="181">
        <f t="shared" si="39"/>
        <v>0</v>
      </c>
      <c r="C187" s="181">
        <f t="shared" si="39"/>
        <v>0</v>
      </c>
      <c r="D187" s="165">
        <f t="shared" ref="D187:I187" si="40">$C187/$C$185*D$185</f>
        <v>0</v>
      </c>
      <c r="E187" s="165">
        <f t="shared" si="40"/>
        <v>0</v>
      </c>
      <c r="F187" s="165">
        <f t="shared" si="40"/>
        <v>0</v>
      </c>
      <c r="G187" s="165">
        <f t="shared" si="40"/>
        <v>0</v>
      </c>
      <c r="H187" s="165">
        <f t="shared" si="40"/>
        <v>0</v>
      </c>
      <c r="I187" s="307">
        <f t="shared" si="40"/>
        <v>0</v>
      </c>
      <c r="J187" s="308" t="s">
        <v>311</v>
      </c>
      <c r="K187" t="s">
        <v>415</v>
      </c>
    </row>
    <row r="188" spans="1:11">
      <c r="A188" s="256" t="s">
        <v>313</v>
      </c>
      <c r="B188" s="181">
        <f t="shared" si="39"/>
        <v>373.00000000000006</v>
      </c>
      <c r="C188" s="181">
        <f t="shared" si="39"/>
        <v>373.00000000000006</v>
      </c>
      <c r="D188" s="165">
        <f t="shared" ref="D188:I188" si="41">D185-D186-D187</f>
        <v>226.12534136186653</v>
      </c>
      <c r="E188" s="165">
        <f t="shared" si="41"/>
        <v>206.54389506085786</v>
      </c>
      <c r="F188" s="165">
        <f t="shared" si="41"/>
        <v>186.96244875984917</v>
      </c>
      <c r="G188" s="165">
        <f t="shared" si="41"/>
        <v>167.3810024588405</v>
      </c>
      <c r="H188" s="165">
        <f t="shared" si="41"/>
        <v>147.79955615783183</v>
      </c>
      <c r="I188" s="307">
        <f t="shared" si="41"/>
        <v>128.21810985682313</v>
      </c>
      <c r="J188" s="308" t="s">
        <v>317</v>
      </c>
      <c r="K188" t="s">
        <v>416</v>
      </c>
    </row>
    <row r="189" spans="1:11">
      <c r="A189" s="584" t="s">
        <v>661</v>
      </c>
      <c r="B189" s="584"/>
      <c r="C189" s="584"/>
      <c r="D189" s="584"/>
      <c r="E189" s="584"/>
      <c r="F189" s="584"/>
      <c r="G189" s="584"/>
      <c r="H189" s="584"/>
      <c r="I189" s="584"/>
      <c r="J189" s="584"/>
    </row>
    <row r="191" spans="1:11">
      <c r="E191">
        <f>(E180+E185)/(B180+B185)</f>
        <v>0.70354602998101667</v>
      </c>
      <c r="I191">
        <f>(I180+I185)/(B180+B185)</f>
        <v>0.37614334140294464</v>
      </c>
    </row>
  </sheetData>
  <mergeCells count="40">
    <mergeCell ref="M66:U66"/>
    <mergeCell ref="M83:U83"/>
    <mergeCell ref="A2:K2"/>
    <mergeCell ref="M22:U22"/>
    <mergeCell ref="M37:U37"/>
    <mergeCell ref="A35:J35"/>
    <mergeCell ref="A37:K37"/>
    <mergeCell ref="A22:K22"/>
    <mergeCell ref="A4:K4"/>
    <mergeCell ref="A50:J50"/>
    <mergeCell ref="A76:K76"/>
    <mergeCell ref="A83:K83"/>
    <mergeCell ref="A66:K66"/>
    <mergeCell ref="A54:K54"/>
    <mergeCell ref="A52:K52"/>
    <mergeCell ref="A81:J81"/>
    <mergeCell ref="M138:U138"/>
    <mergeCell ref="M143:U143"/>
    <mergeCell ref="A143:J143"/>
    <mergeCell ref="A138:J138"/>
    <mergeCell ref="A95:K95"/>
    <mergeCell ref="M107:U107"/>
    <mergeCell ref="M123:U123"/>
    <mergeCell ref="A93:K93"/>
    <mergeCell ref="A116:K116"/>
    <mergeCell ref="A131:K131"/>
    <mergeCell ref="A123:K123"/>
    <mergeCell ref="A107:K107"/>
    <mergeCell ref="A97:K97"/>
    <mergeCell ref="A121:J121"/>
    <mergeCell ref="A148:I148"/>
    <mergeCell ref="A160:K160"/>
    <mergeCell ref="A175:J175"/>
    <mergeCell ref="A134:K134"/>
    <mergeCell ref="A136:I136"/>
    <mergeCell ref="A189:J189"/>
    <mergeCell ref="A177:J177"/>
    <mergeCell ref="A163:J163"/>
    <mergeCell ref="A155:J155"/>
    <mergeCell ref="A150:J150"/>
  </mergeCells>
  <pageMargins left="0.7" right="0.7" top="0.75" bottom="0.75" header="0.51180555555555496" footer="0.51180555555555496"/>
  <pageSetup paperSize="9" firstPageNumber="0" orientation="landscape"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topLeftCell="A28" zoomScaleNormal="100" workbookViewId="0">
      <selection activeCell="AF46" sqref="AF46"/>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559" t="s">
        <v>55</v>
      </c>
      <c r="B2" s="559"/>
      <c r="C2" s="559"/>
      <c r="D2" s="559"/>
      <c r="E2" s="559"/>
      <c r="F2" s="559"/>
      <c r="G2" s="559"/>
      <c r="H2" s="559"/>
      <c r="I2" s="559"/>
      <c r="J2" s="559"/>
      <c r="K2" s="559"/>
      <c r="L2" s="559"/>
      <c r="M2" s="559"/>
    </row>
    <row r="4" spans="1:47">
      <c r="A4" s="30"/>
      <c r="B4" s="30">
        <v>2010</v>
      </c>
      <c r="C4" s="30">
        <v>2011</v>
      </c>
      <c r="D4" s="30">
        <v>2012</v>
      </c>
      <c r="E4" s="30">
        <v>2013</v>
      </c>
      <c r="F4" s="30">
        <v>2014</v>
      </c>
      <c r="G4" s="30">
        <v>2015</v>
      </c>
      <c r="H4" s="30">
        <v>2016</v>
      </c>
      <c r="I4" s="30">
        <v>2017</v>
      </c>
      <c r="J4" s="30">
        <v>2018</v>
      </c>
      <c r="K4" s="30">
        <v>2019</v>
      </c>
      <c r="L4" s="30">
        <v>2020</v>
      </c>
      <c r="M4" s="256" t="s">
        <v>394</v>
      </c>
      <c r="Q4" s="35"/>
    </row>
    <row r="5" spans="1:47">
      <c r="A5" s="30" t="s">
        <v>318</v>
      </c>
      <c r="B5" s="39">
        <f>GES!V10</f>
        <v>248.24068311407527</v>
      </c>
      <c r="C5" s="39">
        <f>GES!W10</f>
        <v>244.53514023562326</v>
      </c>
      <c r="D5" s="39">
        <f>GES!X10</f>
        <v>237.56035611345112</v>
      </c>
      <c r="E5" s="39">
        <f>GES!Y10</f>
        <v>232.0200671144182</v>
      </c>
      <c r="F5" s="39">
        <f>GES!Z10</f>
        <v>231.39915968206245</v>
      </c>
      <c r="G5" s="39">
        <f>GES!AA10</f>
        <v>227.68816671888348</v>
      </c>
      <c r="H5" s="39">
        <f>GES!AB10</f>
        <v>213.74360148734803</v>
      </c>
      <c r="I5" s="39">
        <f>GES!AC10</f>
        <v>210.28551958716528</v>
      </c>
      <c r="J5" s="39">
        <f>GES!AD10</f>
        <v>206.49761780133781</v>
      </c>
      <c r="K5" s="39">
        <f>GES!AE10</f>
        <v>225.99375684721821</v>
      </c>
      <c r="L5" s="30"/>
      <c r="M5" s="315" t="s">
        <v>224</v>
      </c>
      <c r="Q5" s="35"/>
    </row>
    <row r="6" spans="1:47">
      <c r="A6" s="1" t="s">
        <v>319</v>
      </c>
      <c r="B6" s="184">
        <f>258.315186097854*GES!$F$29/1000</f>
        <v>76.977925457160495</v>
      </c>
      <c r="C6" s="184">
        <f>254.351865681681*GES!$F$29/1000</f>
        <v>75.796855973140936</v>
      </c>
      <c r="D6" s="184">
        <f>252.35314108906*GES!$F$29/1000</f>
        <v>75.201236044539883</v>
      </c>
      <c r="E6" s="184">
        <f>246.6129267175*GES!$F$29/1000</f>
        <v>73.490652161815007</v>
      </c>
      <c r="F6" s="184">
        <f>248.14259826347*GES!$F$29/1000</f>
        <v>73.946494282514067</v>
      </c>
      <c r="G6" s="184">
        <f>243.349249462524*GES!$F$29/1000</f>
        <v>72.518076339832163</v>
      </c>
      <c r="H6" s="184">
        <f>228.340941512926*GES!$F$29/1000</f>
        <v>68.045600570851946</v>
      </c>
      <c r="I6" s="184">
        <f>228.814667347332*GES!$F$29/1000</f>
        <v>68.18677086950494</v>
      </c>
      <c r="J6" s="184">
        <f>221.730537865938*GES!$F$29/1000</f>
        <v>66.075700284049532</v>
      </c>
      <c r="K6" s="184">
        <f>238.94685150785*GES!$F$29/1000</f>
        <v>71.206161749339302</v>
      </c>
      <c r="L6" s="30"/>
      <c r="M6" s="315" t="s">
        <v>320</v>
      </c>
      <c r="Q6" s="35"/>
    </row>
    <row r="7" spans="1:47">
      <c r="A7" s="1" t="s">
        <v>321</v>
      </c>
      <c r="B7" s="184">
        <f>6598.63790514766*GES!$F$28/1000</f>
        <v>164.96594762869151</v>
      </c>
      <c r="C7" s="184">
        <f>6467.02299017786*GES!$F$28/1000</f>
        <v>161.6755747544465</v>
      </c>
      <c r="D7" s="184">
        <f>6185.83526043141*GES!$F$28/1000</f>
        <v>154.64588151078522</v>
      </c>
      <c r="E7" s="184">
        <f>6082.26691291466*GES!$F$28/1000</f>
        <v>152.05667282286649</v>
      </c>
      <c r="F7" s="184">
        <f>6017.51009854739*GES!$F$28/1000</f>
        <v>150.43775246368475</v>
      </c>
      <c r="G7" s="184">
        <f>5945.11504539532*GES!$F$28/1000</f>
        <v>148.627876134883</v>
      </c>
      <c r="H7" s="184">
        <f>5545.3902601536*GES!$F$28/1000</f>
        <v>138.63475650384001</v>
      </c>
      <c r="I7" s="184">
        <f>5399.82793954424*GES!$F$28/1000</f>
        <v>134.995698488606</v>
      </c>
      <c r="J7" s="184">
        <f>5306.07809258699*GES!$F$28/1000</f>
        <v>132.65195231467476</v>
      </c>
      <c r="K7" s="184">
        <f>5854.14341409464*GES!$F$28/1000</f>
        <v>146.353585352366</v>
      </c>
      <c r="L7" s="30"/>
      <c r="M7" s="315" t="s">
        <v>322</v>
      </c>
      <c r="Q7" s="35"/>
    </row>
    <row r="8" spans="1:47">
      <c r="A8" s="1" t="s">
        <v>323</v>
      </c>
      <c r="B8" s="184">
        <f t="shared" ref="B8:K8" si="0">SUM(B6:B7)</f>
        <v>241.943873085852</v>
      </c>
      <c r="C8" s="184">
        <f t="shared" si="0"/>
        <v>237.47243072758744</v>
      </c>
      <c r="D8" s="184">
        <f t="shared" si="0"/>
        <v>229.8471175553251</v>
      </c>
      <c r="E8" s="184">
        <f t="shared" si="0"/>
        <v>225.5473249846815</v>
      </c>
      <c r="F8" s="184">
        <f t="shared" si="0"/>
        <v>224.38424674619881</v>
      </c>
      <c r="G8" s="184">
        <f t="shared" si="0"/>
        <v>221.14595247471516</v>
      </c>
      <c r="H8" s="184">
        <f t="shared" si="0"/>
        <v>206.68035707469195</v>
      </c>
      <c r="I8" s="184">
        <f t="shared" si="0"/>
        <v>203.18246935811095</v>
      </c>
      <c r="J8" s="184">
        <f t="shared" si="0"/>
        <v>198.72765259872429</v>
      </c>
      <c r="K8" s="184">
        <f t="shared" si="0"/>
        <v>217.55974710170528</v>
      </c>
      <c r="L8" s="30"/>
      <c r="M8" s="315" t="s">
        <v>324</v>
      </c>
      <c r="Q8" s="35"/>
    </row>
    <row r="9" spans="1:47">
      <c r="A9" s="1" t="s">
        <v>325</v>
      </c>
      <c r="B9" s="184">
        <f>B8+6.2</f>
        <v>248.14387308585199</v>
      </c>
      <c r="C9" s="184">
        <f>C8+7</f>
        <v>244.47243072758744</v>
      </c>
      <c r="D9" s="184">
        <f>D8+7.7</f>
        <v>237.54711755532509</v>
      </c>
      <c r="E9" s="184">
        <f>E8+6.4</f>
        <v>231.9473249846815</v>
      </c>
      <c r="F9" s="184">
        <f>F8+7</f>
        <v>231.38424674619881</v>
      </c>
      <c r="G9" s="184">
        <f>G8+6.5</f>
        <v>227.64595247471516</v>
      </c>
      <c r="H9" s="184">
        <f>H8+7</f>
        <v>213.68035707469195</v>
      </c>
      <c r="I9" s="184">
        <f>I8+7</f>
        <v>210.18246935811095</v>
      </c>
      <c r="J9" s="184">
        <f>J8+7.7</f>
        <v>206.42765259872428</v>
      </c>
      <c r="K9" s="184">
        <f>K8+8.4</f>
        <v>225.95974710170529</v>
      </c>
      <c r="L9" s="30"/>
      <c r="M9" s="315"/>
      <c r="Q9" s="35"/>
    </row>
    <row r="10" spans="1:47">
      <c r="A10" s="1" t="s">
        <v>326</v>
      </c>
      <c r="B10" s="30"/>
      <c r="C10" s="39"/>
      <c r="D10" s="39"/>
      <c r="E10" s="39"/>
      <c r="F10" s="39"/>
      <c r="G10" s="39"/>
      <c r="H10" s="39"/>
      <c r="I10" s="186"/>
      <c r="J10" s="186"/>
      <c r="K10" s="187"/>
      <c r="L10" s="187"/>
      <c r="M10" s="316"/>
    </row>
    <row r="11" spans="1:47">
      <c r="A11" s="1" t="s">
        <v>327</v>
      </c>
      <c r="B11" s="30"/>
      <c r="C11" s="30"/>
      <c r="D11" s="30"/>
      <c r="E11" s="39">
        <f t="shared" ref="E11:K11" si="1">E10/E5</f>
        <v>0</v>
      </c>
      <c r="F11" s="39">
        <f t="shared" si="1"/>
        <v>0</v>
      </c>
      <c r="G11" s="39">
        <f t="shared" si="1"/>
        <v>0</v>
      </c>
      <c r="H11" s="39">
        <f t="shared" si="1"/>
        <v>0</v>
      </c>
      <c r="I11" s="39">
        <f t="shared" si="1"/>
        <v>0</v>
      </c>
      <c r="J11" s="39">
        <f t="shared" si="1"/>
        <v>0</v>
      </c>
      <c r="K11" s="39">
        <f t="shared" si="1"/>
        <v>0</v>
      </c>
      <c r="L11" s="30"/>
      <c r="M11" s="315" t="s">
        <v>328</v>
      </c>
      <c r="Q11" s="35"/>
    </row>
    <row r="12" spans="1:47">
      <c r="A12" s="1" t="s">
        <v>329</v>
      </c>
      <c r="B12" s="30">
        <f>'Bilans d''énergie 2010-2020'!C284*11.63</f>
        <v>48.846000000000004</v>
      </c>
      <c r="C12" s="30">
        <f>'Bilans d''énergie 2010-2020'!C258*11.63</f>
        <v>50.009</v>
      </c>
      <c r="D12" s="30">
        <f>'Bilans d''énergie 2010-2020'!C232*11.63</f>
        <v>52.335000000000001</v>
      </c>
      <c r="E12" s="174">
        <f>'Bilans d''énergie 2010-2020'!C206*11.63</f>
        <v>52.335000000000001</v>
      </c>
      <c r="F12" s="174">
        <f>'Bilans d''énergie 2010-2020'!C180*11.63</f>
        <v>51.172000000000004</v>
      </c>
      <c r="G12" s="174">
        <f>'Bilans d''énergie 2010-2020'!C154*11.63</f>
        <v>50.009</v>
      </c>
      <c r="H12" s="174">
        <f>'Bilans d''énergie 2010-2020'!C128*11.63</f>
        <v>56.987000000000009</v>
      </c>
      <c r="I12" s="174">
        <f>'Bilans d''énergie 2010-2020'!C102*11.63</f>
        <v>58.150000000000006</v>
      </c>
      <c r="J12" s="174">
        <f>'Bilans d''énergie 2010-2020'!C76*11.63</f>
        <v>62.802000000000007</v>
      </c>
      <c r="K12" s="174">
        <f>'Bilans d''énergie 2010-2020'!C50*11.63</f>
        <v>62.802000000000007</v>
      </c>
      <c r="L12" s="181">
        <f>'Bilans d''énergie 2010-2020'!C24*11.63</f>
        <v>68.617000000000004</v>
      </c>
      <c r="M12" s="315" t="s">
        <v>533</v>
      </c>
      <c r="Q12" s="35"/>
    </row>
    <row r="13" spans="1:47">
      <c r="A13" s="1" t="s">
        <v>330</v>
      </c>
      <c r="B13" s="30">
        <v>0</v>
      </c>
      <c r="C13" s="30">
        <v>0</v>
      </c>
      <c r="D13" s="30">
        <v>0</v>
      </c>
      <c r="E13" s="174">
        <v>0</v>
      </c>
      <c r="F13" s="174">
        <v>0</v>
      </c>
      <c r="G13" s="174">
        <v>0</v>
      </c>
      <c r="H13" s="174">
        <v>0</v>
      </c>
      <c r="I13" s="174">
        <v>0</v>
      </c>
      <c r="J13" s="174">
        <v>0</v>
      </c>
      <c r="K13" s="174">
        <v>0</v>
      </c>
      <c r="L13" s="181">
        <v>0</v>
      </c>
      <c r="M13" s="315" t="s">
        <v>534</v>
      </c>
      <c r="Q13" s="35"/>
    </row>
    <row r="14" spans="1:47">
      <c r="M14" s="188"/>
      <c r="N14" s="189"/>
    </row>
    <row r="15" spans="1:47">
      <c r="A15" s="559" t="s">
        <v>150</v>
      </c>
      <c r="B15" s="559"/>
      <c r="C15" s="559"/>
      <c r="D15" s="559"/>
      <c r="E15" s="559"/>
      <c r="F15" s="559"/>
      <c r="G15" s="559"/>
      <c r="H15" s="559"/>
      <c r="I15" s="559"/>
      <c r="J15" s="559"/>
      <c r="K15" s="559"/>
      <c r="L15" s="559"/>
      <c r="M15" s="559"/>
      <c r="AI15" s="559" t="s">
        <v>151</v>
      </c>
      <c r="AJ15" s="559"/>
      <c r="AK15" s="559"/>
      <c r="AL15" s="559"/>
      <c r="AM15" s="559"/>
      <c r="AN15" s="559"/>
      <c r="AO15" s="559"/>
      <c r="AP15" s="559"/>
      <c r="AQ15" s="559"/>
      <c r="AR15" s="559"/>
      <c r="AS15" s="559"/>
      <c r="AT15" s="559"/>
      <c r="AU15" s="559"/>
    </row>
    <row r="17" spans="1:47">
      <c r="A17" s="35"/>
      <c r="B17" s="592">
        <v>2019</v>
      </c>
      <c r="C17" s="592"/>
      <c r="D17" s="592"/>
      <c r="E17" s="594">
        <v>2020</v>
      </c>
      <c r="F17" s="594"/>
      <c r="G17" s="594"/>
      <c r="H17" s="594">
        <v>2025</v>
      </c>
      <c r="I17" s="594"/>
      <c r="J17" s="594"/>
      <c r="K17" s="594">
        <v>2030</v>
      </c>
      <c r="L17" s="594"/>
      <c r="M17" s="594"/>
      <c r="N17" s="594">
        <v>2035</v>
      </c>
      <c r="O17" s="594"/>
      <c r="P17" s="594"/>
      <c r="Q17" s="594">
        <v>2040</v>
      </c>
      <c r="R17" s="594"/>
      <c r="S17" s="594"/>
      <c r="T17" s="594">
        <v>2045</v>
      </c>
      <c r="U17" s="594"/>
      <c r="V17" s="594"/>
      <c r="W17" s="594">
        <v>2050</v>
      </c>
      <c r="X17" s="594"/>
      <c r="Y17" s="594"/>
      <c r="AI17" s="35"/>
      <c r="AJ17" s="592">
        <v>2015</v>
      </c>
      <c r="AK17" s="592"/>
      <c r="AL17" s="592"/>
      <c r="AM17" s="593">
        <v>2017</v>
      </c>
      <c r="AN17" s="593"/>
      <c r="AO17" s="593"/>
      <c r="AP17" s="594">
        <v>2050</v>
      </c>
      <c r="AQ17" s="594"/>
      <c r="AR17" s="594"/>
    </row>
    <row r="18" spans="1:47" ht="28.8">
      <c r="A18" s="35"/>
      <c r="B18" s="41" t="s">
        <v>331</v>
      </c>
      <c r="C18" s="41" t="s">
        <v>332</v>
      </c>
      <c r="D18" s="190" t="s">
        <v>333</v>
      </c>
      <c r="E18" s="191" t="s">
        <v>331</v>
      </c>
      <c r="F18" s="41" t="s">
        <v>332</v>
      </c>
      <c r="G18" s="190" t="s">
        <v>333</v>
      </c>
      <c r="H18" s="191" t="s">
        <v>331</v>
      </c>
      <c r="I18" s="41" t="s">
        <v>332</v>
      </c>
      <c r="J18" s="190" t="s">
        <v>333</v>
      </c>
      <c r="K18" s="191" t="s">
        <v>331</v>
      </c>
      <c r="L18" s="41" t="s">
        <v>332</v>
      </c>
      <c r="M18" s="190" t="s">
        <v>333</v>
      </c>
      <c r="N18" s="191" t="s">
        <v>331</v>
      </c>
      <c r="O18" s="41" t="s">
        <v>332</v>
      </c>
      <c r="P18" s="190" t="s">
        <v>333</v>
      </c>
      <c r="Q18" s="191" t="s">
        <v>331</v>
      </c>
      <c r="R18" s="41" t="s">
        <v>332</v>
      </c>
      <c r="S18" s="190" t="s">
        <v>333</v>
      </c>
      <c r="T18" s="191" t="s">
        <v>331</v>
      </c>
      <c r="U18" s="41" t="s">
        <v>332</v>
      </c>
      <c r="V18" s="190" t="s">
        <v>333</v>
      </c>
      <c r="W18" s="191" t="s">
        <v>331</v>
      </c>
      <c r="X18" s="41" t="s">
        <v>332</v>
      </c>
      <c r="Y18" s="190" t="s">
        <v>333</v>
      </c>
      <c r="AI18" s="35"/>
      <c r="AJ18" s="41" t="s">
        <v>331</v>
      </c>
      <c r="AK18" s="41" t="s">
        <v>332</v>
      </c>
      <c r="AL18" s="190" t="s">
        <v>333</v>
      </c>
      <c r="AM18" s="191" t="s">
        <v>331</v>
      </c>
      <c r="AN18" s="41" t="s">
        <v>332</v>
      </c>
      <c r="AO18" s="190" t="s">
        <v>333</v>
      </c>
      <c r="AP18" s="191" t="s">
        <v>331</v>
      </c>
      <c r="AQ18" s="41" t="s">
        <v>332</v>
      </c>
      <c r="AR18" s="190" t="s">
        <v>333</v>
      </c>
    </row>
    <row r="19" spans="1:47">
      <c r="A19" s="192" t="s">
        <v>319</v>
      </c>
      <c r="B19" s="41">
        <v>1</v>
      </c>
      <c r="C19" s="193">
        <v>1</v>
      </c>
      <c r="D19" s="194">
        <f>K6</f>
        <v>71.206161749339302</v>
      </c>
      <c r="E19" s="195">
        <f>$B19+($W19-$B19)*1/31</f>
        <v>1.0048387096774194</v>
      </c>
      <c r="F19" s="196">
        <f>$C19+($X19-$C19)*1/31</f>
        <v>0.99838709677419357</v>
      </c>
      <c r="G19" s="194">
        <f>$D$19*E19*F19</f>
        <v>71.435303326040483</v>
      </c>
      <c r="H19" s="195">
        <f>$B$19+($W$19-$B$19)*6/31</f>
        <v>1.0290322580645161</v>
      </c>
      <c r="I19" s="196">
        <f>$C$19+($X$19-$C$19)*6/31</f>
        <v>0.99032258064516132</v>
      </c>
      <c r="J19" s="194">
        <f>$D$19*H19*I19</f>
        <v>72.564339631613379</v>
      </c>
      <c r="K19" s="195">
        <f>$B$19+($W$19-$B$19)*11/31</f>
        <v>1.0532258064516129</v>
      </c>
      <c r="L19" s="196">
        <f>$C$19+($X$19-$C$19)*11/31</f>
        <v>0.98225806451612907</v>
      </c>
      <c r="M19" s="194">
        <f>$D$19*K19*L19</f>
        <v>73.665589973964629</v>
      </c>
      <c r="N19" s="195">
        <f>$B$19+($W$19-$B$19)*16/31</f>
        <v>1.0774193548387097</v>
      </c>
      <c r="O19" s="196">
        <f>$C$19+($X$19-$C$19)*16/31</f>
        <v>0.97419354838709671</v>
      </c>
      <c r="P19" s="194">
        <f>$D$19*N19*O19</f>
        <v>74.739054353094232</v>
      </c>
      <c r="Q19" s="195">
        <f>$B$19+($W$19-$B$19)*21/31</f>
        <v>1.1016129032258064</v>
      </c>
      <c r="R19" s="196">
        <f>$C$19+($X$19-$C$19)*21/31</f>
        <v>0.96612903225806446</v>
      </c>
      <c r="S19" s="194">
        <f>$D$19*Q19*R19</f>
        <v>75.78473276900219</v>
      </c>
      <c r="T19" s="195">
        <f>$B$19+($W$19-$B$19)*26/31</f>
        <v>1.1258064516129032</v>
      </c>
      <c r="U19" s="196">
        <f>$C$19+($X$19-$C$19)*26/31</f>
        <v>0.95806451612903221</v>
      </c>
      <c r="V19" s="194">
        <f>$D$19*T19*U19</f>
        <v>76.802625221688515</v>
      </c>
      <c r="W19" s="197">
        <v>1.1499999999999999</v>
      </c>
      <c r="X19" s="198">
        <v>0.95</v>
      </c>
      <c r="Y19" s="40">
        <f>D19*X19*W19</f>
        <v>77.792731711153181</v>
      </c>
      <c r="AI19" s="192" t="s">
        <v>343</v>
      </c>
      <c r="AJ19" s="41"/>
      <c r="AK19" s="193"/>
      <c r="AL19" s="225"/>
      <c r="AM19" s="191"/>
      <c r="AN19" s="204"/>
      <c r="AO19" s="225"/>
      <c r="AP19" s="197"/>
      <c r="AQ19" s="198"/>
      <c r="AR19" s="37"/>
    </row>
    <row r="20" spans="1:47">
      <c r="A20" s="192" t="s">
        <v>321</v>
      </c>
      <c r="B20" s="41">
        <v>1</v>
      </c>
      <c r="C20" s="193">
        <v>1</v>
      </c>
      <c r="D20" s="194">
        <f>K7</f>
        <v>146.353585352366</v>
      </c>
      <c r="E20" s="195">
        <f>$B20+($W20-$B20)*1/31</f>
        <v>1.0048387096774194</v>
      </c>
      <c r="F20" s="196">
        <f>$C20+($X20-$C20)*1/31</f>
        <v>1</v>
      </c>
      <c r="G20" s="194">
        <f>$D$20*E20*F20</f>
        <v>147.06174786213552</v>
      </c>
      <c r="H20" s="195">
        <f>$B$20+($W$20-$B$20)*6/31</f>
        <v>1.0290322580645161</v>
      </c>
      <c r="I20" s="196">
        <f>$C$20+($X$20-$C$20)*6/31</f>
        <v>1</v>
      </c>
      <c r="J20" s="194">
        <f>$D$20*H20*I20</f>
        <v>150.60256041098307</v>
      </c>
      <c r="K20" s="195">
        <f>$B$20+($W$20-$B$20)*11/31</f>
        <v>1.0532258064516129</v>
      </c>
      <c r="L20" s="196">
        <f>$C$20+($X$20-$C$20)*11/31</f>
        <v>1</v>
      </c>
      <c r="M20" s="194">
        <f>$D$20*K20*L20</f>
        <v>154.14337295983063</v>
      </c>
      <c r="N20" s="195">
        <f>$B$20+($W$20-$B$20)*16/31</f>
        <v>1.0774193548387097</v>
      </c>
      <c r="O20" s="196">
        <f>$C$20+($X$20-$C$20)*16/31</f>
        <v>1</v>
      </c>
      <c r="P20" s="194">
        <f>$D$20*N20*O20</f>
        <v>157.68418550867821</v>
      </c>
      <c r="Q20" s="195">
        <f>$B$20+($W$20-$B$20)*21/31</f>
        <v>1.1016129032258064</v>
      </c>
      <c r="R20" s="196">
        <f>$C$20+($X$20-$C$20)*21/31</f>
        <v>1</v>
      </c>
      <c r="S20" s="194">
        <f>$D$20*Q20*R20</f>
        <v>161.22499805752577</v>
      </c>
      <c r="T20" s="195">
        <f>$B$20+($W$20-$B$20)*26/31</f>
        <v>1.1258064516129032</v>
      </c>
      <c r="U20" s="196">
        <f>$C$20+($X$20-$C$20)*26/31</f>
        <v>1</v>
      </c>
      <c r="V20" s="194">
        <f>$D$20*T20*U20</f>
        <v>164.76581060637332</v>
      </c>
      <c r="W20" s="197">
        <v>1.1499999999999999</v>
      </c>
      <c r="X20" s="198">
        <v>1</v>
      </c>
      <c r="Y20" s="40">
        <f>D20*X20*W20</f>
        <v>168.30662315522088</v>
      </c>
      <c r="AI20" s="192" t="s">
        <v>344</v>
      </c>
      <c r="AJ20" s="41"/>
      <c r="AK20" s="193"/>
      <c r="AL20" s="225"/>
      <c r="AM20" s="191"/>
      <c r="AN20" s="204"/>
      <c r="AO20" s="225"/>
      <c r="AP20" s="197"/>
      <c r="AQ20" s="198"/>
      <c r="AR20" s="37"/>
    </row>
    <row r="21" spans="1:47">
      <c r="A21" s="192" t="s">
        <v>323</v>
      </c>
      <c r="B21" s="41"/>
      <c r="C21" s="193"/>
      <c r="D21" s="194">
        <f>K8</f>
        <v>217.55974710170528</v>
      </c>
      <c r="E21" s="199"/>
      <c r="F21" s="200"/>
      <c r="G21" s="194">
        <f>SUM(G19:G20)</f>
        <v>218.49705118817599</v>
      </c>
      <c r="H21" s="199"/>
      <c r="I21" s="200"/>
      <c r="J21" s="194">
        <f>SUM(J19:J20)</f>
        <v>223.16690004259647</v>
      </c>
      <c r="K21" s="199"/>
      <c r="L21" s="200"/>
      <c r="M21" s="194">
        <f>SUM(M19:M20)</f>
        <v>227.80896293379527</v>
      </c>
      <c r="N21" s="199"/>
      <c r="O21" s="200"/>
      <c r="P21" s="194">
        <f>SUM(P19:P20)</f>
        <v>232.42323986177246</v>
      </c>
      <c r="Q21" s="199"/>
      <c r="R21" s="200"/>
      <c r="S21" s="194">
        <f>SUM(S19:S20)</f>
        <v>237.00973082652797</v>
      </c>
      <c r="T21" s="201"/>
      <c r="U21" s="202"/>
      <c r="V21" s="194">
        <f>SUM(V19:V20)</f>
        <v>241.56843582806184</v>
      </c>
      <c r="W21" s="197"/>
      <c r="X21" s="198"/>
      <c r="Y21" s="40">
        <f>SUM(Y19:Y20)</f>
        <v>246.09935486637406</v>
      </c>
      <c r="AI21" s="192" t="s">
        <v>23</v>
      </c>
      <c r="AJ21" s="41"/>
      <c r="AK21" s="193"/>
      <c r="AL21" s="225"/>
      <c r="AM21" s="191"/>
      <c r="AN21" s="204"/>
      <c r="AO21" s="225"/>
      <c r="AP21" s="197"/>
      <c r="AQ21" s="198"/>
      <c r="AR21" s="37"/>
    </row>
    <row r="22" spans="1:47">
      <c r="A22" s="192" t="s">
        <v>325</v>
      </c>
      <c r="B22" s="41"/>
      <c r="C22" s="193"/>
      <c r="D22" s="194">
        <f>K9</f>
        <v>225.95974710170529</v>
      </c>
      <c r="E22" s="199"/>
      <c r="F22" s="200"/>
      <c r="G22" s="194">
        <f>G21+$K$9-$K$8</f>
        <v>226.89705118817596</v>
      </c>
      <c r="H22" s="199"/>
      <c r="I22" s="200"/>
      <c r="J22" s="194">
        <f>J21+$K$9-$K$8</f>
        <v>231.56690004259644</v>
      </c>
      <c r="K22" s="199"/>
      <c r="L22" s="200"/>
      <c r="M22" s="194">
        <f>M21+$K$9-$K$8</f>
        <v>236.20896293379531</v>
      </c>
      <c r="N22" s="199"/>
      <c r="O22" s="200"/>
      <c r="P22" s="194">
        <f>P21+$K$9-$K$8</f>
        <v>240.82323986177244</v>
      </c>
      <c r="Q22" s="199"/>
      <c r="R22" s="200"/>
      <c r="S22" s="203">
        <f>S21+$K$9-$K$8</f>
        <v>245.40973082652795</v>
      </c>
      <c r="T22" s="201"/>
      <c r="U22" s="202"/>
      <c r="V22" s="203">
        <f>V21+$K$9-$K$8</f>
        <v>249.96843582806184</v>
      </c>
      <c r="W22" s="197"/>
      <c r="X22" s="198"/>
      <c r="Y22" s="40">
        <f>Y21+$K$9-$K$8</f>
        <v>254.49935486637406</v>
      </c>
      <c r="Z22" s="4"/>
      <c r="AI22" s="192" t="s">
        <v>345</v>
      </c>
      <c r="AJ22" s="41"/>
      <c r="AK22" s="193"/>
      <c r="AL22" s="225"/>
      <c r="AM22" s="191"/>
      <c r="AN22" s="204"/>
      <c r="AO22" s="225"/>
      <c r="AP22" s="197"/>
      <c r="AQ22" s="198"/>
      <c r="AR22" s="37"/>
    </row>
    <row r="23" spans="1:47">
      <c r="A23" s="560" t="s">
        <v>406</v>
      </c>
      <c r="B23" s="561"/>
      <c r="C23" s="561"/>
      <c r="D23" s="561"/>
      <c r="E23" s="561"/>
      <c r="F23" s="561"/>
      <c r="G23" s="561"/>
      <c r="H23" s="561"/>
      <c r="I23" s="561"/>
      <c r="J23" s="561"/>
      <c r="K23" s="561"/>
      <c r="L23" s="561"/>
      <c r="M23" s="561"/>
      <c r="N23" s="561"/>
      <c r="O23" s="561"/>
      <c r="P23" s="561"/>
      <c r="Q23" s="561"/>
      <c r="R23" s="561"/>
      <c r="S23" s="561"/>
      <c r="T23" s="561"/>
      <c r="U23" s="561"/>
      <c r="V23" s="561"/>
      <c r="W23" s="561"/>
      <c r="X23" s="561"/>
      <c r="Y23" s="561"/>
      <c r="AI23" s="192"/>
      <c r="AJ23" s="204"/>
      <c r="AK23" s="204"/>
      <c r="AL23" s="204"/>
      <c r="AM23" s="204"/>
      <c r="AN23" s="204"/>
      <c r="AO23" s="204"/>
      <c r="AP23" s="204"/>
      <c r="AQ23" s="204"/>
      <c r="AR23" s="204"/>
      <c r="AS23" s="226"/>
      <c r="AT23" s="226"/>
      <c r="AU23" s="226"/>
    </row>
    <row r="24" spans="1:47">
      <c r="A24" s="596" t="s">
        <v>334</v>
      </c>
      <c r="B24" s="596"/>
      <c r="C24" s="596"/>
      <c r="D24" s="596"/>
      <c r="E24" s="596"/>
      <c r="F24" s="596"/>
      <c r="G24" s="596"/>
      <c r="H24" s="596"/>
      <c r="I24" s="596"/>
      <c r="J24" s="596"/>
      <c r="K24" s="596"/>
      <c r="L24" s="596"/>
      <c r="M24" s="596"/>
      <c r="N24" s="596"/>
      <c r="O24" s="596"/>
      <c r="P24" s="596"/>
      <c r="Q24" s="596"/>
      <c r="R24" s="596"/>
      <c r="S24" s="596"/>
      <c r="T24" s="596"/>
      <c r="U24" s="596"/>
      <c r="V24" s="596"/>
      <c r="W24" s="596"/>
      <c r="X24" s="596"/>
      <c r="Y24" s="596"/>
      <c r="AI24" s="595" t="s">
        <v>334</v>
      </c>
      <c r="AJ24" s="595"/>
      <c r="AK24" s="595"/>
      <c r="AL24" s="595"/>
      <c r="AM24" s="595"/>
      <c r="AN24" s="595"/>
      <c r="AO24" s="595"/>
      <c r="AP24" s="595"/>
      <c r="AQ24" s="595"/>
      <c r="AR24" s="595"/>
      <c r="AS24" s="86"/>
      <c r="AT24" s="86"/>
      <c r="AU24" s="86"/>
    </row>
    <row r="25" spans="1:47">
      <c r="A25" s="86"/>
      <c r="B25" s="592">
        <v>2019</v>
      </c>
      <c r="C25" s="592"/>
      <c r="D25" s="592"/>
      <c r="E25" s="594">
        <v>2020</v>
      </c>
      <c r="F25" s="594"/>
      <c r="G25" s="594"/>
      <c r="H25" s="594">
        <v>2025</v>
      </c>
      <c r="I25" s="594"/>
      <c r="J25" s="594"/>
      <c r="K25" s="594">
        <v>2030</v>
      </c>
      <c r="L25" s="594"/>
      <c r="M25" s="594"/>
      <c r="N25" s="594">
        <v>2035</v>
      </c>
      <c r="O25" s="594"/>
      <c r="P25" s="594"/>
      <c r="Q25" s="594">
        <v>2040</v>
      </c>
      <c r="R25" s="594"/>
      <c r="S25" s="594"/>
      <c r="T25" s="594">
        <v>2045</v>
      </c>
      <c r="U25" s="594"/>
      <c r="V25" s="594"/>
      <c r="W25" s="594">
        <v>2050</v>
      </c>
      <c r="X25" s="594"/>
      <c r="Y25" s="594"/>
      <c r="AI25" s="86"/>
      <c r="AJ25" s="592">
        <v>2015</v>
      </c>
      <c r="AK25" s="592"/>
      <c r="AL25" s="592"/>
      <c r="AM25" s="593">
        <v>2018</v>
      </c>
      <c r="AN25" s="593"/>
      <c r="AO25" s="593"/>
      <c r="AP25" s="594">
        <v>2050</v>
      </c>
      <c r="AQ25" s="594"/>
      <c r="AR25" s="594"/>
    </row>
    <row r="26" spans="1:47" ht="43.2">
      <c r="A26" s="86"/>
      <c r="B26" s="41" t="s">
        <v>331</v>
      </c>
      <c r="C26" s="41" t="s">
        <v>335</v>
      </c>
      <c r="D26" s="190" t="s">
        <v>336</v>
      </c>
      <c r="E26" s="191" t="s">
        <v>331</v>
      </c>
      <c r="F26" s="41" t="s">
        <v>335</v>
      </c>
      <c r="G26" s="190" t="s">
        <v>336</v>
      </c>
      <c r="H26" s="191" t="s">
        <v>331</v>
      </c>
      <c r="I26" s="41" t="s">
        <v>335</v>
      </c>
      <c r="J26" s="190" t="s">
        <v>336</v>
      </c>
      <c r="K26" s="191" t="s">
        <v>331</v>
      </c>
      <c r="L26" s="41" t="s">
        <v>335</v>
      </c>
      <c r="M26" s="190" t="s">
        <v>336</v>
      </c>
      <c r="N26" s="191" t="s">
        <v>331</v>
      </c>
      <c r="O26" s="41" t="s">
        <v>335</v>
      </c>
      <c r="P26" s="190" t="s">
        <v>336</v>
      </c>
      <c r="Q26" s="191" t="s">
        <v>331</v>
      </c>
      <c r="R26" s="41" t="s">
        <v>335</v>
      </c>
      <c r="S26" s="190" t="s">
        <v>336</v>
      </c>
      <c r="T26" s="191" t="s">
        <v>331</v>
      </c>
      <c r="U26" s="41" t="s">
        <v>335</v>
      </c>
      <c r="V26" s="190" t="s">
        <v>336</v>
      </c>
      <c r="W26" s="191" t="s">
        <v>331</v>
      </c>
      <c r="X26" s="41" t="s">
        <v>335</v>
      </c>
      <c r="Y26" s="190" t="s">
        <v>336</v>
      </c>
      <c r="AI26" s="86"/>
      <c r="AJ26" s="41" t="s">
        <v>331</v>
      </c>
      <c r="AK26" s="41" t="s">
        <v>335</v>
      </c>
      <c r="AL26" s="190" t="s">
        <v>336</v>
      </c>
      <c r="AM26" s="191" t="s">
        <v>331</v>
      </c>
      <c r="AN26" s="41" t="s">
        <v>335</v>
      </c>
      <c r="AO26" s="190" t="s">
        <v>336</v>
      </c>
      <c r="AP26" s="191" t="s">
        <v>331</v>
      </c>
      <c r="AQ26" s="41" t="s">
        <v>335</v>
      </c>
      <c r="AR26" s="190" t="s">
        <v>336</v>
      </c>
    </row>
    <row r="27" spans="1:47">
      <c r="A27" s="30" t="s">
        <v>337</v>
      </c>
      <c r="B27" s="36">
        <v>1</v>
      </c>
      <c r="C27" s="205">
        <v>1</v>
      </c>
      <c r="D27" s="206">
        <f>K12</f>
        <v>62.802000000000007</v>
      </c>
      <c r="E27" s="195">
        <f>$B27+($W27-$B27)*1/31</f>
        <v>1.0048387096774194</v>
      </c>
      <c r="F27" s="196">
        <f>$C27+($X27-$C27)*1/31</f>
        <v>0.99677419354838714</v>
      </c>
      <c r="G27" s="207">
        <f>D27</f>
        <v>62.802000000000007</v>
      </c>
      <c r="H27" s="195">
        <f>$B27+($W27-$B27)*6/31</f>
        <v>1.0290322580645161</v>
      </c>
      <c r="I27" s="196">
        <f>$C27+($X27-$C27)*6/31</f>
        <v>0.98064516129032253</v>
      </c>
      <c r="J27" s="207">
        <f>$D$27*H27*I27</f>
        <v>63.374471925078048</v>
      </c>
      <c r="K27" s="195">
        <f>$B27+($W27-$B27)*11/31</f>
        <v>1.0532258064516129</v>
      </c>
      <c r="L27" s="196">
        <f>$C27+($X27-$C27)*11/31</f>
        <v>0.96451612903225803</v>
      </c>
      <c r="M27" s="207">
        <f>$D$27*K27*L27</f>
        <v>63.797617554630605</v>
      </c>
      <c r="N27" s="195">
        <f>$B27+($W27-$B27)*16/31</f>
        <v>1.0774193548387097</v>
      </c>
      <c r="O27" s="196">
        <f>$C27+($X27-$C27)*16/31</f>
        <v>0.94838709677419353</v>
      </c>
      <c r="P27" s="207">
        <f>$D$27*N27*O27</f>
        <v>64.171750176899067</v>
      </c>
      <c r="Q27" s="195">
        <f>$B27+($W27-$B27)*21/31</f>
        <v>1.1016129032258064</v>
      </c>
      <c r="R27" s="196">
        <f>$C27+($X27-$C27)*21/31</f>
        <v>0.93225806451612903</v>
      </c>
      <c r="S27" s="207">
        <f>$D$27*Q27*R27</f>
        <v>64.496869791883455</v>
      </c>
      <c r="T27" s="195">
        <f>$B27+($W27-$B27)*26/31</f>
        <v>1.1258064516129032</v>
      </c>
      <c r="U27" s="196">
        <f>$C27+($X27-$C27)*26/31</f>
        <v>0.91612903225806452</v>
      </c>
      <c r="V27" s="207">
        <f>$D$27*T27*U27</f>
        <v>64.772976399583769</v>
      </c>
      <c r="W27" s="208">
        <v>1.1499999999999999</v>
      </c>
      <c r="X27" s="209">
        <v>0.9</v>
      </c>
      <c r="Y27" s="210">
        <f>D27*W27*X27</f>
        <v>65.000070000000008</v>
      </c>
      <c r="AI27" s="36" t="s">
        <v>337</v>
      </c>
      <c r="AJ27" s="36"/>
      <c r="AK27" s="205"/>
      <c r="AL27" s="227"/>
      <c r="AM27" s="208"/>
      <c r="AN27" s="209"/>
      <c r="AO27" s="227"/>
      <c r="AP27" s="208"/>
      <c r="AQ27" s="209"/>
      <c r="AR27" s="227"/>
    </row>
    <row r="28" spans="1:47">
      <c r="A28" s="30" t="s">
        <v>338</v>
      </c>
      <c r="B28" s="30">
        <v>1</v>
      </c>
      <c r="C28" s="30">
        <v>1</v>
      </c>
      <c r="D28" s="203">
        <f>K13</f>
        <v>0</v>
      </c>
      <c r="E28" s="195">
        <f>$B28+($W28-$B28)*1/31</f>
        <v>1.0048387096774194</v>
      </c>
      <c r="F28" s="196">
        <f>$C28+($X28-$C28)*1/31</f>
        <v>0.99677419354838714</v>
      </c>
      <c r="G28" s="207">
        <f>D28</f>
        <v>0</v>
      </c>
      <c r="H28" s="195">
        <f>$B28+($W28-$B28)*6/31</f>
        <v>1.0290322580645161</v>
      </c>
      <c r="I28" s="196">
        <f>$C28+($X28-$C28)*6/31</f>
        <v>0.98064516129032253</v>
      </c>
      <c r="J28" s="207">
        <f>$D$28*H28*I28</f>
        <v>0</v>
      </c>
      <c r="K28" s="195">
        <f>$B28+($W28-$B28)*11/31</f>
        <v>1.0532258064516129</v>
      </c>
      <c r="L28" s="196">
        <f>$C28+($X28-$C28)*11/31</f>
        <v>0.96451612903225803</v>
      </c>
      <c r="M28" s="207">
        <f>$D$28*K28*L28</f>
        <v>0</v>
      </c>
      <c r="N28" s="195">
        <f>$B28+($W28-$B28)*16/31</f>
        <v>1.0774193548387097</v>
      </c>
      <c r="O28" s="196">
        <f>$C28+($X28-$C28)*16/31</f>
        <v>0.94838709677419353</v>
      </c>
      <c r="P28" s="207">
        <f>$D$28*N28*O28</f>
        <v>0</v>
      </c>
      <c r="Q28" s="195">
        <f>$B28+($W28-$B28)*21/31</f>
        <v>1.1016129032258064</v>
      </c>
      <c r="R28" s="196">
        <f>$C28+($X28-$C28)*21/31</f>
        <v>0.93225806451612903</v>
      </c>
      <c r="S28" s="207">
        <f>$D$28*Q28*R28</f>
        <v>0</v>
      </c>
      <c r="T28" s="195">
        <f>$B28+($W28-$B28)*26/31</f>
        <v>1.1258064516129032</v>
      </c>
      <c r="U28" s="196">
        <f>$C28+($X28-$C28)*26/31</f>
        <v>0.91612903225806452</v>
      </c>
      <c r="V28" s="207">
        <f>$D$28*T28*U28</f>
        <v>0</v>
      </c>
      <c r="W28" s="30">
        <v>1.1499999999999999</v>
      </c>
      <c r="X28" s="30">
        <v>0.9</v>
      </c>
      <c r="Y28" s="210">
        <f>D28*W28*X28</f>
        <v>0</v>
      </c>
      <c r="AI28" s="30" t="s">
        <v>338</v>
      </c>
      <c r="AJ28" s="30"/>
      <c r="AK28" s="30"/>
      <c r="AL28" s="37"/>
      <c r="AM28" s="33"/>
      <c r="AN28" s="30"/>
      <c r="AO28" s="37"/>
      <c r="AP28" s="30"/>
      <c r="AQ28" s="30"/>
      <c r="AR28" s="37"/>
    </row>
    <row r="29" spans="1:47">
      <c r="A29" s="30" t="s">
        <v>23</v>
      </c>
      <c r="B29" s="30"/>
      <c r="C29" s="30"/>
      <c r="D29" s="203">
        <f>SUM(D27:D28)</f>
        <v>62.802000000000007</v>
      </c>
      <c r="E29" s="211"/>
      <c r="F29" s="1"/>
      <c r="G29" s="203">
        <f>SUM(G27:G28)</f>
        <v>62.802000000000007</v>
      </c>
      <c r="H29" s="1"/>
      <c r="I29" s="1"/>
      <c r="J29" s="203">
        <f>SUM(J27:J28)</f>
        <v>63.374471925078048</v>
      </c>
      <c r="K29" s="1"/>
      <c r="L29" s="1"/>
      <c r="M29" s="203">
        <f>SUM(M27:M28)</f>
        <v>63.797617554630605</v>
      </c>
      <c r="N29" s="1"/>
      <c r="O29" s="1"/>
      <c r="P29" s="203">
        <f>SUM(P27:P28)</f>
        <v>64.171750176899067</v>
      </c>
      <c r="Q29" s="1"/>
      <c r="R29" s="1"/>
      <c r="S29" s="203">
        <f>SUM(S27:S28)</f>
        <v>64.496869791883455</v>
      </c>
      <c r="T29" s="1"/>
      <c r="U29" s="1"/>
      <c r="V29" s="203">
        <f>SUM(V27:V28)</f>
        <v>64.772976399583769</v>
      </c>
      <c r="W29" s="30"/>
      <c r="X29" s="30"/>
      <c r="Y29" s="40">
        <f>SUM(Y27:Y28)</f>
        <v>65.000070000000008</v>
      </c>
      <c r="AI29" s="35" t="s">
        <v>23</v>
      </c>
      <c r="AJ29" s="30"/>
      <c r="AK29" s="30"/>
      <c r="AL29" s="37"/>
      <c r="AM29" s="33"/>
      <c r="AN29" s="30"/>
      <c r="AO29" s="37"/>
      <c r="AP29" s="30"/>
      <c r="AQ29" s="30"/>
      <c r="AR29" s="37"/>
    </row>
    <row r="30" spans="1:47">
      <c r="A30" s="572" t="s">
        <v>407</v>
      </c>
      <c r="B30" s="572"/>
      <c r="C30" s="572"/>
      <c r="D30" s="572"/>
      <c r="E30" s="572"/>
      <c r="F30" s="572"/>
      <c r="G30" s="572"/>
      <c r="H30" s="572"/>
      <c r="I30" s="572"/>
      <c r="J30" s="572"/>
      <c r="K30" s="572"/>
      <c r="L30" s="572"/>
      <c r="M30" s="572"/>
      <c r="N30" s="572"/>
      <c r="O30" s="572"/>
      <c r="P30" s="572"/>
      <c r="Q30" s="572"/>
      <c r="R30" s="572"/>
      <c r="S30" s="572"/>
      <c r="T30" s="572"/>
      <c r="U30" s="572"/>
      <c r="V30" s="572"/>
      <c r="W30" s="572"/>
      <c r="X30" s="572"/>
      <c r="Y30" s="572"/>
      <c r="AI30" s="35"/>
      <c r="AJ30" s="35"/>
      <c r="AK30" s="35"/>
      <c r="AL30" s="35"/>
      <c r="AM30" s="35"/>
      <c r="AN30" s="35"/>
      <c r="AO30" s="35"/>
      <c r="AP30" s="35"/>
      <c r="AQ30" s="35"/>
      <c r="AR30" s="35"/>
      <c r="AS30" s="35"/>
      <c r="AT30" s="35"/>
      <c r="AU30" s="35"/>
    </row>
    <row r="31" spans="1:47">
      <c r="A31" s="559" t="s">
        <v>156</v>
      </c>
      <c r="B31" s="559"/>
      <c r="C31" s="559"/>
      <c r="D31" s="559"/>
      <c r="E31" s="559"/>
      <c r="F31" s="559"/>
      <c r="G31" s="559"/>
      <c r="H31" s="559"/>
      <c r="I31" s="559"/>
      <c r="J31" s="559"/>
      <c r="K31" s="559"/>
      <c r="L31" s="559"/>
      <c r="M31" s="559"/>
    </row>
    <row r="32" spans="1:47">
      <c r="AI32" s="559" t="s">
        <v>157</v>
      </c>
      <c r="AJ32" s="559"/>
      <c r="AK32" s="559"/>
      <c r="AL32" s="559"/>
      <c r="AM32" s="559"/>
      <c r="AN32" s="559"/>
      <c r="AO32" s="559"/>
      <c r="AP32" s="559"/>
      <c r="AQ32" s="559"/>
      <c r="AR32" s="559"/>
      <c r="AS32" s="559"/>
      <c r="AT32" s="559"/>
      <c r="AU32" s="559"/>
    </row>
    <row r="33" spans="1:41">
      <c r="A33" s="35"/>
      <c r="B33" s="592">
        <v>2019</v>
      </c>
      <c r="C33" s="592"/>
      <c r="D33" s="592"/>
      <c r="E33" s="594">
        <v>2020</v>
      </c>
      <c r="F33" s="594"/>
      <c r="G33" s="594"/>
      <c r="H33" s="594">
        <v>2025</v>
      </c>
      <c r="I33" s="594"/>
      <c r="J33" s="594"/>
      <c r="K33" s="594">
        <v>2030</v>
      </c>
      <c r="L33" s="594"/>
      <c r="M33" s="594"/>
      <c r="N33" s="594">
        <v>2035</v>
      </c>
      <c r="O33" s="594"/>
      <c r="P33" s="594"/>
      <c r="Q33" s="594">
        <v>2040</v>
      </c>
      <c r="R33" s="594"/>
      <c r="S33" s="594"/>
      <c r="T33" s="594">
        <v>2045</v>
      </c>
      <c r="U33" s="594"/>
      <c r="V33" s="594"/>
      <c r="W33" s="594">
        <v>2050</v>
      </c>
      <c r="X33" s="594"/>
      <c r="Y33" s="594"/>
    </row>
    <row r="34" spans="1:41" ht="28.8">
      <c r="A34" s="35"/>
      <c r="B34" s="41" t="s">
        <v>331</v>
      </c>
      <c r="C34" s="41" t="s">
        <v>332</v>
      </c>
      <c r="D34" s="190" t="s">
        <v>333</v>
      </c>
      <c r="E34" s="191" t="s">
        <v>331</v>
      </c>
      <c r="F34" s="41" t="s">
        <v>332</v>
      </c>
      <c r="G34" s="190" t="s">
        <v>333</v>
      </c>
      <c r="H34" s="191" t="s">
        <v>331</v>
      </c>
      <c r="I34" s="41" t="s">
        <v>332</v>
      </c>
      <c r="J34" s="190" t="s">
        <v>333</v>
      </c>
      <c r="K34" s="191" t="s">
        <v>331</v>
      </c>
      <c r="L34" s="41" t="s">
        <v>332</v>
      </c>
      <c r="M34" s="190" t="s">
        <v>333</v>
      </c>
      <c r="N34" s="191" t="s">
        <v>331</v>
      </c>
      <c r="O34" s="41" t="s">
        <v>332</v>
      </c>
      <c r="P34" s="190" t="s">
        <v>333</v>
      </c>
      <c r="Q34" s="191" t="s">
        <v>331</v>
      </c>
      <c r="R34" s="41" t="s">
        <v>332</v>
      </c>
      <c r="S34" s="190" t="s">
        <v>333</v>
      </c>
      <c r="T34" s="191" t="s">
        <v>331</v>
      </c>
      <c r="U34" s="41" t="s">
        <v>332</v>
      </c>
      <c r="V34" s="190" t="s">
        <v>333</v>
      </c>
      <c r="W34" s="191" t="s">
        <v>331</v>
      </c>
      <c r="X34" s="41" t="s">
        <v>332</v>
      </c>
      <c r="Y34" s="190" t="s">
        <v>333</v>
      </c>
      <c r="AI34" s="35"/>
      <c r="AJ34" s="592">
        <v>2015</v>
      </c>
      <c r="AK34" s="592"/>
      <c r="AL34" s="592"/>
      <c r="AM34" s="594">
        <v>2050</v>
      </c>
      <c r="AN34" s="594"/>
      <c r="AO34" s="594"/>
    </row>
    <row r="35" spans="1:41" ht="28.8">
      <c r="A35" s="192" t="s">
        <v>319</v>
      </c>
      <c r="B35" s="41">
        <v>1</v>
      </c>
      <c r="C35" s="193">
        <v>1</v>
      </c>
      <c r="D35" s="184">
        <f>D19</f>
        <v>71.206161749339302</v>
      </c>
      <c r="E35" s="195">
        <f>$B35+($W35-$B35)*1/31</f>
        <v>1.0048387096774194</v>
      </c>
      <c r="F35" s="196">
        <f>$C35+($X35-$C35)*1/31</f>
        <v>0.98774193548387101</v>
      </c>
      <c r="G35" s="194">
        <f>D35*E35*F35</f>
        <v>70.673634502208714</v>
      </c>
      <c r="H35" s="195">
        <f>$B35+($W35-$B35)*6/31</f>
        <v>1.0290322580645161</v>
      </c>
      <c r="I35" s="196">
        <f>$C35+($X35-$C35)*6/31</f>
        <v>0.92645161290322575</v>
      </c>
      <c r="J35" s="194">
        <f>$D$35*H35*I35</f>
        <v>67.884294274265017</v>
      </c>
      <c r="K35" s="195">
        <f>$B35+($W35-$B35)*11/31</f>
        <v>1.0532258064516129</v>
      </c>
      <c r="L35" s="196">
        <f>$C35+($X35-$C35)*11/31</f>
        <v>0.86516129032258071</v>
      </c>
      <c r="M35" s="194">
        <f>$D$35*K35*L35</f>
        <v>64.883780725836829</v>
      </c>
      <c r="N35" s="195">
        <f>$B35+($W35-$B35)*16/31</f>
        <v>1.0774193548387097</v>
      </c>
      <c r="O35" s="196">
        <f>$C35+($X35-$C35)*16/31</f>
        <v>0.80387096774193545</v>
      </c>
      <c r="P35" s="194">
        <f>$D$35*N35*O35</f>
        <v>61.672093856924114</v>
      </c>
      <c r="Q35" s="195">
        <f>$B35+($W35-$B35)*21/31</f>
        <v>1.1016129032258064</v>
      </c>
      <c r="R35" s="196">
        <f>$C35+($X35-$C35)*21/31</f>
        <v>0.7425806451612903</v>
      </c>
      <c r="S35" s="194">
        <f>$D$35*Q35*R35</f>
        <v>58.249233667526894</v>
      </c>
      <c r="T35" s="195">
        <f>$B35+($W35-$B35)*26/31</f>
        <v>1.1258064516129032</v>
      </c>
      <c r="U35" s="196">
        <f>$C35+($X35-$C35)*26/31</f>
        <v>0.68129032258064515</v>
      </c>
      <c r="V35" s="194">
        <f>$D$35*T35*U35</f>
        <v>54.61520015764517</v>
      </c>
      <c r="W35" s="197">
        <v>1.1499999999999999</v>
      </c>
      <c r="X35" s="198">
        <v>0.62</v>
      </c>
      <c r="Y35" s="40">
        <f>D35*W35*X35</f>
        <v>50.769993327278918</v>
      </c>
      <c r="AI35" s="35"/>
      <c r="AJ35" s="41" t="s">
        <v>331</v>
      </c>
      <c r="AK35" s="41" t="s">
        <v>332</v>
      </c>
      <c r="AL35" s="190" t="s">
        <v>333</v>
      </c>
      <c r="AM35" s="191" t="s">
        <v>331</v>
      </c>
      <c r="AN35" s="41" t="s">
        <v>332</v>
      </c>
      <c r="AO35" s="190" t="s">
        <v>333</v>
      </c>
    </row>
    <row r="36" spans="1:41">
      <c r="A36" s="192" t="s">
        <v>321</v>
      </c>
      <c r="B36" s="41">
        <v>1</v>
      </c>
      <c r="C36" s="193">
        <v>1</v>
      </c>
      <c r="D36" s="184">
        <f t="shared" ref="D36:D38" si="2">D20</f>
        <v>146.353585352366</v>
      </c>
      <c r="E36" s="195">
        <f>$B36+($W36-$B36)*1/31</f>
        <v>1.0048387096774194</v>
      </c>
      <c r="F36" s="196">
        <f>$C36+($X36-$C36)*1/31</f>
        <v>0.99838709677419357</v>
      </c>
      <c r="G36" s="194">
        <f>$D$36*E36*F36</f>
        <v>146.82455149461595</v>
      </c>
      <c r="H36" s="195">
        <f>$B36+($W36-$B36)*6/31</f>
        <v>1.0290322580645161</v>
      </c>
      <c r="I36" s="196">
        <f>$C36+($X36-$C36)*6/31</f>
        <v>0.99032258064516132</v>
      </c>
      <c r="J36" s="194">
        <f>$D$36*H36*I36</f>
        <v>149.14511627797356</v>
      </c>
      <c r="K36" s="195">
        <f>$B36+($W36-$B36)*11/31</f>
        <v>1.0532258064516129</v>
      </c>
      <c r="L36" s="196">
        <f>$C36+($X36-$C36)*11/31</f>
        <v>0.98225806451612907</v>
      </c>
      <c r="M36" s="194">
        <f>$D$36*K36*L36</f>
        <v>151.40857118151106</v>
      </c>
      <c r="N36" s="195">
        <f>$B36+($W36-$B36)*16/31</f>
        <v>1.0774193548387097</v>
      </c>
      <c r="O36" s="196">
        <f>$C36+($X36-$C36)*16/31</f>
        <v>0.97419354838709671</v>
      </c>
      <c r="P36" s="194">
        <f>$D$36*N36*O36</f>
        <v>153.61491620522844</v>
      </c>
      <c r="Q36" s="195">
        <f>$B36+($W36-$B36)*21/31</f>
        <v>1.1016129032258064</v>
      </c>
      <c r="R36" s="196">
        <f>$C36+($X36-$C36)*21/31</f>
        <v>0.96612903225806446</v>
      </c>
      <c r="S36" s="194">
        <f>$D$36*Q36*R36</f>
        <v>155.76415134912568</v>
      </c>
      <c r="T36" s="195">
        <f>$B36+($W36-$B36)*26/31</f>
        <v>1.1258064516129032</v>
      </c>
      <c r="U36" s="196">
        <f>$C36+($X36-$C36)*26/31</f>
        <v>0.95806451612903221</v>
      </c>
      <c r="V36" s="194">
        <f>$D$36*T36*U36</f>
        <v>157.85627661320282</v>
      </c>
      <c r="W36" s="197">
        <v>1.1499999999999999</v>
      </c>
      <c r="X36" s="198">
        <v>0.95</v>
      </c>
      <c r="Y36" s="40">
        <f>D36*W36*X36</f>
        <v>159.89129199745983</v>
      </c>
      <c r="AI36" s="192" t="s">
        <v>343</v>
      </c>
      <c r="AJ36" s="41">
        <v>1.1499999999999999</v>
      </c>
      <c r="AK36" s="193">
        <v>0.95</v>
      </c>
      <c r="AL36" s="225">
        <v>218</v>
      </c>
      <c r="AM36" s="197">
        <v>1.1499999999999999</v>
      </c>
      <c r="AN36" s="202">
        <v>0.95</v>
      </c>
      <c r="AO36" s="37">
        <v>238.16499999999999</v>
      </c>
    </row>
    <row r="37" spans="1:41">
      <c r="A37" s="192" t="s">
        <v>323</v>
      </c>
      <c r="B37" s="41"/>
      <c r="C37" s="193"/>
      <c r="D37" s="184">
        <f t="shared" si="2"/>
        <v>217.55974710170528</v>
      </c>
      <c r="E37" s="199"/>
      <c r="F37" s="200"/>
      <c r="G37" s="194">
        <f>SUM(G35:G36)</f>
        <v>217.49818599682465</v>
      </c>
      <c r="H37" s="199"/>
      <c r="I37" s="200"/>
      <c r="J37" s="194">
        <f>SUM(J35:J36)</f>
        <v>217.02941055223857</v>
      </c>
      <c r="K37" s="199"/>
      <c r="L37" s="200"/>
      <c r="M37" s="194">
        <f>SUM(M35:M36)</f>
        <v>216.29235190734789</v>
      </c>
      <c r="N37" s="199"/>
      <c r="O37" s="200"/>
      <c r="P37" s="194">
        <f>SUM(P35:P36)</f>
        <v>215.28701006215255</v>
      </c>
      <c r="Q37" s="199"/>
      <c r="R37" s="200"/>
      <c r="S37" s="194">
        <f>SUM(S35:S36)</f>
        <v>214.01338501665259</v>
      </c>
      <c r="T37" s="201"/>
      <c r="U37" s="202"/>
      <c r="V37" s="194">
        <f>SUM(V35:V36)</f>
        <v>212.471476770848</v>
      </c>
      <c r="W37" s="197"/>
      <c r="X37" s="198"/>
      <c r="Y37" s="40">
        <f>SUM(Y35:Y36)</f>
        <v>210.66128532473874</v>
      </c>
      <c r="AI37" s="192" t="s">
        <v>344</v>
      </c>
      <c r="AJ37" s="41">
        <v>1.1499999999999999</v>
      </c>
      <c r="AK37" s="193">
        <v>1</v>
      </c>
      <c r="AL37" s="225">
        <v>7279</v>
      </c>
      <c r="AM37" s="197">
        <v>1.1499999999999999</v>
      </c>
      <c r="AN37" s="202">
        <v>1</v>
      </c>
      <c r="AO37" s="37">
        <v>8370.85</v>
      </c>
    </row>
    <row r="38" spans="1:41">
      <c r="A38" s="192" t="s">
        <v>325</v>
      </c>
      <c r="B38" s="41"/>
      <c r="C38" s="193"/>
      <c r="D38" s="184">
        <f t="shared" si="2"/>
        <v>225.95974710170529</v>
      </c>
      <c r="E38" s="199"/>
      <c r="F38" s="200"/>
      <c r="G38" s="194">
        <f>G37+$K$9-$K$8</f>
        <v>225.89818599682462</v>
      </c>
      <c r="H38" s="199"/>
      <c r="I38" s="200"/>
      <c r="J38" s="194">
        <f>J37+$K$9-$K$8</f>
        <v>225.42941055223855</v>
      </c>
      <c r="K38" s="199"/>
      <c r="L38" s="200"/>
      <c r="M38" s="194">
        <f>M37+$K$9-$K$8</f>
        <v>224.69235190734787</v>
      </c>
      <c r="N38" s="199"/>
      <c r="O38" s="200"/>
      <c r="P38" s="194">
        <f>P37+$K$9-$K$8</f>
        <v>223.68701006215258</v>
      </c>
      <c r="Q38" s="199"/>
      <c r="R38" s="200"/>
      <c r="S38" s="203">
        <f>S37+$K$9-$K$8</f>
        <v>222.41338501665257</v>
      </c>
      <c r="T38" s="201"/>
      <c r="U38" s="202"/>
      <c r="V38" s="203">
        <f>V37+$K$9-$K$8</f>
        <v>220.87147677084801</v>
      </c>
      <c r="W38" s="197"/>
      <c r="X38" s="198"/>
      <c r="Y38" s="40">
        <f>Y37+$K$9-$K$8</f>
        <v>219.06128532473872</v>
      </c>
      <c r="Z38" s="4"/>
      <c r="AI38" s="192" t="s">
        <v>23</v>
      </c>
      <c r="AJ38" s="41"/>
      <c r="AK38" s="193"/>
      <c r="AL38" s="225">
        <v>246.93899999999999</v>
      </c>
      <c r="AM38" s="197"/>
      <c r="AN38" s="198"/>
      <c r="AO38" s="37">
        <v>280.24441999999999</v>
      </c>
    </row>
    <row r="39" spans="1:41">
      <c r="A39" s="560" t="s">
        <v>408</v>
      </c>
      <c r="B39" s="561"/>
      <c r="C39" s="561"/>
      <c r="D39" s="561"/>
      <c r="E39" s="561"/>
      <c r="F39" s="561"/>
      <c r="G39" s="561"/>
      <c r="H39" s="561"/>
      <c r="I39" s="561"/>
      <c r="J39" s="561"/>
      <c r="K39" s="561"/>
      <c r="L39" s="561"/>
      <c r="M39" s="561"/>
      <c r="N39" s="561"/>
      <c r="O39" s="561"/>
      <c r="P39" s="561"/>
      <c r="Q39" s="561"/>
      <c r="R39" s="561"/>
      <c r="S39" s="561"/>
      <c r="T39" s="561"/>
      <c r="U39" s="561"/>
      <c r="V39" s="561"/>
      <c r="W39" s="561"/>
      <c r="X39" s="561"/>
      <c r="Y39" s="561"/>
      <c r="AI39" s="192" t="s">
        <v>345</v>
      </c>
      <c r="AJ39" s="41"/>
      <c r="AK39" s="193"/>
      <c r="AL39" s="225">
        <v>252.93899999999999</v>
      </c>
      <c r="AM39" s="197"/>
      <c r="AN39" s="198"/>
      <c r="AO39" s="37">
        <v>286.24441999999999</v>
      </c>
    </row>
    <row r="40" spans="1:41">
      <c r="A40" s="596" t="s">
        <v>334</v>
      </c>
      <c r="B40" s="596"/>
      <c r="C40" s="596"/>
      <c r="D40" s="596"/>
      <c r="E40" s="596"/>
      <c r="F40" s="596"/>
      <c r="G40" s="596"/>
      <c r="H40" s="596"/>
      <c r="I40" s="596"/>
      <c r="J40" s="596"/>
      <c r="K40" s="596"/>
      <c r="L40" s="596"/>
      <c r="M40" s="596"/>
      <c r="N40" s="596"/>
      <c r="O40" s="596"/>
      <c r="P40" s="596"/>
      <c r="Q40" s="596"/>
      <c r="R40" s="596"/>
      <c r="S40" s="596"/>
      <c r="T40" s="596"/>
      <c r="U40" s="596"/>
      <c r="V40" s="596"/>
      <c r="W40" s="596"/>
      <c r="X40" s="596"/>
      <c r="Y40" s="596"/>
    </row>
    <row r="41" spans="1:41">
      <c r="A41" s="212"/>
      <c r="B41" s="597">
        <v>2019</v>
      </c>
      <c r="C41" s="597"/>
      <c r="D41" s="597"/>
      <c r="E41" s="597"/>
      <c r="F41" s="598">
        <v>2020</v>
      </c>
      <c r="G41" s="598"/>
      <c r="H41" s="598"/>
      <c r="I41" s="598"/>
      <c r="J41" s="598">
        <v>2025</v>
      </c>
      <c r="K41" s="598"/>
      <c r="L41" s="598"/>
      <c r="M41" s="598"/>
      <c r="N41" s="598">
        <v>2030</v>
      </c>
      <c r="O41" s="598"/>
      <c r="P41" s="598"/>
      <c r="Q41" s="598"/>
      <c r="R41" s="599">
        <v>2035</v>
      </c>
      <c r="S41" s="599"/>
      <c r="T41" s="599"/>
      <c r="U41" s="599"/>
      <c r="V41" s="600">
        <v>2040</v>
      </c>
      <c r="W41" s="600"/>
      <c r="X41" s="600"/>
      <c r="Y41" s="600"/>
      <c r="Z41" s="590">
        <v>2045</v>
      </c>
      <c r="AA41" s="590"/>
      <c r="AB41" s="590"/>
      <c r="AC41" s="590"/>
      <c r="AD41" s="591">
        <v>2050</v>
      </c>
      <c r="AE41" s="591"/>
      <c r="AF41" s="591"/>
      <c r="AG41" s="591"/>
      <c r="AH41" s="213"/>
    </row>
    <row r="42" spans="1:41" ht="43.2">
      <c r="A42" s="212"/>
      <c r="B42" s="132" t="s">
        <v>331</v>
      </c>
      <c r="C42" s="214" t="s">
        <v>339</v>
      </c>
      <c r="D42" s="132" t="s">
        <v>335</v>
      </c>
      <c r="E42" s="215" t="s">
        <v>340</v>
      </c>
      <c r="F42" s="199" t="s">
        <v>331</v>
      </c>
      <c r="G42" s="214" t="s">
        <v>339</v>
      </c>
      <c r="H42" s="132" t="s">
        <v>335</v>
      </c>
      <c r="I42" s="215" t="s">
        <v>336</v>
      </c>
      <c r="J42" s="199" t="s">
        <v>331</v>
      </c>
      <c r="K42" s="214" t="s">
        <v>339</v>
      </c>
      <c r="L42" s="132" t="s">
        <v>335</v>
      </c>
      <c r="M42" s="215" t="s">
        <v>336</v>
      </c>
      <c r="N42" s="199" t="s">
        <v>331</v>
      </c>
      <c r="O42" s="214" t="s">
        <v>339</v>
      </c>
      <c r="P42" s="132" t="s">
        <v>335</v>
      </c>
      <c r="Q42" s="215" t="s">
        <v>336</v>
      </c>
      <c r="R42" s="199" t="s">
        <v>331</v>
      </c>
      <c r="S42" s="214" t="s">
        <v>339</v>
      </c>
      <c r="T42" s="132" t="s">
        <v>335</v>
      </c>
      <c r="U42" s="215" t="s">
        <v>336</v>
      </c>
      <c r="V42" s="199" t="s">
        <v>331</v>
      </c>
      <c r="W42" s="214" t="s">
        <v>339</v>
      </c>
      <c r="X42" s="132" t="s">
        <v>335</v>
      </c>
      <c r="Y42" s="215" t="s">
        <v>336</v>
      </c>
      <c r="Z42" s="199" t="s">
        <v>331</v>
      </c>
      <c r="AA42" s="214" t="s">
        <v>339</v>
      </c>
      <c r="AB42" s="132" t="s">
        <v>335</v>
      </c>
      <c r="AC42" s="215" t="s">
        <v>336</v>
      </c>
      <c r="AD42" s="199" t="s">
        <v>331</v>
      </c>
      <c r="AE42" s="216" t="s">
        <v>339</v>
      </c>
      <c r="AF42" s="132" t="s">
        <v>335</v>
      </c>
      <c r="AG42" s="215" t="s">
        <v>336</v>
      </c>
      <c r="AH42" s="4"/>
    </row>
    <row r="43" spans="1:41">
      <c r="A43" s="217" t="s">
        <v>341</v>
      </c>
      <c r="B43" s="217">
        <v>1</v>
      </c>
      <c r="C43" s="217">
        <v>0.98</v>
      </c>
      <c r="D43" s="217">
        <v>1</v>
      </c>
      <c r="E43" s="207">
        <f>K12</f>
        <v>62.802000000000007</v>
      </c>
      <c r="F43" s="218">
        <f>$B43+($AD43-$B43)*1/31</f>
        <v>1.0048387096774194</v>
      </c>
      <c r="G43" s="219">
        <f>$C43+($AE43-$C43)*1/31</f>
        <v>0.94838709677419353</v>
      </c>
      <c r="H43" s="174">
        <f>$D43+($AF43-$D43)*1/31</f>
        <v>0.98709677419354835</v>
      </c>
      <c r="I43" s="220">
        <f>$E43+($AG43-$E43)*1/31</f>
        <v>60.776129032258069</v>
      </c>
      <c r="J43" s="218">
        <f>$B43+($AD43-$B43)*6/31</f>
        <v>1.0290322580645161</v>
      </c>
      <c r="K43" s="219">
        <f>$C43+($AE43-$C43)*6/31</f>
        <v>0.79032258064516125</v>
      </c>
      <c r="L43" s="174">
        <f>$D43+($AF43-$D43)*6/31</f>
        <v>0.92258064516129035</v>
      </c>
      <c r="M43" s="220">
        <f>$E43+($AG43-$E43)*6/31</f>
        <v>50.646774193548396</v>
      </c>
      <c r="N43" s="218">
        <f>$B43+($AD43-$B43)*11/31</f>
        <v>1.0532258064516129</v>
      </c>
      <c r="O43" s="219">
        <f>$C43+($AE43-$C43)*11/31</f>
        <v>0.63225806451612909</v>
      </c>
      <c r="P43" s="174">
        <f>$D43+($AF43-$D43)*11/31</f>
        <v>0.85806451612903223</v>
      </c>
      <c r="Q43" s="220">
        <f>$E43+($AG43-$E43)*11/31</f>
        <v>40.517419354838708</v>
      </c>
      <c r="R43" s="218">
        <f>$B43+($AD43-$B43)*16/31</f>
        <v>1.0774193548387097</v>
      </c>
      <c r="S43" s="219">
        <f>$C43+($AE43-$C43)*16/31</f>
        <v>0.47419354838709682</v>
      </c>
      <c r="T43" s="174">
        <f>$D43+($AF43-$D43)*16/31</f>
        <v>0.79354838709677422</v>
      </c>
      <c r="U43" s="220">
        <f>$E43+($AG43-$E43)*16/31</f>
        <v>30.388064516129035</v>
      </c>
      <c r="V43" s="218">
        <f>$B43+($AD43-$B43)*21/31</f>
        <v>1.1016129032258064</v>
      </c>
      <c r="W43" s="219">
        <f>$C43+($AE43-$C43)*21/31</f>
        <v>0.31612903225806455</v>
      </c>
      <c r="X43" s="174">
        <f>$D43+($AF43-$D43)*21/31</f>
        <v>0.7290322580645161</v>
      </c>
      <c r="Y43" s="220">
        <f>$E43+($AG43-$E43)*21/31</f>
        <v>20.258709677419361</v>
      </c>
      <c r="Z43" s="218">
        <f>$B43+($AD43-$B43)*26/31</f>
        <v>1.1258064516129032</v>
      </c>
      <c r="AA43" s="219">
        <f>$C43+($AE43-$C43)*26/31</f>
        <v>0.15806451612903227</v>
      </c>
      <c r="AB43" s="174">
        <f>$D43+($AF43-$D43)*26/31</f>
        <v>0.6645161290322581</v>
      </c>
      <c r="AC43" s="220">
        <f>$E43+($AG43-$E43)*26/31</f>
        <v>10.129354838709681</v>
      </c>
      <c r="AD43" s="201">
        <v>1.1499999999999999</v>
      </c>
      <c r="AE43" s="221">
        <v>0</v>
      </c>
      <c r="AF43" s="222">
        <v>0.6</v>
      </c>
      <c r="AG43" s="223">
        <f>E43*AD43*AE43*AF43</f>
        <v>0</v>
      </c>
      <c r="AH43" s="4"/>
    </row>
    <row r="44" spans="1:41">
      <c r="A44" s="1" t="s">
        <v>338</v>
      </c>
      <c r="B44" s="217">
        <v>1</v>
      </c>
      <c r="C44" s="217">
        <v>0.02</v>
      </c>
      <c r="D44" s="217">
        <v>1</v>
      </c>
      <c r="E44" s="203">
        <f>K13</f>
        <v>0</v>
      </c>
      <c r="F44" s="218">
        <f>$B44+($AD44-$B44)*1/31</f>
        <v>1.0048387096774194</v>
      </c>
      <c r="G44" s="219">
        <f>$C44+($AE44-$C44)*1/31</f>
        <v>2.2580645161290325E-2</v>
      </c>
      <c r="H44" s="174">
        <f>$D44+($AF44-$D44)*1/31</f>
        <v>0.98709677419354835</v>
      </c>
      <c r="I44" s="220">
        <f>$E44+($AG44-$E44)*1/31</f>
        <v>0</v>
      </c>
      <c r="J44" s="218">
        <f>$B44+($AD44-$B44)*6/31</f>
        <v>1.0290322580645161</v>
      </c>
      <c r="K44" s="219">
        <f>$C44+($AE44-$C44)*6/31</f>
        <v>3.5483870967741936E-2</v>
      </c>
      <c r="L44" s="174">
        <f>$D44+($AF44-$D44)*6/31</f>
        <v>0.92258064516129035</v>
      </c>
      <c r="M44" s="220">
        <f>$E44+($AG44-$E44)*6/31</f>
        <v>0</v>
      </c>
      <c r="N44" s="218">
        <f>$B44+($AD44-$B44)*11/31</f>
        <v>1.0532258064516129</v>
      </c>
      <c r="O44" s="219">
        <f>$C44+($AE44-$C44)*11/31</f>
        <v>4.8387096774193547E-2</v>
      </c>
      <c r="P44" s="174">
        <f>$D44+($AF44-$D44)*11/31</f>
        <v>0.85806451612903223</v>
      </c>
      <c r="Q44" s="220">
        <f>$E44+($AG44-$E44)*11/31</f>
        <v>0</v>
      </c>
      <c r="R44" s="218">
        <f>$B44+($AD44-$B44)*16/31</f>
        <v>1.0774193548387097</v>
      </c>
      <c r="S44" s="219">
        <f>$C44+($AE44-$C44)*16/31</f>
        <v>6.1290322580645165E-2</v>
      </c>
      <c r="T44" s="174">
        <f>$D44+($AF44-$D44)*16/31</f>
        <v>0.79354838709677422</v>
      </c>
      <c r="U44" s="220">
        <f>$E44+($AG44-$E44)*16/31</f>
        <v>0</v>
      </c>
      <c r="V44" s="218">
        <f>$B44+($AD44-$B44)*21/31</f>
        <v>1.1016129032258064</v>
      </c>
      <c r="W44" s="219">
        <f>$C44+($AE44-$C44)*21/31</f>
        <v>7.4193548387096769E-2</v>
      </c>
      <c r="X44" s="174">
        <f>$D44+($AF44-$D44)*21/31</f>
        <v>0.7290322580645161</v>
      </c>
      <c r="Y44" s="220">
        <f>$E44+($AG44-$E44)*21/31</f>
        <v>0</v>
      </c>
      <c r="Z44" s="218">
        <f>$B44+($AD44-$B44)*26/31</f>
        <v>1.1258064516129032</v>
      </c>
      <c r="AA44" s="219">
        <f>$C44+($AE44-$C44)*26/31</f>
        <v>8.7096774193548387E-2</v>
      </c>
      <c r="AB44" s="174">
        <f>$D44+($AF44-$D44)*26/31</f>
        <v>0.6645161290322581</v>
      </c>
      <c r="AC44" s="220">
        <f>$E44+($AG44-$E44)*26/31</f>
        <v>0</v>
      </c>
      <c r="AD44" s="201">
        <v>1.1499999999999999</v>
      </c>
      <c r="AE44" s="221">
        <v>0.1</v>
      </c>
      <c r="AF44" s="1">
        <v>0.6</v>
      </c>
      <c r="AG44" s="224">
        <f>AD44*AE44*E44*AF44</f>
        <v>0</v>
      </c>
      <c r="AH44" s="4"/>
    </row>
    <row r="45" spans="1:41">
      <c r="A45" s="171" t="s">
        <v>342</v>
      </c>
      <c r="B45" s="217">
        <v>1</v>
      </c>
      <c r="C45" s="217">
        <v>0</v>
      </c>
      <c r="D45" s="217">
        <v>1</v>
      </c>
      <c r="E45" s="203">
        <v>0</v>
      </c>
      <c r="F45" s="218">
        <f>$B45+($AD45-$B45)*1/31</f>
        <v>1.0048387096774194</v>
      </c>
      <c r="G45" s="219">
        <f>$C45+($AE45-$C45)*1/31</f>
        <v>2.903225806451613E-2</v>
      </c>
      <c r="H45" s="174">
        <f>$D45+($AF45-$D45)*1/31</f>
        <v>0.98709677419354835</v>
      </c>
      <c r="I45" s="220">
        <f>$E45+($AG45-$E45)*1/31</f>
        <v>1.2580658709677419</v>
      </c>
      <c r="J45" s="218">
        <f>$B45+($AD45-$B45)*6/31</f>
        <v>1.0290322580645161</v>
      </c>
      <c r="K45" s="219">
        <f>$C45+($AE45-$C45)*6/31</f>
        <v>0.17419354838709677</v>
      </c>
      <c r="L45" s="174">
        <f>$D45+($AF45-$D45)*6/31</f>
        <v>0.92258064516129035</v>
      </c>
      <c r="M45" s="220">
        <f>$E45+($AG45-$E45)*6/31</f>
        <v>7.5483952258064511</v>
      </c>
      <c r="N45" s="218">
        <f>$B45+($AD45-$B45)*11/31</f>
        <v>1.0532258064516129</v>
      </c>
      <c r="O45" s="219">
        <f>$C45+($AE45-$C45)*11/31</f>
        <v>0.31935483870967746</v>
      </c>
      <c r="P45" s="174">
        <f>$D45+($AF45-$D45)*11/31</f>
        <v>0.85806451612903223</v>
      </c>
      <c r="Q45" s="220">
        <f>$E45+($AG45-$E45)*11/31</f>
        <v>13.838724580645161</v>
      </c>
      <c r="R45" s="218">
        <f>$B45+($AD45-$B45)*16/31</f>
        <v>1.0774193548387097</v>
      </c>
      <c r="S45" s="219">
        <f>$C45+($AE45-$C45)*16/31</f>
        <v>0.46451612903225808</v>
      </c>
      <c r="T45" s="174">
        <f>$D45+($AF45-$D45)*16/31</f>
        <v>0.79354838709677422</v>
      </c>
      <c r="U45" s="220">
        <f>$E45+($AG45-$E45)*16/31</f>
        <v>20.129053935483871</v>
      </c>
      <c r="V45" s="218">
        <f>$B45+($AD45-$B45)*21/31</f>
        <v>1.1016129032258064</v>
      </c>
      <c r="W45" s="219">
        <f>$C45+($AE45-$C45)*21/31</f>
        <v>0.60967741935483877</v>
      </c>
      <c r="X45" s="174">
        <f>$D45+($AF45-$D45)*21/31</f>
        <v>0.7290322580645161</v>
      </c>
      <c r="Y45" s="220">
        <f>$E45+($AG45-$E45)*21/31</f>
        <v>26.419383290322582</v>
      </c>
      <c r="Z45" s="218">
        <f>$B45+($AD45-$B45)*26/31</f>
        <v>1.1258064516129032</v>
      </c>
      <c r="AA45" s="219">
        <f>$C45+($AE45-$C45)*26/31</f>
        <v>0.75483870967741939</v>
      </c>
      <c r="AB45" s="174">
        <f>$D45+($AF45-$D45)*26/31</f>
        <v>0.6645161290322581</v>
      </c>
      <c r="AC45" s="220">
        <f>$E45+($AG45-$E45)*26/31</f>
        <v>32.709712645161289</v>
      </c>
      <c r="AD45" s="201">
        <v>1.1499999999999999</v>
      </c>
      <c r="AE45" s="221">
        <v>0.9</v>
      </c>
      <c r="AF45" s="1">
        <v>0.6</v>
      </c>
      <c r="AG45" s="203">
        <f>AD45*AE45*E43*AF45</f>
        <v>39.000042000000001</v>
      </c>
      <c r="AH45" s="4"/>
    </row>
    <row r="46" spans="1:41">
      <c r="A46" s="171" t="s">
        <v>23</v>
      </c>
      <c r="B46" s="217"/>
      <c r="C46" s="217">
        <v>1</v>
      </c>
      <c r="D46" s="217">
        <v>1</v>
      </c>
      <c r="E46" s="203">
        <f>SUM(E43:E44)</f>
        <v>62.802000000000007</v>
      </c>
      <c r="F46" s="211"/>
      <c r="G46" s="211">
        <v>1</v>
      </c>
      <c r="H46" s="1"/>
      <c r="I46" s="203">
        <f>SUM(I43:I45)</f>
        <v>62.03419490322581</v>
      </c>
      <c r="J46" s="1"/>
      <c r="K46" s="1">
        <v>1</v>
      </c>
      <c r="L46" s="1"/>
      <c r="M46" s="203">
        <f>SUM(M43:M45)</f>
        <v>58.195169419354848</v>
      </c>
      <c r="N46" s="1"/>
      <c r="O46" s="1">
        <v>1</v>
      </c>
      <c r="P46" s="1"/>
      <c r="Q46" s="203">
        <f>SUM(Q43:Q45)</f>
        <v>54.356143935483871</v>
      </c>
      <c r="R46" s="1"/>
      <c r="S46" s="1">
        <v>1</v>
      </c>
      <c r="T46" s="1"/>
      <c r="U46" s="203">
        <f>SUM(U43:U45)</f>
        <v>50.517118451612902</v>
      </c>
      <c r="V46" s="1"/>
      <c r="W46" s="1">
        <v>1</v>
      </c>
      <c r="X46" s="1"/>
      <c r="Y46" s="203">
        <f>SUM(Y43:Y45)</f>
        <v>46.678092967741946</v>
      </c>
      <c r="Z46" s="1"/>
      <c r="AA46" s="1">
        <v>1</v>
      </c>
      <c r="AB46" s="1"/>
      <c r="AC46" s="203">
        <f>SUM(AC43:AC45)</f>
        <v>42.83906748387097</v>
      </c>
      <c r="AD46" s="1"/>
      <c r="AE46" s="1">
        <v>1</v>
      </c>
      <c r="AF46" s="1"/>
      <c r="AG46" s="203">
        <f>SUM(AG43:AG45)</f>
        <v>39.000042000000001</v>
      </c>
      <c r="AH46" s="4"/>
    </row>
    <row r="47" spans="1:41">
      <c r="A47" s="601" t="s">
        <v>662</v>
      </c>
      <c r="B47" s="601"/>
      <c r="C47" s="601"/>
      <c r="D47" s="601"/>
      <c r="E47" s="601"/>
      <c r="F47" s="601"/>
      <c r="G47" s="601"/>
      <c r="H47" s="601"/>
      <c r="I47" s="601"/>
      <c r="J47" s="601"/>
      <c r="K47" s="601"/>
      <c r="L47" s="601"/>
      <c r="M47" s="601"/>
      <c r="N47" s="601"/>
      <c r="O47" s="601"/>
      <c r="P47" s="601"/>
      <c r="Q47" s="601"/>
      <c r="R47" s="601"/>
      <c r="S47" s="601"/>
      <c r="T47" s="601"/>
      <c r="U47" s="601"/>
      <c r="V47" s="601"/>
      <c r="W47" s="601"/>
      <c r="X47" s="601"/>
      <c r="Y47" s="601"/>
      <c r="Z47" s="601"/>
      <c r="AA47" s="601"/>
      <c r="AB47" s="601"/>
      <c r="AC47" s="601"/>
      <c r="AD47" s="601"/>
      <c r="AE47" s="601"/>
      <c r="AF47" s="601"/>
      <c r="AG47" s="601"/>
    </row>
    <row r="50" spans="14:25">
      <c r="O50">
        <f>Q46/E46</f>
        <v>0.86551612903225794</v>
      </c>
    </row>
    <row r="56" spans="14:25">
      <c r="N56" s="226"/>
      <c r="O56" s="226"/>
      <c r="P56" s="226"/>
      <c r="Q56" s="226"/>
      <c r="R56" s="226"/>
      <c r="S56" s="35"/>
      <c r="T56" s="35"/>
      <c r="U56" s="35"/>
      <c r="V56" s="35"/>
      <c r="W56" s="35"/>
      <c r="X56" s="35"/>
      <c r="Y56" s="35"/>
    </row>
    <row r="57" spans="14:25">
      <c r="N57" s="86"/>
      <c r="O57" s="86"/>
      <c r="P57" s="86"/>
      <c r="Q57" s="86"/>
      <c r="R57" s="86"/>
      <c r="S57" s="86"/>
      <c r="T57" s="86"/>
      <c r="U57" s="86"/>
      <c r="V57" s="86"/>
      <c r="W57" s="86"/>
      <c r="X57" s="86"/>
      <c r="Y57" s="86"/>
    </row>
    <row r="63" spans="14:25">
      <c r="N63" s="35"/>
      <c r="O63" s="35"/>
      <c r="P63" s="35"/>
      <c r="Q63" s="35"/>
      <c r="R63" s="35"/>
      <c r="S63" s="35"/>
      <c r="T63" s="35"/>
      <c r="U63" s="35"/>
      <c r="V63" s="35"/>
      <c r="W63" s="35"/>
      <c r="X63" s="35"/>
      <c r="Y63" s="35"/>
    </row>
  </sheetData>
  <mergeCells count="52">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40:Y40"/>
    <mergeCell ref="B41:E41"/>
    <mergeCell ref="F41:I41"/>
    <mergeCell ref="J41:M41"/>
    <mergeCell ref="N41:Q41"/>
    <mergeCell ref="R41:U41"/>
    <mergeCell ref="V41:Y41"/>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s>
  <pageMargins left="0.7" right="0.7" top="0.75" bottom="0.75" header="0.51180555555555496" footer="0.51180555555555496"/>
  <pageSetup paperSize="9" firstPageNumber="0"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K5" sqref="K5"/>
    </sheetView>
  </sheetViews>
  <sheetFormatPr baseColWidth="10" defaultColWidth="8.88671875" defaultRowHeight="14.4"/>
  <cols>
    <col min="1" max="1" width="18.5546875" customWidth="1"/>
    <col min="2" max="1025" width="10.44140625" customWidth="1"/>
  </cols>
  <sheetData>
    <row r="2" spans="1:24">
      <c r="A2" s="559" t="s">
        <v>55</v>
      </c>
      <c r="B2" s="559"/>
      <c r="C2" s="559"/>
      <c r="D2" s="559"/>
      <c r="E2" s="559"/>
      <c r="F2" s="559"/>
      <c r="G2" s="559"/>
      <c r="H2" s="559"/>
      <c r="I2" s="559"/>
      <c r="P2" s="559" t="s">
        <v>151</v>
      </c>
      <c r="Q2" s="559"/>
      <c r="R2" s="559"/>
      <c r="S2" s="559"/>
      <c r="T2" s="559"/>
      <c r="U2" s="559"/>
      <c r="V2" s="559"/>
      <c r="W2" s="559"/>
      <c r="X2" s="559"/>
    </row>
    <row r="4" spans="1:24">
      <c r="B4" s="228">
        <v>2010</v>
      </c>
      <c r="C4" s="228">
        <v>2011</v>
      </c>
      <c r="D4" s="228">
        <v>2012</v>
      </c>
      <c r="E4" s="228">
        <v>2013</v>
      </c>
      <c r="F4" s="228">
        <v>2014</v>
      </c>
      <c r="G4" s="228">
        <v>2015</v>
      </c>
      <c r="H4" s="228">
        <v>2016</v>
      </c>
      <c r="I4" s="228">
        <v>2017</v>
      </c>
      <c r="J4" s="228">
        <v>2018</v>
      </c>
      <c r="K4" s="228">
        <v>2019</v>
      </c>
      <c r="L4" s="228">
        <v>2020</v>
      </c>
      <c r="M4" s="256" t="s">
        <v>394</v>
      </c>
      <c r="Q4" s="230">
        <v>2015</v>
      </c>
      <c r="R4" s="230">
        <v>2020</v>
      </c>
      <c r="S4" s="230">
        <v>2025</v>
      </c>
      <c r="T4" s="230">
        <v>2030</v>
      </c>
      <c r="U4" s="230">
        <v>2035</v>
      </c>
      <c r="V4" s="230">
        <v>2040</v>
      </c>
      <c r="W4" s="230">
        <v>2045</v>
      </c>
      <c r="X4" s="230">
        <v>2050</v>
      </c>
    </row>
    <row r="5" spans="1:24">
      <c r="A5" s="30" t="s">
        <v>318</v>
      </c>
      <c r="B5" s="39">
        <f>GES!V14</f>
        <v>332.7090509407227</v>
      </c>
      <c r="C5" s="39">
        <f>GES!W14</f>
        <v>332.7090509407227</v>
      </c>
      <c r="D5" s="39">
        <f>GES!X14</f>
        <v>332.7090509407227</v>
      </c>
      <c r="E5" s="39">
        <f>GES!Y14</f>
        <v>332.7090509407227</v>
      </c>
      <c r="F5" s="39">
        <f>GES!Z14</f>
        <v>332.7090509407227</v>
      </c>
      <c r="G5" s="39">
        <f>GES!AA14</f>
        <v>332.7090509407227</v>
      </c>
      <c r="H5" s="39">
        <f>GES!AB14</f>
        <v>332.7090509407227</v>
      </c>
      <c r="I5" s="39">
        <f>GES!AC14</f>
        <v>332.7090509407227</v>
      </c>
      <c r="J5" s="39">
        <f>GES!AD14</f>
        <v>332.7090509407227</v>
      </c>
      <c r="K5" s="39">
        <f>GES!AE14</f>
        <v>332.7090509407227</v>
      </c>
      <c r="L5" s="30"/>
      <c r="M5" s="308" t="s">
        <v>346</v>
      </c>
      <c r="P5" s="30" t="s">
        <v>318</v>
      </c>
      <c r="Q5" s="30"/>
      <c r="R5" s="30"/>
      <c r="S5" s="30"/>
      <c r="T5" s="30"/>
      <c r="U5" s="30"/>
      <c r="V5" s="30"/>
      <c r="W5" s="30"/>
      <c r="X5" s="30"/>
    </row>
    <row r="6" spans="1:24">
      <c r="G6" s="39"/>
      <c r="H6" s="25"/>
    </row>
    <row r="7" spans="1:24">
      <c r="A7" s="559" t="s">
        <v>150</v>
      </c>
      <c r="B7" s="559"/>
      <c r="C7" s="559"/>
      <c r="D7" s="559"/>
      <c r="E7" s="559"/>
      <c r="F7" s="559"/>
      <c r="G7" s="559"/>
      <c r="H7" s="559"/>
      <c r="I7" s="559"/>
    </row>
    <row r="8" spans="1:24">
      <c r="P8" s="559" t="s">
        <v>157</v>
      </c>
      <c r="Q8" s="559"/>
      <c r="R8" s="559"/>
      <c r="S8" s="559"/>
      <c r="T8" s="559"/>
      <c r="U8" s="559"/>
      <c r="V8" s="559"/>
      <c r="W8" s="559"/>
      <c r="X8" s="559"/>
    </row>
    <row r="9" spans="1:24">
      <c r="B9" s="228">
        <v>2019</v>
      </c>
      <c r="C9" s="228">
        <v>2020</v>
      </c>
      <c r="D9" s="228">
        <v>2025</v>
      </c>
      <c r="E9" s="228">
        <v>2030</v>
      </c>
      <c r="F9" s="228">
        <v>2035</v>
      </c>
      <c r="G9" s="228">
        <v>2040</v>
      </c>
      <c r="H9" s="228">
        <v>2045</v>
      </c>
      <c r="I9" s="30">
        <v>2050</v>
      </c>
      <c r="J9" s="256" t="s">
        <v>394</v>
      </c>
      <c r="K9" t="s">
        <v>415</v>
      </c>
    </row>
    <row r="10" spans="1:24">
      <c r="A10" s="30" t="s">
        <v>318</v>
      </c>
      <c r="B10" s="39">
        <f>K5</f>
        <v>332.7090509407227</v>
      </c>
      <c r="C10" s="158">
        <f>$B10+($I10-$B10)*1/31</f>
        <v>332.70908155553809</v>
      </c>
      <c r="D10" s="158">
        <f>$B10+($I10-$B10)*6/31</f>
        <v>332.70923462961508</v>
      </c>
      <c r="E10" s="158">
        <f>$B10+($I10-$B10)*11/31</f>
        <v>332.70938770369207</v>
      </c>
      <c r="F10" s="158">
        <f>$B10+($I10-$B10)*16/31</f>
        <v>332.70954077776906</v>
      </c>
      <c r="G10" s="158">
        <f>$B10+($I10-$B10)*21/31</f>
        <v>332.709693851846</v>
      </c>
      <c r="H10" s="158">
        <f>$B10+($I10-$B10)*26/31</f>
        <v>332.70984692592299</v>
      </c>
      <c r="I10" s="174">
        <v>332.71</v>
      </c>
      <c r="J10" s="308"/>
      <c r="K10" t="s">
        <v>416</v>
      </c>
      <c r="Q10" s="228">
        <v>2015</v>
      </c>
      <c r="R10" s="228">
        <v>2020</v>
      </c>
      <c r="S10" s="228">
        <v>2025</v>
      </c>
      <c r="T10" s="228">
        <v>2030</v>
      </c>
      <c r="U10" s="228">
        <v>2035</v>
      </c>
      <c r="V10" s="228">
        <v>2040</v>
      </c>
      <c r="W10" s="228">
        <v>2045</v>
      </c>
      <c r="X10" s="228">
        <v>2050</v>
      </c>
    </row>
    <row r="11" spans="1:24" ht="26.4" customHeight="1">
      <c r="A11" s="583" t="s">
        <v>532</v>
      </c>
      <c r="B11" s="583"/>
      <c r="C11" s="583"/>
      <c r="D11" s="583"/>
      <c r="E11" s="583"/>
      <c r="F11" s="583"/>
      <c r="G11" s="583"/>
      <c r="H11" s="583"/>
      <c r="I11" s="583"/>
      <c r="J11" s="583"/>
      <c r="P11" s="30" t="s">
        <v>318</v>
      </c>
      <c r="Q11" s="30"/>
      <c r="R11" s="30"/>
      <c r="S11" s="30"/>
      <c r="T11" s="30"/>
      <c r="U11" s="30"/>
      <c r="V11" s="30"/>
      <c r="W11" s="30"/>
      <c r="X11" s="30"/>
    </row>
    <row r="13" spans="1:24">
      <c r="A13" s="559" t="s">
        <v>156</v>
      </c>
      <c r="B13" s="559"/>
      <c r="C13" s="559"/>
      <c r="D13" s="559"/>
      <c r="E13" s="559"/>
      <c r="F13" s="559"/>
      <c r="G13" s="559"/>
      <c r="H13" s="559"/>
      <c r="I13" s="559"/>
    </row>
    <row r="15" spans="1:24">
      <c r="B15" s="228">
        <v>2019</v>
      </c>
      <c r="C15" s="228">
        <v>2020</v>
      </c>
      <c r="D15" s="228">
        <v>2025</v>
      </c>
      <c r="E15" s="228">
        <v>2030</v>
      </c>
      <c r="F15" s="228">
        <v>2035</v>
      </c>
      <c r="G15" s="228">
        <v>2040</v>
      </c>
      <c r="H15" s="228">
        <v>2045</v>
      </c>
      <c r="I15" s="228">
        <v>2050</v>
      </c>
    </row>
    <row r="16" spans="1:24">
      <c r="A16" s="30" t="s">
        <v>318</v>
      </c>
      <c r="B16" s="39">
        <f>K5</f>
        <v>332.7090509407227</v>
      </c>
      <c r="C16" s="158">
        <f>$B16+($I16-$B16)*1/31</f>
        <v>321.97650091037679</v>
      </c>
      <c r="D16" s="158">
        <f>$B16+($I16-$B16)*6/31</f>
        <v>268.31375075864736</v>
      </c>
      <c r="E16" s="158">
        <f>$B16+($I16-$B16)*11/31</f>
        <v>214.65100060691788</v>
      </c>
      <c r="F16" s="158">
        <f>$B16+($I16-$B16)*16/31</f>
        <v>160.98825045518839</v>
      </c>
      <c r="G16" s="158">
        <f>$B16+($I16-$B16)*21/31</f>
        <v>107.32550030345894</v>
      </c>
      <c r="H16" s="158">
        <f>$B16+($I16-$B16)*26/31</f>
        <v>53.662750151729426</v>
      </c>
      <c r="I16" s="30">
        <v>0</v>
      </c>
    </row>
    <row r="17" spans="1:9">
      <c r="A17" s="584" t="s">
        <v>417</v>
      </c>
      <c r="B17" s="584"/>
      <c r="C17" s="584"/>
      <c r="D17" s="584"/>
      <c r="E17" s="584"/>
      <c r="F17" s="584"/>
      <c r="G17" s="584"/>
      <c r="H17" s="584"/>
      <c r="I17" s="584"/>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8"/>
  <sheetViews>
    <sheetView topLeftCell="A22" zoomScaleNormal="100" workbookViewId="0">
      <selection activeCell="I36" sqref="I36"/>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559" t="s">
        <v>55</v>
      </c>
      <c r="B2" s="559"/>
      <c r="C2" s="559"/>
      <c r="D2" s="559"/>
      <c r="E2" s="559"/>
      <c r="F2" s="559"/>
      <c r="G2" s="559"/>
      <c r="H2" s="559"/>
      <c r="I2" s="559"/>
    </row>
    <row r="4" spans="1:21">
      <c r="A4" s="35"/>
      <c r="B4" s="228">
        <v>2010</v>
      </c>
      <c r="C4" s="228">
        <v>2011</v>
      </c>
      <c r="D4" s="228">
        <v>2012</v>
      </c>
      <c r="E4" s="228">
        <v>2013</v>
      </c>
      <c r="F4" s="228">
        <v>2014</v>
      </c>
      <c r="G4" s="228">
        <v>2015</v>
      </c>
      <c r="H4" s="228">
        <v>2016</v>
      </c>
      <c r="I4" s="228">
        <v>2017</v>
      </c>
      <c r="J4" s="228">
        <v>2018</v>
      </c>
      <c r="K4" s="228">
        <v>2019</v>
      </c>
      <c r="L4" s="228">
        <v>2020</v>
      </c>
      <c r="M4" s="295" t="s">
        <v>394</v>
      </c>
      <c r="O4">
        <f>82655</f>
        <v>82655</v>
      </c>
    </row>
    <row r="5" spans="1:21">
      <c r="A5" s="30" t="s">
        <v>530</v>
      </c>
      <c r="B5" s="30"/>
      <c r="C5" s="30"/>
      <c r="D5" s="30"/>
      <c r="E5" s="30"/>
      <c r="F5" s="30"/>
      <c r="G5" s="30">
        <f>G11/G9</f>
        <v>0.56387481344045287</v>
      </c>
      <c r="H5" s="30" t="e">
        <f t="shared" ref="H5:K5" si="0">H11/H9</f>
        <v>#DIV/0!</v>
      </c>
      <c r="I5" s="30">
        <f t="shared" si="0"/>
        <v>0.61098708231217969</v>
      </c>
      <c r="J5" s="30" t="e">
        <f t="shared" si="0"/>
        <v>#DIV/0!</v>
      </c>
      <c r="K5" s="30">
        <f t="shared" si="0"/>
        <v>0.5542763196807089</v>
      </c>
      <c r="L5" s="30"/>
      <c r="M5" s="308" t="s">
        <v>224</v>
      </c>
      <c r="O5">
        <v>1</v>
      </c>
    </row>
    <row r="6" spans="1:21">
      <c r="A6" s="30" t="s">
        <v>529</v>
      </c>
      <c r="B6" s="30"/>
      <c r="C6" s="30"/>
      <c r="D6" s="30"/>
      <c r="E6" s="30"/>
      <c r="F6" s="30"/>
      <c r="G6" s="184">
        <f>'Cadrage macroéconomique '!G5/'Cadrage macroéconomique '!$K$5</f>
        <v>0.99555280445972283</v>
      </c>
      <c r="H6" s="184">
        <f>'Cadrage macroéconomique '!H5/'Cadrage macroéconomique '!$K$5</f>
        <v>1.0117646191881566</v>
      </c>
      <c r="I6" s="184">
        <f>'Cadrage macroéconomique '!I5/'Cadrage macroéconomique '!$K$5</f>
        <v>1.0261341822429046</v>
      </c>
      <c r="J6" s="184">
        <f>'Cadrage macroéconomique '!J5/'Cadrage macroéconomique '!$K$5</f>
        <v>1.0397668446281783</v>
      </c>
      <c r="K6" s="184">
        <f>'Cadrage macroéconomique '!K5/'Cadrage macroéconomique '!$K$5</f>
        <v>1</v>
      </c>
      <c r="L6" s="30"/>
      <c r="M6" s="308" t="s">
        <v>264</v>
      </c>
    </row>
    <row r="7" spans="1:21" s="391" customFormat="1">
      <c r="A7" s="30" t="s">
        <v>525</v>
      </c>
      <c r="B7" s="30"/>
      <c r="C7" s="30">
        <v>114.685</v>
      </c>
      <c r="D7" s="30"/>
      <c r="E7" s="30">
        <v>119.738</v>
      </c>
      <c r="F7" s="30"/>
      <c r="G7" s="30">
        <v>139.94200000000001</v>
      </c>
      <c r="H7" s="184"/>
      <c r="I7" s="25">
        <v>137.27600000000001</v>
      </c>
      <c r="J7" s="401"/>
      <c r="K7" s="162">
        <v>132.74799999999999</v>
      </c>
      <c r="L7" s="30"/>
      <c r="M7" s="308" t="s">
        <v>504</v>
      </c>
    </row>
    <row r="8" spans="1:21" s="391" customFormat="1">
      <c r="A8" s="30" t="s">
        <v>526</v>
      </c>
      <c r="B8" s="30"/>
      <c r="C8" s="403">
        <v>86.534000000000006</v>
      </c>
      <c r="D8" s="403"/>
      <c r="E8" s="403">
        <v>81.926000000000002</v>
      </c>
      <c r="F8" s="403"/>
      <c r="G8" s="403">
        <v>80.497</v>
      </c>
      <c r="H8" s="404">
        <v>1</v>
      </c>
      <c r="I8" s="405">
        <v>82.655000000000001</v>
      </c>
      <c r="J8" s="401"/>
      <c r="K8" s="402">
        <f>82.66/(182341/271407)</f>
        <v>123.03597446542466</v>
      </c>
      <c r="L8" s="30"/>
      <c r="M8" s="308" t="s">
        <v>527</v>
      </c>
    </row>
    <row r="9" spans="1:21">
      <c r="A9" s="30" t="s">
        <v>349</v>
      </c>
      <c r="B9" s="30"/>
      <c r="C9" s="43">
        <f>SUM(C7:C8)</f>
        <v>201.21899999999999</v>
      </c>
      <c r="D9" s="135">
        <f t="shared" ref="D9:K9" si="1">SUM(D7:D8)</f>
        <v>0</v>
      </c>
      <c r="E9" s="135">
        <f t="shared" si="1"/>
        <v>201.66399999999999</v>
      </c>
      <c r="F9" s="135">
        <f t="shared" si="1"/>
        <v>0</v>
      </c>
      <c r="G9" s="135">
        <f t="shared" si="1"/>
        <v>220.43900000000002</v>
      </c>
      <c r="H9" s="135"/>
      <c r="I9" s="135">
        <f t="shared" si="1"/>
        <v>219.93100000000001</v>
      </c>
      <c r="J9" s="135">
        <f t="shared" si="1"/>
        <v>0</v>
      </c>
      <c r="K9" s="135">
        <f t="shared" si="1"/>
        <v>255.78397446542465</v>
      </c>
      <c r="L9" s="174">
        <f>K9</f>
        <v>255.78397446542465</v>
      </c>
      <c r="M9" s="308" t="s">
        <v>504</v>
      </c>
      <c r="N9" t="s">
        <v>415</v>
      </c>
    </row>
    <row r="10" spans="1:21">
      <c r="A10" s="30" t="s">
        <v>350</v>
      </c>
      <c r="B10" s="184">
        <f>3.692</f>
        <v>3.6920000000000002</v>
      </c>
      <c r="C10" s="184">
        <v>3.9940000000000002</v>
      </c>
      <c r="D10" s="184">
        <v>4.2450000000000001</v>
      </c>
      <c r="E10" s="184">
        <v>4.452</v>
      </c>
      <c r="F10" s="184">
        <v>4.7030000000000003</v>
      </c>
      <c r="G10" s="184">
        <v>4.9720000000000004</v>
      </c>
      <c r="H10" s="184">
        <v>5.2629999999999999</v>
      </c>
      <c r="I10" s="184">
        <v>5.375</v>
      </c>
      <c r="J10" s="184">
        <v>5.4889999999999999</v>
      </c>
      <c r="K10" s="184">
        <v>5.6710000000000003</v>
      </c>
      <c r="L10" s="30"/>
      <c r="M10" s="308" t="s">
        <v>224</v>
      </c>
    </row>
    <row r="11" spans="1:21">
      <c r="A11" s="30" t="s">
        <v>351</v>
      </c>
      <c r="B11" s="30">
        <f t="shared" ref="B11:K11" si="2">B10*25</f>
        <v>92.300000000000011</v>
      </c>
      <c r="C11" s="30">
        <f t="shared" si="2"/>
        <v>99.850000000000009</v>
      </c>
      <c r="D11" s="30">
        <f t="shared" si="2"/>
        <v>106.125</v>
      </c>
      <c r="E11" s="30">
        <f t="shared" si="2"/>
        <v>111.3</v>
      </c>
      <c r="F11" s="30">
        <f t="shared" si="2"/>
        <v>117.575</v>
      </c>
      <c r="G11" s="30">
        <f t="shared" si="2"/>
        <v>124.30000000000001</v>
      </c>
      <c r="H11" s="30">
        <f t="shared" si="2"/>
        <v>131.57499999999999</v>
      </c>
      <c r="I11" s="30">
        <f t="shared" si="2"/>
        <v>134.375</v>
      </c>
      <c r="J11" s="30">
        <f t="shared" si="2"/>
        <v>137.22499999999999</v>
      </c>
      <c r="K11" s="30">
        <f t="shared" si="2"/>
        <v>141.77500000000001</v>
      </c>
      <c r="L11" s="30"/>
      <c r="M11" s="308"/>
    </row>
    <row r="12" spans="1:21">
      <c r="A12" s="30" t="s">
        <v>352</v>
      </c>
      <c r="B12" s="39">
        <f>GES!V8</f>
        <v>96.575911073508252</v>
      </c>
      <c r="C12" s="39">
        <f>GES!W8</f>
        <v>104.12274095900803</v>
      </c>
      <c r="D12" s="39">
        <f>GES!X8</f>
        <v>110.41798475292423</v>
      </c>
      <c r="E12" s="39">
        <f>GES!Y8</f>
        <v>115.63199972171384</v>
      </c>
      <c r="F12" s="39">
        <f>GES!Z8</f>
        <v>122.06160936227595</v>
      </c>
      <c r="G12" s="39">
        <f>GES!AA8</f>
        <v>128.79145445004971</v>
      </c>
      <c r="H12" s="39">
        <f>GES!AB8</f>
        <v>136.12559295606434</v>
      </c>
      <c r="I12" s="39">
        <f>GES!AC8</f>
        <v>138.93625041635249</v>
      </c>
      <c r="J12" s="39">
        <f>GES!AD8</f>
        <v>141.77397426118941</v>
      </c>
      <c r="K12" s="39">
        <f>GES!AE8</f>
        <v>146.35235840731744</v>
      </c>
      <c r="L12" s="30"/>
      <c r="M12" s="308" t="s">
        <v>224</v>
      </c>
    </row>
    <row r="13" spans="1:21">
      <c r="A13" s="318" t="s">
        <v>410</v>
      </c>
      <c r="B13" s="319">
        <f t="shared" ref="B13:K13" si="3">B12/B11</f>
        <v>1.0463262304822127</v>
      </c>
      <c r="C13" s="319">
        <f t="shared" si="3"/>
        <v>1.0427915969855586</v>
      </c>
      <c r="D13" s="319">
        <f t="shared" si="3"/>
        <v>1.0404521531488737</v>
      </c>
      <c r="E13" s="319">
        <f t="shared" si="3"/>
        <v>1.0389218303837722</v>
      </c>
      <c r="F13" s="319">
        <f t="shared" si="3"/>
        <v>1.0381595523051323</v>
      </c>
      <c r="G13" s="319">
        <f t="shared" si="3"/>
        <v>1.0361339859215584</v>
      </c>
      <c r="H13" s="319">
        <f t="shared" si="3"/>
        <v>1.0345855440324101</v>
      </c>
      <c r="I13" s="319">
        <f t="shared" si="3"/>
        <v>1.0339441891449488</v>
      </c>
      <c r="J13" s="319">
        <f t="shared" si="3"/>
        <v>1.0331497486696259</v>
      </c>
      <c r="K13" s="319">
        <f t="shared" si="3"/>
        <v>1.0322860758759826</v>
      </c>
      <c r="L13" s="319">
        <f>AVERAGE(B13:K13)</f>
        <v>1.0376750906950076</v>
      </c>
      <c r="M13" s="308" t="s">
        <v>411</v>
      </c>
    </row>
    <row r="15" spans="1:21">
      <c r="A15" s="559" t="s">
        <v>150</v>
      </c>
      <c r="B15" s="559"/>
      <c r="C15" s="559"/>
      <c r="D15" s="559"/>
      <c r="E15" s="559"/>
      <c r="F15" s="559"/>
      <c r="G15" s="559"/>
      <c r="H15" s="559"/>
      <c r="I15" s="559"/>
      <c r="M15" s="559" t="s">
        <v>151</v>
      </c>
      <c r="N15" s="559"/>
      <c r="O15" s="559"/>
      <c r="P15" s="559"/>
      <c r="Q15" s="559"/>
      <c r="R15" s="559"/>
      <c r="S15" s="559"/>
      <c r="T15" s="559"/>
      <c r="U15" s="559"/>
    </row>
    <row r="17" spans="1:21">
      <c r="A17" s="35"/>
      <c r="B17" s="228">
        <v>2019</v>
      </c>
      <c r="C17" s="228">
        <v>2020</v>
      </c>
      <c r="D17" s="228">
        <v>2025</v>
      </c>
      <c r="E17" s="228">
        <v>2030</v>
      </c>
      <c r="F17" s="228">
        <v>2035</v>
      </c>
      <c r="G17" s="228">
        <v>2040</v>
      </c>
      <c r="H17" s="228">
        <v>2045</v>
      </c>
      <c r="I17" s="228">
        <v>2050</v>
      </c>
      <c r="J17" s="256" t="s">
        <v>394</v>
      </c>
      <c r="K17" t="s">
        <v>415</v>
      </c>
      <c r="M17" s="35"/>
      <c r="N17" s="228">
        <v>2015</v>
      </c>
      <c r="O17" s="228">
        <v>2017</v>
      </c>
      <c r="P17" s="228">
        <v>2025</v>
      </c>
      <c r="Q17" s="228">
        <v>2030</v>
      </c>
      <c r="R17" s="228">
        <v>2035</v>
      </c>
      <c r="S17" s="228">
        <v>2040</v>
      </c>
      <c r="T17" s="228">
        <v>2045</v>
      </c>
      <c r="U17" s="228">
        <v>2050</v>
      </c>
    </row>
    <row r="18" spans="1:21" s="391" customFormat="1">
      <c r="A18" s="30" t="s">
        <v>531</v>
      </c>
      <c r="B18" s="406">
        <f>K5</f>
        <v>0.5542763196807089</v>
      </c>
      <c r="C18" s="406">
        <f>$B$18*C19</f>
        <v>0.55159433748870546</v>
      </c>
      <c r="D18" s="406">
        <f t="shared" ref="D18:I18" si="4">$B$18*D19</f>
        <v>0.53818442652868825</v>
      </c>
      <c r="E18" s="406">
        <f t="shared" si="4"/>
        <v>0.52477451556867116</v>
      </c>
      <c r="F18" s="406">
        <f t="shared" si="4"/>
        <v>0.51136460460865407</v>
      </c>
      <c r="G18" s="406">
        <f t="shared" si="4"/>
        <v>0.49795469364863687</v>
      </c>
      <c r="H18" s="406">
        <f t="shared" si="4"/>
        <v>0.48454478268861967</v>
      </c>
      <c r="I18" s="406">
        <f t="shared" si="4"/>
        <v>0.47113487172860252</v>
      </c>
      <c r="J18" s="256"/>
      <c r="M18" s="185"/>
      <c r="N18" s="230"/>
      <c r="O18" s="230"/>
      <c r="P18" s="230"/>
      <c r="Q18" s="230"/>
      <c r="R18" s="230"/>
      <c r="S18" s="230"/>
      <c r="T18" s="230"/>
      <c r="U18" s="230"/>
    </row>
    <row r="19" spans="1:21">
      <c r="A19" s="30" t="s">
        <v>528</v>
      </c>
      <c r="B19" s="229">
        <v>1</v>
      </c>
      <c r="C19" s="158">
        <f>$B19+($I19-$B19)*1/31</f>
        <v>0.99516129032258061</v>
      </c>
      <c r="D19" s="158">
        <f>$B19+($I19-$B19)*6/31</f>
        <v>0.97096774193548385</v>
      </c>
      <c r="E19" s="158">
        <f>$B19+($I19-$B19)*11/31</f>
        <v>0.9467741935483871</v>
      </c>
      <c r="F19" s="158">
        <f>$B19+($I19-$B19)*16/31</f>
        <v>0.92258064516129035</v>
      </c>
      <c r="G19" s="158">
        <f>$B19+($I19-$B19)*21/31</f>
        <v>0.89838709677419359</v>
      </c>
      <c r="H19" s="158">
        <f>$B19+($I19-$B19)*26/31</f>
        <v>0.87419354838709673</v>
      </c>
      <c r="I19" s="408">
        <v>0.85</v>
      </c>
      <c r="J19" s="308" t="s">
        <v>353</v>
      </c>
      <c r="K19" t="s">
        <v>415</v>
      </c>
      <c r="M19" s="30" t="s">
        <v>347</v>
      </c>
      <c r="N19" s="30"/>
      <c r="O19" s="30"/>
      <c r="P19" s="30"/>
      <c r="Q19" s="30"/>
      <c r="R19" s="30"/>
      <c r="S19" s="30"/>
      <c r="T19" s="30"/>
      <c r="U19" s="30"/>
    </row>
    <row r="20" spans="1:21">
      <c r="A20" s="30" t="s">
        <v>529</v>
      </c>
      <c r="B20" s="229">
        <f>K6</f>
        <v>1</v>
      </c>
      <c r="C20" s="39">
        <f>'Cadrage macroéconomique '!$B$15/'Cadrage macroéconomique '!$K$5*1000000</f>
        <v>1</v>
      </c>
      <c r="D20" s="39">
        <f>'Cadrage macroéconomique '!$C$15/'Cadrage macroéconomique '!$K$5*1000000</f>
        <v>1.101187515428858</v>
      </c>
      <c r="E20" s="39">
        <f>'Cadrage macroéconomique '!$D$15/'Cadrage macroéconomique '!$K$5*1000000</f>
        <v>1.1515178311539496</v>
      </c>
      <c r="F20" s="39">
        <f>'Cadrage macroéconomique '!$E$15/'Cadrage macroéconomique '!$K$5*1000000</f>
        <v>1.1969477574270377</v>
      </c>
      <c r="G20" s="39">
        <f>'Cadrage macroéconomique '!$F$15/'Cadrage macroéconomique '!$K$5*1000000</f>
        <v>1.2375878293485432</v>
      </c>
      <c r="H20" s="39">
        <f>'Cadrage macroéconomique '!$G$15/'Cadrage macroéconomique '!$K$5*1000000</f>
        <v>1.2727011462489912</v>
      </c>
      <c r="I20" s="162">
        <f>'Cadrage macroéconomique '!$H$15/'Cadrage macroéconomique '!$K$5*1000000</f>
        <v>1.3013297372580663</v>
      </c>
      <c r="J20" s="308" t="s">
        <v>230</v>
      </c>
      <c r="K20" t="s">
        <v>415</v>
      </c>
      <c r="M20" s="30" t="s">
        <v>348</v>
      </c>
      <c r="N20" s="30"/>
      <c r="O20" s="30"/>
      <c r="P20" s="30"/>
      <c r="Q20" s="30"/>
      <c r="R20" s="30"/>
      <c r="S20" s="30"/>
      <c r="T20" s="30"/>
      <c r="U20" s="30"/>
    </row>
    <row r="21" spans="1:21">
      <c r="A21" s="30" t="s">
        <v>350</v>
      </c>
      <c r="B21" s="407">
        <f>K10</f>
        <v>5.6710000000000003</v>
      </c>
      <c r="C21" s="407">
        <f t="shared" ref="C21:H21" si="5">C20*C19*$B$21</f>
        <v>5.643559677419355</v>
      </c>
      <c r="D21" s="407">
        <f t="shared" si="5"/>
        <v>6.0635327561261709</v>
      </c>
      <c r="E21" s="407">
        <f t="shared" si="5"/>
        <v>6.1826793922875272</v>
      </c>
      <c r="F21" s="407">
        <f t="shared" si="5"/>
        <v>6.2623766111530879</v>
      </c>
      <c r="G21" s="407">
        <f t="shared" si="5"/>
        <v>6.3052045857922954</v>
      </c>
      <c r="H21" s="407">
        <f t="shared" si="5"/>
        <v>6.3094816203304704</v>
      </c>
      <c r="I21" s="407">
        <f>I20*I19*$B$21</f>
        <v>6.27286479899192</v>
      </c>
      <c r="J21" s="308" t="s">
        <v>412</v>
      </c>
      <c r="K21" t="s">
        <v>415</v>
      </c>
      <c r="M21" s="30" t="s">
        <v>350</v>
      </c>
      <c r="N21" s="30"/>
      <c r="O21" s="30"/>
      <c r="P21" s="30"/>
      <c r="Q21" s="30"/>
      <c r="R21" s="30"/>
      <c r="S21" s="30"/>
      <c r="T21" s="30"/>
      <c r="U21" s="30"/>
    </row>
    <row r="22" spans="1:21">
      <c r="A22" s="30" t="s">
        <v>351</v>
      </c>
      <c r="B22" s="39">
        <f>K11</f>
        <v>141.77500000000001</v>
      </c>
      <c r="C22" s="39">
        <f t="shared" ref="C22:I22" si="6">C21*25</f>
        <v>141.08899193548388</v>
      </c>
      <c r="D22" s="39">
        <f t="shared" si="6"/>
        <v>151.58831890315426</v>
      </c>
      <c r="E22" s="39">
        <f t="shared" si="6"/>
        <v>154.56698480718819</v>
      </c>
      <c r="F22" s="39">
        <f t="shared" si="6"/>
        <v>156.5594152788272</v>
      </c>
      <c r="G22" s="39">
        <f t="shared" si="6"/>
        <v>157.63011464480738</v>
      </c>
      <c r="H22" s="39">
        <f t="shared" si="6"/>
        <v>157.73704050826177</v>
      </c>
      <c r="I22" s="39">
        <f t="shared" si="6"/>
        <v>156.82161997479801</v>
      </c>
      <c r="J22" s="308"/>
      <c r="K22" t="s">
        <v>415</v>
      </c>
      <c r="M22" s="30" t="s">
        <v>351</v>
      </c>
      <c r="N22" s="30"/>
      <c r="O22" s="30"/>
      <c r="P22" s="30"/>
      <c r="Q22" s="30"/>
      <c r="R22" s="30"/>
      <c r="S22" s="30"/>
      <c r="T22" s="30"/>
      <c r="U22" s="30"/>
    </row>
    <row r="23" spans="1:21">
      <c r="A23" s="30" t="s">
        <v>352</v>
      </c>
      <c r="B23" s="158">
        <f>K12</f>
        <v>146.35235840731744</v>
      </c>
      <c r="C23" s="158">
        <f t="shared" ref="C23:I23" si="7">C22*$L13</f>
        <v>146.40453250272043</v>
      </c>
      <c r="D23" s="158">
        <f t="shared" si="7"/>
        <v>157.29942256613433</v>
      </c>
      <c r="E23" s="158">
        <f t="shared" si="7"/>
        <v>160.39030997825287</v>
      </c>
      <c r="F23" s="158">
        <f t="shared" si="7"/>
        <v>162.45780544861438</v>
      </c>
      <c r="G23" s="158">
        <f t="shared" si="7"/>
        <v>163.56884351031493</v>
      </c>
      <c r="H23" s="158">
        <f t="shared" si="7"/>
        <v>163.67979781537264</v>
      </c>
      <c r="I23" s="158">
        <f t="shared" si="7"/>
        <v>162.72988873028655</v>
      </c>
      <c r="J23" s="308" t="s">
        <v>409</v>
      </c>
      <c r="K23" t="s">
        <v>415</v>
      </c>
      <c r="M23" s="30" t="s">
        <v>355</v>
      </c>
      <c r="N23" s="30"/>
      <c r="O23" s="30"/>
      <c r="P23" s="30"/>
      <c r="Q23" s="30"/>
      <c r="R23" s="30"/>
      <c r="S23" s="30"/>
      <c r="T23" s="30"/>
      <c r="U23" s="30"/>
    </row>
    <row r="24" spans="1:21">
      <c r="A24" s="30" t="s">
        <v>356</v>
      </c>
      <c r="B24" s="320">
        <f>K9</f>
        <v>255.78397446542465</v>
      </c>
      <c r="C24" s="320">
        <f>C22/C18</f>
        <v>255.78397446542468</v>
      </c>
      <c r="D24" s="320">
        <f t="shared" ref="D24:I24" si="8">D22/D18</f>
        <v>281.6661193280994</v>
      </c>
      <c r="E24" s="320">
        <f t="shared" si="8"/>
        <v>294.53980752036307</v>
      </c>
      <c r="F24" s="320">
        <f t="shared" si="8"/>
        <v>306.16005462216475</v>
      </c>
      <c r="G24" s="320">
        <f t="shared" si="8"/>
        <v>316.55513374080812</v>
      </c>
      <c r="H24" s="320">
        <f t="shared" si="8"/>
        <v>325.53655749426872</v>
      </c>
      <c r="I24" s="320">
        <f t="shared" si="8"/>
        <v>332.85929228591505</v>
      </c>
      <c r="J24" s="308"/>
      <c r="K24" t="s">
        <v>415</v>
      </c>
      <c r="M24" s="35"/>
      <c r="N24" s="35"/>
      <c r="O24" s="35"/>
      <c r="P24" s="35"/>
      <c r="Q24" s="35"/>
      <c r="R24" s="35"/>
      <c r="S24" s="35"/>
      <c r="T24" s="35"/>
      <c r="U24" s="35"/>
    </row>
    <row r="25" spans="1:21">
      <c r="A25" s="602" t="s">
        <v>413</v>
      </c>
      <c r="B25" s="602"/>
      <c r="C25" s="602"/>
      <c r="D25" s="602"/>
      <c r="E25" s="602"/>
      <c r="F25" s="602"/>
      <c r="G25" s="602"/>
      <c r="H25" s="602"/>
      <c r="I25" s="602"/>
      <c r="J25" s="602"/>
      <c r="M25" s="559" t="s">
        <v>157</v>
      </c>
      <c r="N25" s="559"/>
      <c r="O25" s="559"/>
      <c r="P25" s="559"/>
      <c r="Q25" s="559"/>
      <c r="R25" s="559"/>
      <c r="S25" s="559"/>
      <c r="T25" s="559"/>
      <c r="U25" s="559"/>
    </row>
    <row r="26" spans="1:21">
      <c r="A26" s="317"/>
      <c r="B26" s="317"/>
      <c r="C26" s="317"/>
      <c r="D26" s="317"/>
      <c r="E26" s="317"/>
      <c r="F26" s="317"/>
      <c r="G26" s="317"/>
      <c r="H26" s="317"/>
      <c r="I26" s="317"/>
      <c r="J26" s="317"/>
      <c r="M26" s="282"/>
      <c r="N26" s="282"/>
      <c r="O26" s="282"/>
      <c r="P26" s="282"/>
      <c r="Q26" s="282"/>
      <c r="R26" s="282"/>
      <c r="S26" s="282"/>
      <c r="T26" s="282"/>
      <c r="U26" s="282"/>
    </row>
    <row r="27" spans="1:21">
      <c r="A27" s="559" t="s">
        <v>156</v>
      </c>
      <c r="B27" s="559"/>
      <c r="C27" s="559"/>
      <c r="D27" s="559"/>
      <c r="E27" s="559"/>
      <c r="F27" s="559"/>
      <c r="G27" s="559"/>
      <c r="H27" s="559"/>
      <c r="I27" s="559"/>
    </row>
    <row r="28" spans="1:21">
      <c r="M28" s="35"/>
      <c r="N28" s="228">
        <v>2015</v>
      </c>
      <c r="O28" s="228">
        <v>2020</v>
      </c>
      <c r="P28" s="228">
        <v>2025</v>
      </c>
      <c r="Q28" s="228">
        <v>2030</v>
      </c>
      <c r="R28" s="228">
        <v>2035</v>
      </c>
      <c r="S28" s="228">
        <v>2040</v>
      </c>
      <c r="T28" s="228">
        <v>2045</v>
      </c>
      <c r="U28" s="228">
        <v>2050</v>
      </c>
    </row>
    <row r="29" spans="1:21">
      <c r="A29" s="171"/>
      <c r="B29" s="230">
        <v>2019</v>
      </c>
      <c r="C29" s="230">
        <v>2020</v>
      </c>
      <c r="D29" s="230">
        <v>2025</v>
      </c>
      <c r="E29" s="230">
        <v>2030</v>
      </c>
      <c r="F29" s="230">
        <v>2035</v>
      </c>
      <c r="G29" s="230">
        <v>2040</v>
      </c>
      <c r="H29" s="230">
        <v>2045</v>
      </c>
      <c r="I29" s="230">
        <v>2050</v>
      </c>
      <c r="J29" s="256" t="s">
        <v>394</v>
      </c>
      <c r="K29" t="s">
        <v>415</v>
      </c>
      <c r="M29" s="30" t="s">
        <v>347</v>
      </c>
      <c r="N29" s="30">
        <v>1</v>
      </c>
      <c r="O29" s="30"/>
      <c r="P29" s="30"/>
      <c r="Q29" s="30"/>
      <c r="R29" s="30"/>
      <c r="S29" s="30"/>
      <c r="T29" s="30"/>
      <c r="U29" s="30">
        <v>0.5</v>
      </c>
    </row>
    <row r="30" spans="1:21" s="391" customFormat="1">
      <c r="A30" s="30" t="s">
        <v>531</v>
      </c>
      <c r="B30" s="406">
        <f>B18</f>
        <v>0.5542763196807089</v>
      </c>
      <c r="C30" s="406">
        <f>C31*$B$30</f>
        <v>0.54533637904069743</v>
      </c>
      <c r="D30" s="406">
        <f t="shared" ref="D30:I30" si="9">D31*$B$30</f>
        <v>0.50063667584064031</v>
      </c>
      <c r="E30" s="406">
        <f t="shared" si="9"/>
        <v>0.45593697264058308</v>
      </c>
      <c r="F30" s="406">
        <f t="shared" si="9"/>
        <v>0.41123726944052597</v>
      </c>
      <c r="G30" s="406">
        <f t="shared" si="9"/>
        <v>0.36653756624046885</v>
      </c>
      <c r="H30" s="406">
        <f t="shared" si="9"/>
        <v>0.32183786304041156</v>
      </c>
      <c r="I30" s="406">
        <f t="shared" si="9"/>
        <v>0.27713815984035445</v>
      </c>
      <c r="J30" s="256"/>
      <c r="M30" s="30"/>
      <c r="N30" s="30"/>
      <c r="O30" s="30"/>
      <c r="P30" s="30"/>
      <c r="Q30" s="30"/>
      <c r="R30" s="30"/>
      <c r="S30" s="30"/>
      <c r="T30" s="30"/>
      <c r="U30" s="30"/>
    </row>
    <row r="31" spans="1:21">
      <c r="A31" s="1" t="s">
        <v>528</v>
      </c>
      <c r="B31" s="158">
        <v>1</v>
      </c>
      <c r="C31" s="158">
        <f>$B31+($I31-$B31)*1/31</f>
        <v>0.9838709677419355</v>
      </c>
      <c r="D31" s="158">
        <f>$B31+($I31-$B31)*6/31</f>
        <v>0.90322580645161288</v>
      </c>
      <c r="E31" s="158">
        <f>$B31+($I31-$B31)*11/31</f>
        <v>0.82258064516129026</v>
      </c>
      <c r="F31" s="158">
        <f>$B31+($I31-$B31)*16/31</f>
        <v>0.74193548387096775</v>
      </c>
      <c r="G31" s="158">
        <f>$B31+($I31-$B31)*21/31</f>
        <v>0.66129032258064524</v>
      </c>
      <c r="H31" s="158">
        <f>$B31+($I31-$B31)*26/31</f>
        <v>0.58064516129032251</v>
      </c>
      <c r="I31" s="1">
        <v>0.5</v>
      </c>
      <c r="J31" s="308" t="s">
        <v>353</v>
      </c>
      <c r="K31" t="s">
        <v>415</v>
      </c>
      <c r="M31" s="30" t="s">
        <v>348</v>
      </c>
      <c r="N31" s="30"/>
      <c r="O31" s="30"/>
      <c r="P31" s="30"/>
      <c r="Q31" s="30"/>
      <c r="R31" s="30"/>
      <c r="S31" s="30"/>
      <c r="T31" s="30"/>
      <c r="U31" s="30"/>
    </row>
    <row r="32" spans="1:21">
      <c r="A32" s="1" t="s">
        <v>529</v>
      </c>
      <c r="B32" s="158">
        <f>B20</f>
        <v>1</v>
      </c>
      <c r="C32" s="174">
        <f t="shared" ref="C32:I32" si="10">C20</f>
        <v>1</v>
      </c>
      <c r="D32" s="174">
        <f t="shared" si="10"/>
        <v>1.101187515428858</v>
      </c>
      <c r="E32" s="174">
        <f t="shared" si="10"/>
        <v>1.1515178311539496</v>
      </c>
      <c r="F32" s="174">
        <f t="shared" si="10"/>
        <v>1.1969477574270377</v>
      </c>
      <c r="G32" s="174">
        <f t="shared" si="10"/>
        <v>1.2375878293485432</v>
      </c>
      <c r="H32" s="174">
        <f t="shared" si="10"/>
        <v>1.2727011462489912</v>
      </c>
      <c r="I32" s="174">
        <f t="shared" si="10"/>
        <v>1.3013297372580663</v>
      </c>
      <c r="J32" s="308" t="s">
        <v>230</v>
      </c>
      <c r="K32" t="s">
        <v>415</v>
      </c>
      <c r="M32" s="30" t="s">
        <v>350</v>
      </c>
      <c r="N32" s="30">
        <v>16.3</v>
      </c>
      <c r="O32" s="30"/>
      <c r="P32" s="30"/>
      <c r="Q32" s="30"/>
      <c r="R32" s="30"/>
      <c r="S32" s="30"/>
      <c r="T32" s="30"/>
      <c r="U32" s="30">
        <v>8.15</v>
      </c>
    </row>
    <row r="33" spans="1:21">
      <c r="A33" s="1" t="s">
        <v>357</v>
      </c>
      <c r="B33" s="1">
        <v>1</v>
      </c>
      <c r="C33" s="158">
        <f>$B33+($I33-$B33)*1/31</f>
        <v>0.99354838709677418</v>
      </c>
      <c r="D33" s="158">
        <f>$B33+($I33-$B33)*6/31</f>
        <v>0.96129032258064517</v>
      </c>
      <c r="E33" s="158">
        <f>$B33+($I33-$B33)*11/31</f>
        <v>0.92903225806451617</v>
      </c>
      <c r="F33" s="158">
        <f>$B33+($I33-$B33)*16/31</f>
        <v>0.89677419354838717</v>
      </c>
      <c r="G33" s="158">
        <f>$B33+($I33-$B33)*21/31</f>
        <v>0.86451612903225805</v>
      </c>
      <c r="H33" s="158">
        <f>$B33+($I33-$B33)*26/31</f>
        <v>0.83225806451612905</v>
      </c>
      <c r="I33" s="158">
        <v>0.8</v>
      </c>
      <c r="J33" s="308"/>
      <c r="K33" t="s">
        <v>415</v>
      </c>
      <c r="M33" s="30" t="s">
        <v>351</v>
      </c>
      <c r="N33" s="30">
        <v>407.5</v>
      </c>
      <c r="O33" s="30"/>
      <c r="P33" s="30"/>
      <c r="Q33" s="30"/>
      <c r="R33" s="30"/>
      <c r="S33" s="30"/>
      <c r="T33" s="30"/>
      <c r="U33" s="30">
        <v>203.75</v>
      </c>
    </row>
    <row r="34" spans="1:21">
      <c r="A34" s="1" t="s">
        <v>350</v>
      </c>
      <c r="B34" s="158">
        <f>K10</f>
        <v>5.6710000000000003</v>
      </c>
      <c r="C34" s="158">
        <f>$B34+($I34-$B34)*1/31</f>
        <v>5.5832882701934263</v>
      </c>
      <c r="D34" s="158">
        <f>$B34+($I34-$B34)*6/31</f>
        <v>5.1447296211605549</v>
      </c>
      <c r="E34" s="158">
        <f>$B34+($I34-$B34)*11/31</f>
        <v>4.7061709721276834</v>
      </c>
      <c r="F34" s="158">
        <f>$B34+($I34-$B34)*16/31</f>
        <v>4.267612323094812</v>
      </c>
      <c r="G34" s="158">
        <f>$B34+($I34-$B34)*21/31</f>
        <v>3.8290536740619405</v>
      </c>
      <c r="H34" s="158">
        <f>$B34+($I34-$B34)*26/31</f>
        <v>3.3904950250290695</v>
      </c>
      <c r="I34" s="158">
        <f>I33*I32*I31*B34</f>
        <v>2.9519363759961981</v>
      </c>
      <c r="J34" s="308" t="s">
        <v>354</v>
      </c>
      <c r="K34" t="s">
        <v>415</v>
      </c>
      <c r="M34" s="30" t="s">
        <v>355</v>
      </c>
      <c r="N34" s="30">
        <f>SUM(N32:N33)</f>
        <v>423.8</v>
      </c>
      <c r="O34" s="30"/>
      <c r="P34" s="30"/>
      <c r="Q34" s="30"/>
      <c r="R34" s="30"/>
      <c r="S34" s="30"/>
      <c r="T34" s="30"/>
      <c r="U34" s="30">
        <f>SUM(U32:U33)</f>
        <v>211.9</v>
      </c>
    </row>
    <row r="35" spans="1:21">
      <c r="A35" s="1" t="s">
        <v>351</v>
      </c>
      <c r="B35" s="158">
        <f>K11</f>
        <v>141.77500000000001</v>
      </c>
      <c r="C35" s="158">
        <f t="shared" ref="C35:I35" si="11">C34*25</f>
        <v>139.58220675483565</v>
      </c>
      <c r="D35" s="158">
        <f t="shared" si="11"/>
        <v>128.61824052901386</v>
      </c>
      <c r="E35" s="158">
        <f t="shared" si="11"/>
        <v>117.65427430319208</v>
      </c>
      <c r="F35" s="158">
        <f t="shared" si="11"/>
        <v>106.6903080773703</v>
      </c>
      <c r="G35" s="158">
        <f t="shared" si="11"/>
        <v>95.726341851548511</v>
      </c>
      <c r="H35" s="158">
        <f t="shared" si="11"/>
        <v>84.762375625726733</v>
      </c>
      <c r="I35" s="158">
        <f t="shared" si="11"/>
        <v>73.798409399904955</v>
      </c>
      <c r="J35" s="308"/>
      <c r="K35" t="s">
        <v>415</v>
      </c>
    </row>
    <row r="36" spans="1:21">
      <c r="A36" s="1" t="s">
        <v>352</v>
      </c>
      <c r="B36" s="158">
        <f>K12</f>
        <v>146.35235840731744</v>
      </c>
      <c r="C36" s="158">
        <f t="shared" ref="C36:I36" si="12">C35*$L13</f>
        <v>144.84097905373341</v>
      </c>
      <c r="D36" s="158">
        <f t="shared" si="12"/>
        <v>133.46394440597678</v>
      </c>
      <c r="E36" s="158">
        <f t="shared" si="12"/>
        <v>122.08690975822014</v>
      </c>
      <c r="F36" s="158">
        <f t="shared" si="12"/>
        <v>110.70987511046353</v>
      </c>
      <c r="G36" s="158">
        <f t="shared" si="12"/>
        <v>99.332840462706912</v>
      </c>
      <c r="H36" s="158">
        <f t="shared" si="12"/>
        <v>87.955805814950295</v>
      </c>
      <c r="I36" s="158">
        <f t="shared" si="12"/>
        <v>76.578771167193679</v>
      </c>
      <c r="J36" s="308" t="s">
        <v>409</v>
      </c>
      <c r="K36" t="s">
        <v>415</v>
      </c>
    </row>
    <row r="37" spans="1:21">
      <c r="A37" s="30" t="s">
        <v>349</v>
      </c>
      <c r="B37" s="158">
        <f>K9</f>
        <v>255.78397446542465</v>
      </c>
      <c r="C37" s="158">
        <f>C35/C30</f>
        <v>255.95616232383958</v>
      </c>
      <c r="D37" s="174">
        <f t="shared" ref="D37:I37" si="13">D35/D30</f>
        <v>256.90934511149328</v>
      </c>
      <c r="E37" s="174">
        <f t="shared" si="13"/>
        <v>258.0494264849616</v>
      </c>
      <c r="F37" s="174">
        <f t="shared" si="13"/>
        <v>259.43735163527072</v>
      </c>
      <c r="G37" s="174">
        <f t="shared" si="13"/>
        <v>261.16379511492352</v>
      </c>
      <c r="H37" s="174">
        <f t="shared" si="13"/>
        <v>263.3698062278134</v>
      </c>
      <c r="I37" s="174">
        <f t="shared" si="13"/>
        <v>266.28743382873205</v>
      </c>
      <c r="J37" s="308"/>
      <c r="K37" t="s">
        <v>415</v>
      </c>
    </row>
    <row r="38" spans="1:21">
      <c r="A38" s="584" t="s">
        <v>414</v>
      </c>
      <c r="B38" s="584"/>
      <c r="C38" s="584"/>
      <c r="D38" s="584"/>
      <c r="E38" s="584"/>
      <c r="F38" s="584"/>
      <c r="G38" s="584"/>
      <c r="H38" s="584"/>
      <c r="I38" s="584"/>
      <c r="J38" s="584"/>
    </row>
  </sheetData>
  <mergeCells count="7">
    <mergeCell ref="A38:J38"/>
    <mergeCell ref="A2:I2"/>
    <mergeCell ref="A15:I15"/>
    <mergeCell ref="M15:U15"/>
    <mergeCell ref="M25:U25"/>
    <mergeCell ref="A27:I27"/>
    <mergeCell ref="A25:J25"/>
  </mergeCells>
  <pageMargins left="0.7" right="0.7" top="0.75" bottom="0.75" header="0.51180555555555496" footer="0.51180555555555496"/>
  <pageSetup paperSize="9" firstPageNumber="0"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P24" sqref="P24"/>
    </sheetView>
  </sheetViews>
  <sheetFormatPr baseColWidth="10" defaultColWidth="8.88671875" defaultRowHeight="14.4"/>
  <cols>
    <col min="1" max="1" width="17.5546875" customWidth="1"/>
    <col min="2" max="1025" width="10.44140625" customWidth="1"/>
  </cols>
  <sheetData>
    <row r="2" spans="1:35">
      <c r="A2" s="589" t="s">
        <v>84</v>
      </c>
      <c r="B2" s="589"/>
      <c r="C2" s="589"/>
      <c r="D2" s="589"/>
      <c r="E2" s="589"/>
      <c r="F2" s="589"/>
      <c r="G2" s="589"/>
      <c r="H2" s="589"/>
      <c r="I2" s="589"/>
      <c r="J2" s="589"/>
      <c r="K2" s="589"/>
    </row>
    <row r="4" spans="1:35" ht="18">
      <c r="A4" s="46" t="s">
        <v>85</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57.6">
      <c r="A5" s="48" t="s">
        <v>86</v>
      </c>
      <c r="B5" s="49">
        <v>1990</v>
      </c>
      <c r="C5" s="49">
        <v>1991</v>
      </c>
      <c r="D5" s="49">
        <v>1992</v>
      </c>
      <c r="E5" s="49">
        <v>1993</v>
      </c>
      <c r="F5" s="49">
        <v>1994</v>
      </c>
      <c r="G5" s="49">
        <v>1995</v>
      </c>
      <c r="H5" s="49">
        <v>1996</v>
      </c>
      <c r="I5" s="49">
        <v>1997</v>
      </c>
      <c r="J5" s="49">
        <v>1998</v>
      </c>
      <c r="K5" s="49">
        <v>1999</v>
      </c>
      <c r="L5" s="49">
        <v>2000</v>
      </c>
      <c r="M5" s="49">
        <v>2001</v>
      </c>
      <c r="N5" s="49">
        <v>2002</v>
      </c>
      <c r="O5" s="49">
        <v>2003</v>
      </c>
      <c r="P5" s="49">
        <v>2004</v>
      </c>
      <c r="Q5" s="49">
        <v>2005</v>
      </c>
      <c r="R5" s="49">
        <v>2006</v>
      </c>
      <c r="S5" s="49">
        <v>2007</v>
      </c>
      <c r="T5" s="49">
        <v>2008</v>
      </c>
      <c r="U5" s="49">
        <v>2009</v>
      </c>
      <c r="V5" s="49">
        <v>2010</v>
      </c>
      <c r="W5" s="49">
        <v>2011</v>
      </c>
      <c r="X5" s="49">
        <v>2012</v>
      </c>
      <c r="Y5" s="49">
        <v>2013</v>
      </c>
      <c r="Z5" s="49">
        <v>2014</v>
      </c>
      <c r="AA5" s="49">
        <v>2015</v>
      </c>
      <c r="AB5" s="49">
        <v>2016</v>
      </c>
      <c r="AC5" s="49">
        <v>2017</v>
      </c>
      <c r="AD5" s="49">
        <v>2018</v>
      </c>
      <c r="AE5" s="49">
        <v>2019</v>
      </c>
      <c r="AF5" s="50"/>
      <c r="AG5" s="51" t="s">
        <v>87</v>
      </c>
      <c r="AH5" s="52" t="s">
        <v>88</v>
      </c>
      <c r="AI5" s="52" t="s">
        <v>89</v>
      </c>
    </row>
    <row r="6" spans="1:35">
      <c r="A6" s="53" t="s">
        <v>90</v>
      </c>
      <c r="B6" s="368">
        <v>20.186781392588678</v>
      </c>
      <c r="C6" s="368">
        <v>14.206093090189556</v>
      </c>
      <c r="D6" s="368">
        <v>14.334307813594465</v>
      </c>
      <c r="E6" s="368">
        <v>42.91652766809046</v>
      </c>
      <c r="F6" s="368">
        <v>120.33935250869568</v>
      </c>
      <c r="G6" s="368">
        <v>136.52559460813092</v>
      </c>
      <c r="H6" s="368">
        <v>130.99943348745006</v>
      </c>
      <c r="I6" s="368">
        <v>142.07732530350745</v>
      </c>
      <c r="J6" s="368">
        <v>145.39031058809582</v>
      </c>
      <c r="K6" s="368">
        <v>157.78428561567677</v>
      </c>
      <c r="L6" s="368">
        <v>251.60120385939155</v>
      </c>
      <c r="M6" s="368">
        <v>277.78162680595415</v>
      </c>
      <c r="N6" s="368">
        <v>290.78414180484168</v>
      </c>
      <c r="O6" s="368">
        <v>280.37237015618359</v>
      </c>
      <c r="P6" s="368">
        <v>289.27957328349333</v>
      </c>
      <c r="Q6" s="368">
        <v>307.12997123912868</v>
      </c>
      <c r="R6" s="368">
        <v>316.65701738726392</v>
      </c>
      <c r="S6" s="368">
        <v>316.62750368410781</v>
      </c>
      <c r="T6" s="368">
        <v>261.80443325909403</v>
      </c>
      <c r="U6" s="368">
        <v>254.26184458880996</v>
      </c>
      <c r="V6" s="368">
        <v>178.98015944914999</v>
      </c>
      <c r="W6" s="368">
        <v>177.67920890008696</v>
      </c>
      <c r="X6" s="368">
        <v>182.68846661230492</v>
      </c>
      <c r="Y6" s="368">
        <v>183.70965540274295</v>
      </c>
      <c r="Z6" s="368">
        <v>244.80094322698744</v>
      </c>
      <c r="AA6" s="368">
        <v>205.50251473240206</v>
      </c>
      <c r="AB6" s="368">
        <v>252.71296181808589</v>
      </c>
      <c r="AC6" s="368">
        <v>241.5295404734035</v>
      </c>
      <c r="AD6" s="368">
        <v>257.15614478415534</v>
      </c>
      <c r="AE6" s="368">
        <v>226.27268701879376</v>
      </c>
      <c r="AF6" s="54"/>
      <c r="AG6" s="55" t="s">
        <v>90</v>
      </c>
      <c r="AH6" s="369">
        <v>10.208953156934019</v>
      </c>
      <c r="AI6" s="369">
        <v>-0.1200961298874802</v>
      </c>
    </row>
    <row r="7" spans="1:35">
      <c r="A7" s="53" t="s">
        <v>91</v>
      </c>
      <c r="B7" s="368">
        <v>1123.0222891456058</v>
      </c>
      <c r="C7" s="368">
        <v>1270.5816299905164</v>
      </c>
      <c r="D7" s="368">
        <v>1311.7330715093515</v>
      </c>
      <c r="E7" s="368">
        <v>1432.2610807405997</v>
      </c>
      <c r="F7" s="368">
        <v>1380.9844119701481</v>
      </c>
      <c r="G7" s="368">
        <v>1576.5849861615632</v>
      </c>
      <c r="H7" s="368">
        <v>1515.1582033204581</v>
      </c>
      <c r="I7" s="368">
        <v>1562.7378834336982</v>
      </c>
      <c r="J7" s="368">
        <v>1607.3148348168663</v>
      </c>
      <c r="K7" s="368">
        <v>1566.31964452122</v>
      </c>
      <c r="L7" s="368">
        <v>1492.9563045122354</v>
      </c>
      <c r="M7" s="368">
        <v>1626.5814786651417</v>
      </c>
      <c r="N7" s="368">
        <v>1774.351567711547</v>
      </c>
      <c r="O7" s="368">
        <v>1773.4210516012367</v>
      </c>
      <c r="P7" s="368">
        <v>1707.2065964283265</v>
      </c>
      <c r="Q7" s="368">
        <v>1998.7121024159258</v>
      </c>
      <c r="R7" s="368">
        <v>1993.0833099466513</v>
      </c>
      <c r="S7" s="368">
        <v>2083.4573642511955</v>
      </c>
      <c r="T7" s="368">
        <v>2006.5474712569951</v>
      </c>
      <c r="U7" s="368">
        <v>2097.8352243175004</v>
      </c>
      <c r="V7" s="368">
        <v>2679.7087498478104</v>
      </c>
      <c r="W7" s="368">
        <v>2883.0373198295515</v>
      </c>
      <c r="X7" s="368">
        <v>2881.0831328965837</v>
      </c>
      <c r="Y7" s="368">
        <v>3115.9481205517441</v>
      </c>
      <c r="Z7" s="368">
        <v>3918.4125338396752</v>
      </c>
      <c r="AA7" s="368">
        <v>3885.3856175311644</v>
      </c>
      <c r="AB7" s="368">
        <v>4294.4374098551452</v>
      </c>
      <c r="AC7" s="368">
        <v>4383.5926336430703</v>
      </c>
      <c r="AD7" s="368">
        <v>4697.4938515903486</v>
      </c>
      <c r="AE7" s="368">
        <v>4208.1886098152936</v>
      </c>
      <c r="AF7" s="54"/>
      <c r="AG7" s="56" t="s">
        <v>91</v>
      </c>
      <c r="AH7" s="369">
        <v>2.7471995440240806</v>
      </c>
      <c r="AI7" s="369">
        <v>-0.10416304038575792</v>
      </c>
    </row>
    <row r="8" spans="1:35">
      <c r="A8" s="53" t="s">
        <v>92</v>
      </c>
      <c r="B8" s="368">
        <v>39.04672563328905</v>
      </c>
      <c r="C8" s="368">
        <v>40.81400296939605</v>
      </c>
      <c r="D8" s="368">
        <v>41.369791687597157</v>
      </c>
      <c r="E8" s="368">
        <v>41.886437070442959</v>
      </c>
      <c r="F8" s="368">
        <v>54.22615033587617</v>
      </c>
      <c r="G8" s="368">
        <v>57.36781013831574</v>
      </c>
      <c r="H8" s="368">
        <v>59.770444018686156</v>
      </c>
      <c r="I8" s="368">
        <v>62.233394125561091</v>
      </c>
      <c r="J8" s="368">
        <v>64.428989167996917</v>
      </c>
      <c r="K8" s="368">
        <v>66.440567784675409</v>
      </c>
      <c r="L8" s="368">
        <v>68.28036422801847</v>
      </c>
      <c r="M8" s="368">
        <v>70.253471421121191</v>
      </c>
      <c r="N8" s="368">
        <v>71.989969589360143</v>
      </c>
      <c r="O8" s="368">
        <v>73.694549660278582</v>
      </c>
      <c r="P8" s="368">
        <v>77.619704787156294</v>
      </c>
      <c r="Q8" s="368">
        <v>78.677336002179729</v>
      </c>
      <c r="R8" s="368">
        <v>79.952004954598877</v>
      </c>
      <c r="S8" s="368">
        <v>80.574713684843317</v>
      </c>
      <c r="T8" s="368">
        <v>80.995204668253621</v>
      </c>
      <c r="U8" s="368">
        <v>86.792446544718075</v>
      </c>
      <c r="V8" s="368">
        <v>96.575911073508252</v>
      </c>
      <c r="W8" s="368">
        <v>104.12274095900803</v>
      </c>
      <c r="X8" s="368">
        <v>110.41798475292423</v>
      </c>
      <c r="Y8" s="368">
        <v>115.63199972171384</v>
      </c>
      <c r="Z8" s="368">
        <v>122.06160936227595</v>
      </c>
      <c r="AA8" s="368">
        <v>128.79145445004971</v>
      </c>
      <c r="AB8" s="368">
        <v>136.12559295606434</v>
      </c>
      <c r="AC8" s="368">
        <v>138.93625041635249</v>
      </c>
      <c r="AD8" s="368">
        <v>141.77397426118941</v>
      </c>
      <c r="AE8" s="368">
        <v>146.35235840731744</v>
      </c>
      <c r="AF8" s="54"/>
      <c r="AG8" s="370" t="s">
        <v>92</v>
      </c>
      <c r="AH8" s="369">
        <v>2.7481339608805926</v>
      </c>
      <c r="AI8" s="369">
        <v>3.2293544495644165E-2</v>
      </c>
    </row>
    <row r="9" spans="1:35">
      <c r="A9" s="53" t="s">
        <v>93</v>
      </c>
      <c r="B9" s="368">
        <v>47.338440106623693</v>
      </c>
      <c r="C9" s="368">
        <v>47.656704584548791</v>
      </c>
      <c r="D9" s="368">
        <v>48.433667885958315</v>
      </c>
      <c r="E9" s="368">
        <v>50.476556130857901</v>
      </c>
      <c r="F9" s="368">
        <v>51.18916837969519</v>
      </c>
      <c r="G9" s="368">
        <v>54.761855290661288</v>
      </c>
      <c r="H9" s="368">
        <v>57.544126114602918</v>
      </c>
      <c r="I9" s="368">
        <v>60.87579131804722</v>
      </c>
      <c r="J9" s="368">
        <v>60.785849194082864</v>
      </c>
      <c r="K9" s="368">
        <v>61.344113264246815</v>
      </c>
      <c r="L9" s="368">
        <v>63.552958564005841</v>
      </c>
      <c r="M9" s="368">
        <v>63.361150243004722</v>
      </c>
      <c r="N9" s="368">
        <v>56.285819727555214</v>
      </c>
      <c r="O9" s="368">
        <v>57.914068559374655</v>
      </c>
      <c r="P9" s="368">
        <v>61.043656250649214</v>
      </c>
      <c r="Q9" s="368">
        <v>58.225790365880613</v>
      </c>
      <c r="R9" s="368">
        <v>59.686823101917327</v>
      </c>
      <c r="S9" s="368">
        <v>61.508685891533922</v>
      </c>
      <c r="T9" s="368">
        <v>61.774617362412783</v>
      </c>
      <c r="U9" s="368">
        <v>59.042135078315148</v>
      </c>
      <c r="V9" s="368">
        <v>60.679488330036513</v>
      </c>
      <c r="W9" s="368">
        <v>61.054698792557147</v>
      </c>
      <c r="X9" s="368">
        <v>61.582422553424536</v>
      </c>
      <c r="Y9" s="368">
        <v>60.325708415202982</v>
      </c>
      <c r="Z9" s="368">
        <v>64.834723301013398</v>
      </c>
      <c r="AA9" s="368">
        <v>66.653826302006081</v>
      </c>
      <c r="AB9" s="368">
        <v>60.19251392173129</v>
      </c>
      <c r="AC9" s="368">
        <v>59.341595588740738</v>
      </c>
      <c r="AD9" s="368">
        <v>54.437019652144734</v>
      </c>
      <c r="AE9" s="368">
        <v>52.677164537660303</v>
      </c>
      <c r="AF9" s="54"/>
      <c r="AG9" s="57" t="s">
        <v>94</v>
      </c>
      <c r="AH9" s="369">
        <v>0.11277778522088658</v>
      </c>
      <c r="AI9" s="369">
        <v>-3.2328278177791374E-2</v>
      </c>
    </row>
    <row r="10" spans="1:35">
      <c r="A10" s="53" t="s">
        <v>4</v>
      </c>
      <c r="B10" s="368">
        <v>328.09257450079235</v>
      </c>
      <c r="C10" s="368">
        <v>330.32983359844161</v>
      </c>
      <c r="D10" s="368">
        <v>318.13274843882039</v>
      </c>
      <c r="E10" s="368">
        <v>303.21144423439387</v>
      </c>
      <c r="F10" s="368">
        <v>287.47913550256044</v>
      </c>
      <c r="G10" s="368">
        <v>302.97756467792152</v>
      </c>
      <c r="H10" s="368">
        <v>303.6099221295807</v>
      </c>
      <c r="I10" s="368">
        <v>304.59570997024434</v>
      </c>
      <c r="J10" s="368">
        <v>304.65479917147849</v>
      </c>
      <c r="K10" s="368">
        <v>312.21094834264022</v>
      </c>
      <c r="L10" s="368">
        <v>294.76767503983496</v>
      </c>
      <c r="M10" s="368">
        <v>298.69993448828075</v>
      </c>
      <c r="N10" s="368">
        <v>295.68112030898737</v>
      </c>
      <c r="O10" s="368">
        <v>290.40410539715117</v>
      </c>
      <c r="P10" s="368">
        <v>300.33794695099584</v>
      </c>
      <c r="Q10" s="368">
        <v>272.71850711120101</v>
      </c>
      <c r="R10" s="368">
        <v>241.80156162326131</v>
      </c>
      <c r="S10" s="368">
        <v>250.1658485387284</v>
      </c>
      <c r="T10" s="368">
        <v>255.50529094989253</v>
      </c>
      <c r="U10" s="368">
        <v>252.18542335971307</v>
      </c>
      <c r="V10" s="368">
        <v>248.24068311407527</v>
      </c>
      <c r="W10" s="368">
        <v>244.53514023562326</v>
      </c>
      <c r="X10" s="368">
        <v>237.56035611345112</v>
      </c>
      <c r="Y10" s="368">
        <v>232.0200671144182</v>
      </c>
      <c r="Z10" s="368">
        <v>231.39915968206245</v>
      </c>
      <c r="AA10" s="368">
        <v>227.68816671888348</v>
      </c>
      <c r="AB10" s="368">
        <v>213.74360148734803</v>
      </c>
      <c r="AC10" s="368">
        <v>210.28551958716528</v>
      </c>
      <c r="AD10" s="368">
        <v>206.49761780133781</v>
      </c>
      <c r="AE10" s="368">
        <v>225.99375684721821</v>
      </c>
      <c r="AF10" s="54"/>
      <c r="AG10" s="58" t="s">
        <v>4</v>
      </c>
      <c r="AH10" s="369">
        <v>-0.3111890532997344</v>
      </c>
      <c r="AI10" s="369">
        <v>9.4413384781207338E-2</v>
      </c>
    </row>
    <row r="11" spans="1:35">
      <c r="A11" s="53" t="s">
        <v>95</v>
      </c>
      <c r="B11" s="368">
        <v>418.72853681815809</v>
      </c>
      <c r="C11" s="368">
        <v>437.9022634747667</v>
      </c>
      <c r="D11" s="368">
        <v>460.24320398589663</v>
      </c>
      <c r="E11" s="368">
        <v>499.11674262164911</v>
      </c>
      <c r="F11" s="368">
        <v>482.6892988523428</v>
      </c>
      <c r="G11" s="368">
        <v>506.66075176452017</v>
      </c>
      <c r="H11" s="368">
        <v>561.18433362532369</v>
      </c>
      <c r="I11" s="368">
        <v>537.50022306339895</v>
      </c>
      <c r="J11" s="368">
        <v>573.85439510372362</v>
      </c>
      <c r="K11" s="368">
        <v>548.72757065803239</v>
      </c>
      <c r="L11" s="368">
        <v>576.99429611637254</v>
      </c>
      <c r="M11" s="368">
        <v>551.30911294272187</v>
      </c>
      <c r="N11" s="368">
        <v>581.16150960059713</v>
      </c>
      <c r="O11" s="368">
        <v>587.83060112845976</v>
      </c>
      <c r="P11" s="368">
        <v>600.13682309852811</v>
      </c>
      <c r="Q11" s="368">
        <v>559.9390950019864</v>
      </c>
      <c r="R11" s="368">
        <v>554.94017554529512</v>
      </c>
      <c r="S11" s="368">
        <v>575.48338801057639</v>
      </c>
      <c r="T11" s="368">
        <v>603.2934173180214</v>
      </c>
      <c r="U11" s="368">
        <v>656.57438173386299</v>
      </c>
      <c r="V11" s="368">
        <v>679.00730415358976</v>
      </c>
      <c r="W11" s="368">
        <v>685.63885373620781</v>
      </c>
      <c r="X11" s="368">
        <v>688.26391669221994</v>
      </c>
      <c r="Y11" s="368">
        <v>683.56498458073906</v>
      </c>
      <c r="Z11" s="368">
        <v>693.81437933439599</v>
      </c>
      <c r="AA11" s="368">
        <v>716.97481846126129</v>
      </c>
      <c r="AB11" s="368">
        <v>718.61398655625453</v>
      </c>
      <c r="AC11" s="368">
        <v>720.7065416284878</v>
      </c>
      <c r="AD11" s="368">
        <v>727.35057716844472</v>
      </c>
      <c r="AE11" s="368">
        <v>715.22761603255924</v>
      </c>
      <c r="AF11" s="54"/>
      <c r="AG11" s="59" t="s">
        <v>95</v>
      </c>
      <c r="AH11" s="369">
        <v>0.70809379620372581</v>
      </c>
      <c r="AI11" s="369">
        <v>-1.6667287435283024E-2</v>
      </c>
    </row>
    <row r="12" spans="1:35">
      <c r="A12" s="60" t="s">
        <v>96</v>
      </c>
      <c r="B12" s="371">
        <v>42.408656428620503</v>
      </c>
      <c r="C12" s="371">
        <v>45.026229557114846</v>
      </c>
      <c r="D12" s="371">
        <v>47.676636225395924</v>
      </c>
      <c r="E12" s="371">
        <v>49.7607628229174</v>
      </c>
      <c r="F12" s="371">
        <v>45.823558045730096</v>
      </c>
      <c r="G12" s="371">
        <v>51.881007690116789</v>
      </c>
      <c r="H12" s="371">
        <v>53.344794348833879</v>
      </c>
      <c r="I12" s="371">
        <v>64.686082048640117</v>
      </c>
      <c r="J12" s="371">
        <v>58.127465800719506</v>
      </c>
      <c r="K12" s="371">
        <v>57.499905012098985</v>
      </c>
      <c r="L12" s="371">
        <v>61.592287032050265</v>
      </c>
      <c r="M12" s="371">
        <v>62.12647088981673</v>
      </c>
      <c r="N12" s="371">
        <v>55.99461145253381</v>
      </c>
      <c r="O12" s="371">
        <v>43.707959371300632</v>
      </c>
      <c r="P12" s="371">
        <v>41.60932350932368</v>
      </c>
      <c r="Q12" s="371">
        <v>45.360881197799714</v>
      </c>
      <c r="R12" s="371">
        <v>46.444748042452503</v>
      </c>
      <c r="S12" s="371">
        <v>90.309872814408592</v>
      </c>
      <c r="T12" s="371">
        <v>46.434191981993202</v>
      </c>
      <c r="U12" s="371">
        <v>52.724087495238209</v>
      </c>
      <c r="V12" s="371">
        <v>57.800376266501175</v>
      </c>
      <c r="W12" s="371">
        <v>52.563444903684044</v>
      </c>
      <c r="X12" s="371">
        <v>54.219914072530884</v>
      </c>
      <c r="Y12" s="371">
        <v>55.479858622886894</v>
      </c>
      <c r="Z12" s="371">
        <v>53.441368629703092</v>
      </c>
      <c r="AA12" s="371">
        <v>51.944644587050703</v>
      </c>
      <c r="AB12" s="371">
        <v>53.564392823943557</v>
      </c>
      <c r="AC12" s="371">
        <v>50.557456394774782</v>
      </c>
      <c r="AD12" s="371">
        <v>54.098819039909415</v>
      </c>
      <c r="AE12" s="371">
        <v>45.626311889477947</v>
      </c>
      <c r="AF12" s="61"/>
      <c r="AG12" s="372" t="s">
        <v>96</v>
      </c>
      <c r="AH12" s="373">
        <v>7.5872610259964071E-2</v>
      </c>
      <c r="AI12" s="373">
        <v>-0.15661168396635772</v>
      </c>
    </row>
    <row r="13" spans="1:35">
      <c r="A13" s="62" t="s">
        <v>97</v>
      </c>
      <c r="B13" s="374">
        <v>1976.4153475970577</v>
      </c>
      <c r="C13" s="374">
        <v>2141.4905277078592</v>
      </c>
      <c r="D13" s="374">
        <v>2194.2467913212186</v>
      </c>
      <c r="E13" s="374">
        <v>2369.8687884660339</v>
      </c>
      <c r="F13" s="374">
        <v>2376.9075175493185</v>
      </c>
      <c r="G13" s="374">
        <v>2634.8785626411127</v>
      </c>
      <c r="H13" s="374">
        <v>2628.2664626961018</v>
      </c>
      <c r="I13" s="374">
        <v>2670.0203272144572</v>
      </c>
      <c r="J13" s="374">
        <v>2756.4291780422441</v>
      </c>
      <c r="K13" s="374">
        <v>2712.8271301864916</v>
      </c>
      <c r="L13" s="374">
        <v>2748.1528023198584</v>
      </c>
      <c r="M13" s="374">
        <v>2887.9867745662241</v>
      </c>
      <c r="N13" s="374">
        <v>3070.254128742888</v>
      </c>
      <c r="O13" s="374">
        <v>3063.6367465026847</v>
      </c>
      <c r="P13" s="374">
        <v>3035.6243007991498</v>
      </c>
      <c r="Q13" s="374">
        <v>3275.4028021363024</v>
      </c>
      <c r="R13" s="374">
        <v>3246.1208925589881</v>
      </c>
      <c r="S13" s="374">
        <v>3367.8175040609849</v>
      </c>
      <c r="T13" s="374">
        <v>3269.92043481467</v>
      </c>
      <c r="U13" s="374">
        <v>3406.6914556229203</v>
      </c>
      <c r="V13" s="374">
        <v>3943.1922959681701</v>
      </c>
      <c r="W13" s="374">
        <v>4156.0679624530349</v>
      </c>
      <c r="X13" s="374">
        <v>4161.5962796209096</v>
      </c>
      <c r="Y13" s="374">
        <v>4391.200535786561</v>
      </c>
      <c r="Z13" s="374">
        <v>5275.3233487464104</v>
      </c>
      <c r="AA13" s="374">
        <v>5230.9963981957662</v>
      </c>
      <c r="AB13" s="374">
        <v>5675.82606659463</v>
      </c>
      <c r="AC13" s="374">
        <v>5754.3920813372197</v>
      </c>
      <c r="AD13" s="374">
        <v>6084.7091852576204</v>
      </c>
      <c r="AE13" s="374">
        <v>5574.7121926588416</v>
      </c>
      <c r="AF13" s="54"/>
      <c r="AG13" s="63" t="s">
        <v>97</v>
      </c>
      <c r="AH13" s="375">
        <v>1.8206177408188127</v>
      </c>
      <c r="AI13" s="375">
        <v>-8.3816165583464303E-2</v>
      </c>
    </row>
    <row r="14" spans="1:35">
      <c r="A14" s="53" t="s">
        <v>98</v>
      </c>
      <c r="B14" s="368">
        <v>332.7090509407227</v>
      </c>
      <c r="C14" s="368">
        <v>332.7090509407227</v>
      </c>
      <c r="D14" s="368">
        <v>332.7090509407227</v>
      </c>
      <c r="E14" s="368">
        <v>332.7090509407227</v>
      </c>
      <c r="F14" s="368">
        <v>332.7090509407227</v>
      </c>
      <c r="G14" s="368">
        <v>332.7090509407227</v>
      </c>
      <c r="H14" s="368">
        <v>332.7090509407227</v>
      </c>
      <c r="I14" s="368">
        <v>332.7090509407227</v>
      </c>
      <c r="J14" s="368">
        <v>332.7090509407227</v>
      </c>
      <c r="K14" s="368">
        <v>332.7090509407227</v>
      </c>
      <c r="L14" s="368">
        <v>332.7090509407227</v>
      </c>
      <c r="M14" s="368">
        <v>332.7090509407227</v>
      </c>
      <c r="N14" s="368">
        <v>332.7090509407227</v>
      </c>
      <c r="O14" s="368">
        <v>332.7090509407227</v>
      </c>
      <c r="P14" s="368">
        <v>332.7090509407227</v>
      </c>
      <c r="Q14" s="368">
        <v>332.7090509407227</v>
      </c>
      <c r="R14" s="368">
        <v>332.7090509407227</v>
      </c>
      <c r="S14" s="368">
        <v>332.7090509407227</v>
      </c>
      <c r="T14" s="368">
        <v>332.7090509407227</v>
      </c>
      <c r="U14" s="368">
        <v>332.7090509407227</v>
      </c>
      <c r="V14" s="368">
        <v>332.7090509407227</v>
      </c>
      <c r="W14" s="368">
        <v>332.7090509407227</v>
      </c>
      <c r="X14" s="368">
        <v>332.7090509407227</v>
      </c>
      <c r="Y14" s="368">
        <v>332.7090509407227</v>
      </c>
      <c r="Z14" s="368">
        <v>332.7090509407227</v>
      </c>
      <c r="AA14" s="368">
        <v>332.7090509407227</v>
      </c>
      <c r="AB14" s="368">
        <v>332.7090509407227</v>
      </c>
      <c r="AC14" s="368">
        <v>332.7090509407227</v>
      </c>
      <c r="AD14" s="368">
        <v>332.7090509407227</v>
      </c>
      <c r="AE14" s="368">
        <v>332.7090509407227</v>
      </c>
      <c r="AF14" s="54"/>
      <c r="AG14" s="64" t="s">
        <v>98</v>
      </c>
      <c r="AH14" s="369">
        <v>0</v>
      </c>
      <c r="AI14" s="369">
        <v>0</v>
      </c>
    </row>
    <row r="15" spans="1:35">
      <c r="A15" s="60" t="s">
        <v>99</v>
      </c>
      <c r="B15" s="371">
        <v>0</v>
      </c>
      <c r="C15" s="371">
        <v>0</v>
      </c>
      <c r="D15" s="371">
        <v>0</v>
      </c>
      <c r="E15" s="371">
        <v>0</v>
      </c>
      <c r="F15" s="371">
        <v>0</v>
      </c>
      <c r="G15" s="371">
        <v>0</v>
      </c>
      <c r="H15" s="371">
        <v>0</v>
      </c>
      <c r="I15" s="371">
        <v>0</v>
      </c>
      <c r="J15" s="371">
        <v>0</v>
      </c>
      <c r="K15" s="371">
        <v>0</v>
      </c>
      <c r="L15" s="371">
        <v>0</v>
      </c>
      <c r="M15" s="371">
        <v>0</v>
      </c>
      <c r="N15" s="371">
        <v>0</v>
      </c>
      <c r="O15" s="371">
        <v>0</v>
      </c>
      <c r="P15" s="371">
        <v>0</v>
      </c>
      <c r="Q15" s="371">
        <v>0</v>
      </c>
      <c r="R15" s="371">
        <v>0</v>
      </c>
      <c r="S15" s="371">
        <v>0</v>
      </c>
      <c r="T15" s="371">
        <v>0</v>
      </c>
      <c r="U15" s="371">
        <v>0</v>
      </c>
      <c r="V15" s="371">
        <v>0</v>
      </c>
      <c r="W15" s="371">
        <v>0</v>
      </c>
      <c r="X15" s="371">
        <v>0</v>
      </c>
      <c r="Y15" s="371">
        <v>0</v>
      </c>
      <c r="Z15" s="371">
        <v>0</v>
      </c>
      <c r="AA15" s="371">
        <v>0</v>
      </c>
      <c r="AB15" s="371">
        <v>0</v>
      </c>
      <c r="AC15" s="371">
        <v>0</v>
      </c>
      <c r="AD15" s="371">
        <v>0</v>
      </c>
      <c r="AE15" s="371">
        <v>0</v>
      </c>
      <c r="AF15" s="61"/>
      <c r="AG15" s="372" t="s">
        <v>99</v>
      </c>
      <c r="AH15" s="373">
        <v>0</v>
      </c>
      <c r="AI15" s="373">
        <v>0</v>
      </c>
    </row>
    <row r="16" spans="1:35">
      <c r="A16" s="60" t="s">
        <v>100</v>
      </c>
      <c r="B16" s="371">
        <v>0</v>
      </c>
      <c r="C16" s="371">
        <v>0</v>
      </c>
      <c r="D16" s="371">
        <v>0</v>
      </c>
      <c r="E16" s="371">
        <v>0</v>
      </c>
      <c r="F16" s="371">
        <v>0</v>
      </c>
      <c r="G16" s="371">
        <v>0</v>
      </c>
      <c r="H16" s="371">
        <v>0</v>
      </c>
      <c r="I16" s="371">
        <v>0</v>
      </c>
      <c r="J16" s="371">
        <v>0</v>
      </c>
      <c r="K16" s="371">
        <v>0</v>
      </c>
      <c r="L16" s="371">
        <v>0</v>
      </c>
      <c r="M16" s="371">
        <v>0</v>
      </c>
      <c r="N16" s="371">
        <v>0</v>
      </c>
      <c r="O16" s="371">
        <v>0</v>
      </c>
      <c r="P16" s="371">
        <v>0</v>
      </c>
      <c r="Q16" s="371">
        <v>0</v>
      </c>
      <c r="R16" s="371">
        <v>0</v>
      </c>
      <c r="S16" s="371">
        <v>0</v>
      </c>
      <c r="T16" s="371">
        <v>0</v>
      </c>
      <c r="U16" s="371">
        <v>0</v>
      </c>
      <c r="V16" s="371">
        <v>0</v>
      </c>
      <c r="W16" s="371">
        <v>0</v>
      </c>
      <c r="X16" s="371">
        <v>0</v>
      </c>
      <c r="Y16" s="371">
        <v>0</v>
      </c>
      <c r="Z16" s="371">
        <v>0</v>
      </c>
      <c r="AA16" s="371">
        <v>0</v>
      </c>
      <c r="AB16" s="371">
        <v>0</v>
      </c>
      <c r="AC16" s="371">
        <v>0</v>
      </c>
      <c r="AD16" s="371">
        <v>0</v>
      </c>
      <c r="AE16" s="371">
        <v>0</v>
      </c>
      <c r="AF16" s="61"/>
      <c r="AG16" s="372" t="s">
        <v>100</v>
      </c>
      <c r="AH16" s="373">
        <v>0</v>
      </c>
      <c r="AI16" s="373">
        <v>0</v>
      </c>
    </row>
    <row r="17" spans="1:41">
      <c r="A17" s="62" t="s">
        <v>101</v>
      </c>
      <c r="B17" s="374">
        <v>2309.1243985377805</v>
      </c>
      <c r="C17" s="374">
        <v>2474.1995786485818</v>
      </c>
      <c r="D17" s="374">
        <v>2526.9558422619411</v>
      </c>
      <c r="E17" s="374">
        <v>2702.5778394067565</v>
      </c>
      <c r="F17" s="374">
        <v>2709.6165684900411</v>
      </c>
      <c r="G17" s="374">
        <v>2967.5876135818353</v>
      </c>
      <c r="H17" s="374">
        <v>2960.9755136368244</v>
      </c>
      <c r="I17" s="374">
        <v>3002.7293781551798</v>
      </c>
      <c r="J17" s="374">
        <v>3089.1382289829667</v>
      </c>
      <c r="K17" s="374">
        <v>3045.5361811272141</v>
      </c>
      <c r="L17" s="374">
        <v>3080.861853260581</v>
      </c>
      <c r="M17" s="374">
        <v>3220.6958255069467</v>
      </c>
      <c r="N17" s="374">
        <v>3402.9631796836106</v>
      </c>
      <c r="O17" s="374">
        <v>3396.3457974434073</v>
      </c>
      <c r="P17" s="374">
        <v>3368.3333517398723</v>
      </c>
      <c r="Q17" s="374">
        <v>3608.111853077025</v>
      </c>
      <c r="R17" s="374">
        <v>3578.8299434997107</v>
      </c>
      <c r="S17" s="374">
        <v>3700.5265550017075</v>
      </c>
      <c r="T17" s="374">
        <v>3602.6294857553926</v>
      </c>
      <c r="U17" s="374">
        <v>3739.4005065636429</v>
      </c>
      <c r="V17" s="374">
        <v>4275.9013469088932</v>
      </c>
      <c r="W17" s="374">
        <v>4488.7770133937574</v>
      </c>
      <c r="X17" s="374">
        <v>4494.3053305616322</v>
      </c>
      <c r="Y17" s="374">
        <v>4723.9095867272836</v>
      </c>
      <c r="Z17" s="374">
        <v>5608.032399687133</v>
      </c>
      <c r="AA17" s="374">
        <v>5563.7054491364888</v>
      </c>
      <c r="AB17" s="374">
        <v>6008.5351175353526</v>
      </c>
      <c r="AC17" s="374">
        <v>6087.1011322779423</v>
      </c>
      <c r="AD17" s="374">
        <v>6417.418236198343</v>
      </c>
      <c r="AE17" s="374">
        <v>5907.4212435995641</v>
      </c>
      <c r="AF17" s="65"/>
      <c r="AG17" s="66" t="s">
        <v>101</v>
      </c>
      <c r="AH17" s="375">
        <v>1.5582949309012337</v>
      </c>
      <c r="AI17" s="375">
        <v>-7.9470742567793018E-2</v>
      </c>
    </row>
    <row r="18" spans="1:41">
      <c r="A18" s="60" t="s">
        <v>102</v>
      </c>
      <c r="B18" s="371">
        <v>42.408656428620503</v>
      </c>
      <c r="C18" s="371">
        <v>45.026229557114846</v>
      </c>
      <c r="D18" s="371">
        <v>47.676636225395924</v>
      </c>
      <c r="E18" s="371">
        <v>49.7607628229174</v>
      </c>
      <c r="F18" s="371">
        <v>45.823558045730096</v>
      </c>
      <c r="G18" s="371">
        <v>51.881007690116789</v>
      </c>
      <c r="H18" s="371">
        <v>53.344794348833879</v>
      </c>
      <c r="I18" s="371">
        <v>64.686082048640117</v>
      </c>
      <c r="J18" s="371">
        <v>58.127465800719506</v>
      </c>
      <c r="K18" s="371">
        <v>57.499905012098985</v>
      </c>
      <c r="L18" s="371">
        <v>61.592287032050265</v>
      </c>
      <c r="M18" s="371">
        <v>62.12647088981673</v>
      </c>
      <c r="N18" s="371">
        <v>55.99461145253381</v>
      </c>
      <c r="O18" s="371">
        <v>43.707959371300632</v>
      </c>
      <c r="P18" s="371">
        <v>41.60932350932368</v>
      </c>
      <c r="Q18" s="371">
        <v>45.360881197799714</v>
      </c>
      <c r="R18" s="371">
        <v>46.444748042452503</v>
      </c>
      <c r="S18" s="371">
        <v>90.309872814408592</v>
      </c>
      <c r="T18" s="371">
        <v>46.434191981993202</v>
      </c>
      <c r="U18" s="371">
        <v>52.724087495238209</v>
      </c>
      <c r="V18" s="371">
        <v>57.800376266501175</v>
      </c>
      <c r="W18" s="371">
        <v>52.563444903684044</v>
      </c>
      <c r="X18" s="371">
        <v>54.219914072530884</v>
      </c>
      <c r="Y18" s="371">
        <v>55.479858622886894</v>
      </c>
      <c r="Z18" s="371">
        <v>53.441368629703092</v>
      </c>
      <c r="AA18" s="371">
        <v>51.944644587050703</v>
      </c>
      <c r="AB18" s="371">
        <v>53.564392823943557</v>
      </c>
      <c r="AC18" s="371">
        <v>50.557456394774782</v>
      </c>
      <c r="AD18" s="371">
        <v>54.098819039909415</v>
      </c>
      <c r="AE18" s="371">
        <v>45.626311889477947</v>
      </c>
      <c r="AF18" s="61"/>
      <c r="AG18" s="372" t="s">
        <v>102</v>
      </c>
      <c r="AH18" s="373">
        <v>7.5872610259964071E-2</v>
      </c>
      <c r="AI18" s="373">
        <v>-0.15661168396635772</v>
      </c>
    </row>
    <row r="19" spans="1:41">
      <c r="M19" s="67" t="s">
        <v>103</v>
      </c>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row>
    <row r="20" spans="1:41">
      <c r="M20" s="67" t="s">
        <v>104</v>
      </c>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row>
    <row r="22" spans="1:41" ht="18">
      <c r="A22" s="603" t="s">
        <v>105</v>
      </c>
      <c r="B22" s="603"/>
      <c r="C22" s="603"/>
      <c r="D22" s="603"/>
      <c r="E22" s="603"/>
      <c r="F22" s="603"/>
      <c r="G22" s="603"/>
      <c r="H22" s="603"/>
      <c r="I22" s="603"/>
    </row>
    <row r="23" spans="1:41" ht="15">
      <c r="B23" s="68"/>
      <c r="C23" s="69"/>
      <c r="D23" s="69"/>
      <c r="E23" s="69"/>
      <c r="F23" s="69"/>
      <c r="G23" s="69"/>
      <c r="H23" s="69"/>
      <c r="I23" s="69"/>
    </row>
    <row r="24" spans="1:41" ht="15" customHeight="1">
      <c r="B24" s="70"/>
      <c r="C24" s="604" t="s">
        <v>106</v>
      </c>
      <c r="D24" s="604"/>
      <c r="E24" s="604"/>
      <c r="F24" s="604"/>
      <c r="G24" s="604"/>
      <c r="H24" s="71"/>
    </row>
    <row r="25" spans="1:41" ht="47.25" customHeight="1">
      <c r="B25" s="605" t="s">
        <v>107</v>
      </c>
      <c r="C25" s="72" t="s">
        <v>108</v>
      </c>
      <c r="D25" s="72" t="s">
        <v>109</v>
      </c>
      <c r="E25" s="72" t="s">
        <v>110</v>
      </c>
      <c r="F25" s="73" t="s">
        <v>111</v>
      </c>
      <c r="G25" s="72" t="s">
        <v>112</v>
      </c>
      <c r="H25" s="72" t="s">
        <v>113</v>
      </c>
    </row>
    <row r="26" spans="1:41">
      <c r="B26" s="605"/>
      <c r="C26" s="74" t="s">
        <v>114</v>
      </c>
      <c r="D26" s="74" t="s">
        <v>115</v>
      </c>
      <c r="E26" s="74" t="s">
        <v>116</v>
      </c>
      <c r="F26" s="75" t="s">
        <v>117</v>
      </c>
      <c r="G26" s="74" t="s">
        <v>118</v>
      </c>
      <c r="H26" s="74" t="s">
        <v>119</v>
      </c>
    </row>
    <row r="27" spans="1:41">
      <c r="B27" s="76" t="s">
        <v>120</v>
      </c>
      <c r="C27" s="77">
        <v>1</v>
      </c>
      <c r="D27" s="77">
        <v>1</v>
      </c>
      <c r="E27" s="77">
        <v>1</v>
      </c>
      <c r="F27" s="52">
        <v>1</v>
      </c>
      <c r="G27" s="77">
        <v>1</v>
      </c>
      <c r="H27" s="77">
        <v>1</v>
      </c>
    </row>
    <row r="28" spans="1:41" ht="15" customHeight="1">
      <c r="B28" s="76" t="s">
        <v>121</v>
      </c>
      <c r="C28" s="78">
        <v>21</v>
      </c>
      <c r="D28" s="78">
        <v>21</v>
      </c>
      <c r="E28" s="78">
        <v>23</v>
      </c>
      <c r="F28" s="79">
        <v>25</v>
      </c>
      <c r="G28" s="78">
        <v>28</v>
      </c>
      <c r="H28" s="606" t="s">
        <v>122</v>
      </c>
    </row>
    <row r="29" spans="1:41">
      <c r="B29" s="76" t="s">
        <v>123</v>
      </c>
      <c r="C29" s="78">
        <v>290</v>
      </c>
      <c r="D29" s="78">
        <v>310</v>
      </c>
      <c r="E29" s="78">
        <v>296</v>
      </c>
      <c r="F29" s="79">
        <v>298</v>
      </c>
      <c r="G29" s="78">
        <v>265</v>
      </c>
      <c r="H29" s="606"/>
    </row>
    <row r="30" spans="1:41" ht="24">
      <c r="B30" s="76" t="s">
        <v>124</v>
      </c>
      <c r="C30" s="78" t="s">
        <v>125</v>
      </c>
      <c r="D30" s="78" t="s">
        <v>126</v>
      </c>
      <c r="E30" s="78" t="s">
        <v>127</v>
      </c>
      <c r="F30" s="79" t="s">
        <v>128</v>
      </c>
      <c r="G30" s="78" t="s">
        <v>129</v>
      </c>
      <c r="H30" s="606"/>
    </row>
    <row r="31" spans="1:41" ht="24">
      <c r="B31" s="76" t="s">
        <v>130</v>
      </c>
      <c r="C31" s="78" t="s">
        <v>131</v>
      </c>
      <c r="D31" s="80" t="s">
        <v>132</v>
      </c>
      <c r="E31" s="78" t="s">
        <v>133</v>
      </c>
      <c r="F31" s="79" t="s">
        <v>134</v>
      </c>
      <c r="G31" s="78" t="s">
        <v>135</v>
      </c>
      <c r="H31" s="606"/>
    </row>
    <row r="32" spans="1:41">
      <c r="B32" s="76" t="s">
        <v>136</v>
      </c>
      <c r="C32" s="78" t="s">
        <v>131</v>
      </c>
      <c r="D32" s="81">
        <v>23900</v>
      </c>
      <c r="E32" s="81">
        <v>22200</v>
      </c>
      <c r="F32" s="82">
        <v>22800</v>
      </c>
      <c r="G32" s="78" t="s">
        <v>137</v>
      </c>
      <c r="H32" s="606"/>
    </row>
    <row r="33" spans="2:8">
      <c r="B33" s="76" t="s">
        <v>138</v>
      </c>
      <c r="C33" s="78" t="s">
        <v>131</v>
      </c>
      <c r="D33" s="78" t="s">
        <v>131</v>
      </c>
      <c r="E33" s="78" t="s">
        <v>131</v>
      </c>
      <c r="F33" s="82">
        <v>17200</v>
      </c>
      <c r="G33" s="78" t="s">
        <v>139</v>
      </c>
      <c r="H33" s="606"/>
    </row>
    <row r="34" spans="2:8" ht="72">
      <c r="B34" s="79" t="s">
        <v>140</v>
      </c>
      <c r="C34" s="78" t="s">
        <v>141</v>
      </c>
      <c r="D34" s="78" t="s">
        <v>142</v>
      </c>
      <c r="E34" s="78" t="s">
        <v>141</v>
      </c>
      <c r="F34" s="79" t="s">
        <v>143</v>
      </c>
      <c r="G34" s="78" t="s">
        <v>144</v>
      </c>
      <c r="H34" s="606"/>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Q36"/>
  <sheetViews>
    <sheetView topLeftCell="A10" workbookViewId="0">
      <selection activeCell="J19" sqref="J19"/>
    </sheetView>
  </sheetViews>
  <sheetFormatPr baseColWidth="10" defaultRowHeight="14.4"/>
  <sheetData>
    <row r="1" spans="1:17" ht="23.4">
      <c r="A1" s="231" t="s">
        <v>358</v>
      </c>
      <c r="B1" s="410"/>
      <c r="C1" s="410"/>
      <c r="D1" s="410"/>
      <c r="E1" s="410"/>
      <c r="F1" s="410"/>
      <c r="G1" s="410"/>
      <c r="H1" s="410"/>
      <c r="I1" s="410"/>
      <c r="J1" s="410"/>
      <c r="K1" s="410"/>
      <c r="L1" s="410"/>
      <c r="M1" s="410"/>
      <c r="N1" s="410"/>
      <c r="O1" s="410"/>
      <c r="P1" s="410"/>
      <c r="Q1" s="410"/>
    </row>
    <row r="2" spans="1:17">
      <c r="A2" s="410"/>
      <c r="B2" s="410"/>
      <c r="C2" s="410"/>
      <c r="D2" s="410"/>
      <c r="E2" s="410"/>
      <c r="F2" s="410"/>
      <c r="G2" s="410"/>
      <c r="H2" s="410"/>
      <c r="I2" s="410"/>
      <c r="J2" s="410"/>
      <c r="K2" s="410"/>
      <c r="L2" s="410"/>
      <c r="M2" s="410"/>
      <c r="N2" s="410"/>
      <c r="O2" s="410"/>
      <c r="P2" s="410"/>
      <c r="Q2" s="410"/>
    </row>
    <row r="3" spans="1:17">
      <c r="A3" s="410"/>
      <c r="B3" s="410"/>
      <c r="C3" s="410"/>
      <c r="D3" s="410"/>
      <c r="E3" s="410"/>
      <c r="F3" s="410"/>
      <c r="G3" s="410"/>
      <c r="H3" s="410"/>
      <c r="I3" s="410"/>
      <c r="J3" s="410"/>
      <c r="K3" s="410"/>
      <c r="L3" s="410"/>
      <c r="M3" s="410"/>
      <c r="N3" s="410"/>
      <c r="O3" s="410"/>
      <c r="P3" s="410"/>
      <c r="Q3" s="410"/>
    </row>
    <row r="4" spans="1:17">
      <c r="A4" s="548" t="s">
        <v>12</v>
      </c>
      <c r="B4" s="549" t="s">
        <v>14</v>
      </c>
      <c r="C4" s="549" t="s">
        <v>15</v>
      </c>
      <c r="D4" s="549" t="s">
        <v>16</v>
      </c>
      <c r="E4" s="549" t="s">
        <v>17</v>
      </c>
      <c r="F4" s="549" t="s">
        <v>370</v>
      </c>
      <c r="G4" s="549" t="s">
        <v>18</v>
      </c>
      <c r="H4" s="549" t="s">
        <v>19</v>
      </c>
      <c r="I4" s="549"/>
      <c r="J4" s="549"/>
      <c r="K4" s="549"/>
      <c r="L4" s="549"/>
      <c r="M4" s="549"/>
      <c r="N4" s="550" t="s">
        <v>371</v>
      </c>
      <c r="O4" s="550" t="s">
        <v>21</v>
      </c>
      <c r="P4" s="550" t="s">
        <v>372</v>
      </c>
      <c r="Q4" s="550" t="s">
        <v>23</v>
      </c>
    </row>
    <row r="5" spans="1:17" ht="45.6">
      <c r="A5" s="548"/>
      <c r="B5" s="549"/>
      <c r="C5" s="549"/>
      <c r="D5" s="549"/>
      <c r="E5" s="549"/>
      <c r="F5" s="549"/>
      <c r="G5" s="549"/>
      <c r="H5" s="259" t="s">
        <v>359</v>
      </c>
      <c r="I5" s="259" t="s">
        <v>7</v>
      </c>
      <c r="J5" s="259" t="s">
        <v>360</v>
      </c>
      <c r="K5" s="259" t="s">
        <v>373</v>
      </c>
      <c r="L5" s="260" t="s">
        <v>374</v>
      </c>
      <c r="M5" s="259" t="s">
        <v>375</v>
      </c>
      <c r="N5" s="550"/>
      <c r="O5" s="550"/>
      <c r="P5" s="550"/>
      <c r="Q5" s="550"/>
    </row>
    <row r="6" spans="1:17">
      <c r="A6" s="261" t="s">
        <v>24</v>
      </c>
      <c r="B6" s="262">
        <v>0</v>
      </c>
      <c r="C6" s="263">
        <v>0</v>
      </c>
      <c r="D6" s="263">
        <v>0</v>
      </c>
      <c r="E6" s="262">
        <v>0</v>
      </c>
      <c r="F6" s="263">
        <v>0</v>
      </c>
      <c r="G6" s="263">
        <v>458.22200000000004</v>
      </c>
      <c r="H6" s="263">
        <v>0</v>
      </c>
      <c r="I6" s="263">
        <v>0</v>
      </c>
      <c r="J6" s="263">
        <v>0</v>
      </c>
      <c r="K6" s="263">
        <v>0</v>
      </c>
      <c r="L6" s="263">
        <v>0</v>
      </c>
      <c r="M6" s="264">
        <v>39.542000000000002</v>
      </c>
      <c r="N6" s="264">
        <v>0</v>
      </c>
      <c r="O6" s="263">
        <v>0</v>
      </c>
      <c r="P6" s="263">
        <v>0</v>
      </c>
      <c r="Q6" s="265">
        <v>497.76400000000001</v>
      </c>
    </row>
    <row r="7" spans="1:17">
      <c r="A7" s="261" t="s">
        <v>28</v>
      </c>
      <c r="B7" s="262">
        <v>8372.4369999999999</v>
      </c>
      <c r="C7" s="263">
        <v>0</v>
      </c>
      <c r="D7" s="263">
        <v>10517.009</v>
      </c>
      <c r="E7" s="262">
        <v>0</v>
      </c>
      <c r="F7" s="263">
        <v>0</v>
      </c>
      <c r="G7" s="263">
        <v>0</v>
      </c>
      <c r="H7" s="263">
        <v>0</v>
      </c>
      <c r="I7" s="263">
        <v>0</v>
      </c>
      <c r="J7" s="263">
        <v>0</v>
      </c>
      <c r="K7" s="263">
        <v>0</v>
      </c>
      <c r="L7" s="263">
        <v>0</v>
      </c>
      <c r="M7" s="263">
        <v>0</v>
      </c>
      <c r="N7" s="264">
        <v>0</v>
      </c>
      <c r="O7" s="263">
        <v>0</v>
      </c>
      <c r="P7" s="263">
        <v>0</v>
      </c>
      <c r="Q7" s="265">
        <v>18889.446</v>
      </c>
    </row>
    <row r="8" spans="1:17">
      <c r="A8" s="261" t="s">
        <v>29</v>
      </c>
      <c r="B8" s="262">
        <v>0</v>
      </c>
      <c r="C8" s="263">
        <v>0</v>
      </c>
      <c r="D8" s="263">
        <v>0</v>
      </c>
      <c r="E8" s="262">
        <v>0</v>
      </c>
      <c r="F8" s="263">
        <v>0</v>
      </c>
      <c r="G8" s="263">
        <v>0</v>
      </c>
      <c r="H8" s="263">
        <v>0</v>
      </c>
      <c r="I8" s="263">
        <v>0</v>
      </c>
      <c r="J8" s="263">
        <v>0</v>
      </c>
      <c r="K8" s="263">
        <v>0</v>
      </c>
      <c r="L8" s="263">
        <v>0</v>
      </c>
      <c r="M8" s="263">
        <v>0</v>
      </c>
      <c r="N8" s="264">
        <v>0</v>
      </c>
      <c r="O8" s="263">
        <v>0</v>
      </c>
      <c r="P8" s="263">
        <v>0</v>
      </c>
      <c r="Q8" s="265">
        <v>0</v>
      </c>
    </row>
    <row r="9" spans="1:17">
      <c r="A9" s="261" t="s">
        <v>30</v>
      </c>
      <c r="B9" s="262">
        <v>0</v>
      </c>
      <c r="C9" s="263">
        <v>0</v>
      </c>
      <c r="D9" s="263">
        <v>-271.11377777777784</v>
      </c>
      <c r="E9" s="262">
        <v>0</v>
      </c>
      <c r="F9" s="263">
        <v>0</v>
      </c>
      <c r="G9" s="263">
        <v>0</v>
      </c>
      <c r="H9" s="263">
        <v>0</v>
      </c>
      <c r="I9" s="263">
        <v>0</v>
      </c>
      <c r="J9" s="263">
        <v>0</v>
      </c>
      <c r="K9" s="263">
        <v>0</v>
      </c>
      <c r="L9" s="263">
        <v>0</v>
      </c>
      <c r="M9" s="263">
        <v>0</v>
      </c>
      <c r="N9" s="264">
        <v>0</v>
      </c>
      <c r="O9" s="263">
        <v>0</v>
      </c>
      <c r="P9" s="263">
        <v>0</v>
      </c>
      <c r="Q9" s="265">
        <v>-271.11377777777784</v>
      </c>
    </row>
    <row r="10" spans="1:17">
      <c r="A10" s="261" t="s">
        <v>31</v>
      </c>
      <c r="B10" s="262">
        <v>0</v>
      </c>
      <c r="C10" s="263">
        <v>0</v>
      </c>
      <c r="D10" s="263">
        <v>-173.15222222222224</v>
      </c>
      <c r="E10" s="262">
        <v>0</v>
      </c>
      <c r="F10" s="263">
        <v>0</v>
      </c>
      <c r="G10" s="263">
        <v>0</v>
      </c>
      <c r="H10" s="263">
        <v>0</v>
      </c>
      <c r="I10" s="263">
        <v>0</v>
      </c>
      <c r="J10" s="263">
        <v>0</v>
      </c>
      <c r="K10" s="263">
        <v>0</v>
      </c>
      <c r="L10" s="263">
        <v>0</v>
      </c>
      <c r="M10" s="263">
        <v>0</v>
      </c>
      <c r="N10" s="264">
        <v>0</v>
      </c>
      <c r="O10" s="263">
        <v>0</v>
      </c>
      <c r="P10" s="263">
        <v>0</v>
      </c>
      <c r="Q10" s="265">
        <v>-173.15222222222224</v>
      </c>
    </row>
    <row r="11" spans="1:17">
      <c r="A11" s="261" t="s">
        <v>32</v>
      </c>
      <c r="B11" s="262">
        <v>220.97000000000003</v>
      </c>
      <c r="C11" s="263">
        <v>0</v>
      </c>
      <c r="D11" s="263">
        <v>-30.238000000000003</v>
      </c>
      <c r="E11" s="262">
        <v>0</v>
      </c>
      <c r="F11" s="263">
        <v>0</v>
      </c>
      <c r="G11" s="263">
        <v>0</v>
      </c>
      <c r="H11" s="263">
        <v>0</v>
      </c>
      <c r="I11" s="263">
        <v>0</v>
      </c>
      <c r="J11" s="263">
        <v>0</v>
      </c>
      <c r="K11" s="263">
        <v>0</v>
      </c>
      <c r="L11" s="263">
        <v>0</v>
      </c>
      <c r="M11" s="263">
        <v>0</v>
      </c>
      <c r="N11" s="264">
        <v>0</v>
      </c>
      <c r="O11" s="263">
        <v>0</v>
      </c>
      <c r="P11" s="263">
        <v>0</v>
      </c>
      <c r="Q11" s="265">
        <v>190.73200000000003</v>
      </c>
    </row>
    <row r="12" spans="1:17">
      <c r="A12" s="266" t="s">
        <v>376</v>
      </c>
      <c r="B12" s="267">
        <v>8593.4069999999992</v>
      </c>
      <c r="C12" s="267">
        <v>0</v>
      </c>
      <c r="D12" s="267">
        <v>10042.505000000001</v>
      </c>
      <c r="E12" s="267">
        <v>0</v>
      </c>
      <c r="F12" s="267">
        <v>0</v>
      </c>
      <c r="G12" s="267">
        <v>458.22200000000004</v>
      </c>
      <c r="H12" s="267">
        <v>0</v>
      </c>
      <c r="I12" s="267">
        <v>0</v>
      </c>
      <c r="J12" s="267">
        <v>0</v>
      </c>
      <c r="K12" s="267">
        <v>0</v>
      </c>
      <c r="L12" s="267">
        <v>0</v>
      </c>
      <c r="M12" s="267">
        <v>39.542000000000002</v>
      </c>
      <c r="N12" s="267">
        <v>0</v>
      </c>
      <c r="O12" s="267">
        <v>0</v>
      </c>
      <c r="P12" s="267">
        <v>0</v>
      </c>
      <c r="Q12" s="267">
        <v>19133.676000000003</v>
      </c>
    </row>
    <row r="13" spans="1:17">
      <c r="A13" s="268"/>
      <c r="B13" s="269"/>
      <c r="C13" s="237"/>
      <c r="D13" s="456"/>
      <c r="E13" s="269"/>
      <c r="F13" s="269"/>
      <c r="G13" s="269"/>
      <c r="H13" s="269"/>
      <c r="I13" s="269"/>
      <c r="J13" s="269"/>
      <c r="K13" s="269"/>
      <c r="L13" s="269"/>
      <c r="M13" s="269"/>
      <c r="N13" s="269"/>
      <c r="O13" s="269"/>
      <c r="P13" s="269"/>
      <c r="Q13" s="269"/>
    </row>
    <row r="14" spans="1:17">
      <c r="A14" s="271" t="s">
        <v>377</v>
      </c>
      <c r="B14" s="262">
        <v>-211.666</v>
      </c>
      <c r="C14" s="272">
        <v>0</v>
      </c>
      <c r="D14" s="272">
        <v>-61.639000000000003</v>
      </c>
      <c r="E14" s="262">
        <v>0</v>
      </c>
      <c r="F14" s="262">
        <v>0</v>
      </c>
      <c r="G14" s="262">
        <v>0</v>
      </c>
      <c r="H14" s="262">
        <v>0</v>
      </c>
      <c r="I14" s="262">
        <v>0</v>
      </c>
      <c r="J14" s="262">
        <v>0</v>
      </c>
      <c r="K14" s="262">
        <v>0</v>
      </c>
      <c r="L14" s="262">
        <v>0</v>
      </c>
      <c r="M14" s="262">
        <v>0</v>
      </c>
      <c r="N14" s="262">
        <v>0</v>
      </c>
      <c r="O14" s="262">
        <v>0</v>
      </c>
      <c r="P14" s="262">
        <v>0</v>
      </c>
      <c r="Q14" s="273">
        <v>-273.30500000000001</v>
      </c>
    </row>
    <row r="15" spans="1:17">
      <c r="A15" s="271" t="s">
        <v>378</v>
      </c>
      <c r="B15" s="262">
        <v>5892.9210000000003</v>
      </c>
      <c r="C15" s="262">
        <v>0</v>
      </c>
      <c r="D15" s="262">
        <v>4539.1890000000003</v>
      </c>
      <c r="E15" s="262">
        <v>0</v>
      </c>
      <c r="F15" s="262">
        <v>0</v>
      </c>
      <c r="G15" s="262">
        <v>458.22200000000004</v>
      </c>
      <c r="H15" s="274">
        <v>0</v>
      </c>
      <c r="I15" s="262">
        <v>0</v>
      </c>
      <c r="J15" s="262">
        <v>0</v>
      </c>
      <c r="K15" s="262">
        <v>0</v>
      </c>
      <c r="L15" s="262">
        <v>0</v>
      </c>
      <c r="M15" s="262">
        <v>0</v>
      </c>
      <c r="N15" s="262">
        <v>-3334.3209999999999</v>
      </c>
      <c r="O15" s="262">
        <v>0</v>
      </c>
      <c r="P15" s="262">
        <v>0</v>
      </c>
      <c r="Q15" s="273">
        <v>7556.0110000000004</v>
      </c>
    </row>
    <row r="16" spans="1:17">
      <c r="A16" s="271" t="s">
        <v>379</v>
      </c>
      <c r="B16" s="262">
        <v>0</v>
      </c>
      <c r="C16" s="262">
        <v>0</v>
      </c>
      <c r="D16" s="262">
        <v>0</v>
      </c>
      <c r="E16" s="262">
        <v>0</v>
      </c>
      <c r="F16" s="262">
        <v>0</v>
      </c>
      <c r="G16" s="262">
        <v>0</v>
      </c>
      <c r="H16" s="262">
        <v>0</v>
      </c>
      <c r="I16" s="262">
        <v>0</v>
      </c>
      <c r="J16" s="262">
        <v>0</v>
      </c>
      <c r="K16" s="262">
        <v>0</v>
      </c>
      <c r="L16" s="262">
        <v>0</v>
      </c>
      <c r="M16" s="262">
        <v>0</v>
      </c>
      <c r="N16" s="262">
        <v>0</v>
      </c>
      <c r="O16" s="262">
        <v>0</v>
      </c>
      <c r="P16" s="262">
        <v>0</v>
      </c>
      <c r="Q16" s="273">
        <v>0</v>
      </c>
    </row>
    <row r="17" spans="1:17">
      <c r="A17" s="271" t="s">
        <v>380</v>
      </c>
      <c r="B17" s="262">
        <v>0</v>
      </c>
      <c r="C17" s="262">
        <v>0</v>
      </c>
      <c r="D17" s="262">
        <v>0</v>
      </c>
      <c r="E17" s="262">
        <v>0</v>
      </c>
      <c r="F17" s="262">
        <v>0</v>
      </c>
      <c r="G17" s="262">
        <v>0</v>
      </c>
      <c r="H17" s="275">
        <v>0</v>
      </c>
      <c r="I17" s="275">
        <v>0</v>
      </c>
      <c r="J17" s="275">
        <v>0</v>
      </c>
      <c r="K17" s="275">
        <v>0</v>
      </c>
      <c r="L17" s="275">
        <v>0</v>
      </c>
      <c r="M17" s="275">
        <v>0</v>
      </c>
      <c r="N17" s="262">
        <v>0</v>
      </c>
      <c r="O17" s="262">
        <v>0</v>
      </c>
      <c r="P17" s="262">
        <v>0</v>
      </c>
      <c r="Q17" s="273">
        <v>0</v>
      </c>
    </row>
    <row r="18" spans="1:17">
      <c r="A18" s="271" t="s">
        <v>381</v>
      </c>
      <c r="B18" s="262">
        <v>0</v>
      </c>
      <c r="C18" s="262">
        <v>0</v>
      </c>
      <c r="D18" s="262">
        <v>0</v>
      </c>
      <c r="E18" s="262">
        <v>0</v>
      </c>
      <c r="F18" s="262">
        <v>0</v>
      </c>
      <c r="G18" s="262">
        <v>0</v>
      </c>
      <c r="H18" s="262">
        <v>0</v>
      </c>
      <c r="I18" s="262">
        <v>0</v>
      </c>
      <c r="J18" s="262">
        <v>0</v>
      </c>
      <c r="K18" s="262">
        <v>0</v>
      </c>
      <c r="L18" s="262">
        <v>0</v>
      </c>
      <c r="M18" s="262">
        <v>0</v>
      </c>
      <c r="N18" s="262">
        <v>0</v>
      </c>
      <c r="O18" s="262">
        <v>0</v>
      </c>
      <c r="P18" s="262">
        <v>0</v>
      </c>
      <c r="Q18" s="273">
        <v>0</v>
      </c>
    </row>
    <row r="19" spans="1:17">
      <c r="A19" s="271" t="s">
        <v>36</v>
      </c>
      <c r="B19" s="262">
        <v>0</v>
      </c>
      <c r="C19" s="262">
        <v>0</v>
      </c>
      <c r="D19" s="262">
        <v>0</v>
      </c>
      <c r="E19" s="262">
        <v>0</v>
      </c>
      <c r="F19" s="262">
        <v>0</v>
      </c>
      <c r="G19" s="262">
        <v>0</v>
      </c>
      <c r="H19" s="262">
        <v>0</v>
      </c>
      <c r="I19" s="262">
        <v>0</v>
      </c>
      <c r="J19" s="262">
        <v>0</v>
      </c>
      <c r="K19" s="262">
        <v>0</v>
      </c>
      <c r="L19" s="262">
        <v>0</v>
      </c>
      <c r="M19" s="262">
        <v>0</v>
      </c>
      <c r="N19" s="262">
        <v>0</v>
      </c>
      <c r="O19" s="262">
        <v>0</v>
      </c>
      <c r="P19" s="262">
        <v>0</v>
      </c>
      <c r="Q19" s="273">
        <v>0</v>
      </c>
    </row>
    <row r="20" spans="1:17">
      <c r="A20" s="271" t="s">
        <v>382</v>
      </c>
      <c r="B20" s="262">
        <v>0</v>
      </c>
      <c r="C20" s="262">
        <v>0</v>
      </c>
      <c r="D20" s="262">
        <v>0</v>
      </c>
      <c r="E20" s="262">
        <v>0</v>
      </c>
      <c r="F20" s="262">
        <v>0</v>
      </c>
      <c r="G20" s="262">
        <v>0</v>
      </c>
      <c r="H20" s="262">
        <v>0</v>
      </c>
      <c r="I20" s="262">
        <v>0</v>
      </c>
      <c r="J20" s="262">
        <v>0</v>
      </c>
      <c r="K20" s="262">
        <v>0</v>
      </c>
      <c r="L20" s="262">
        <v>0</v>
      </c>
      <c r="M20" s="262">
        <v>0</v>
      </c>
      <c r="N20" s="262">
        <v>0</v>
      </c>
      <c r="O20" s="262">
        <v>0</v>
      </c>
      <c r="P20" s="262">
        <v>0</v>
      </c>
      <c r="Q20" s="273">
        <v>0</v>
      </c>
    </row>
    <row r="21" spans="1:17">
      <c r="A21" s="271" t="s">
        <v>383</v>
      </c>
      <c r="B21" s="262">
        <v>0</v>
      </c>
      <c r="C21" s="262">
        <v>0</v>
      </c>
      <c r="D21" s="262">
        <v>0</v>
      </c>
      <c r="E21" s="262">
        <v>0</v>
      </c>
      <c r="F21" s="262">
        <v>0</v>
      </c>
      <c r="G21" s="262">
        <v>0</v>
      </c>
      <c r="H21" s="262">
        <v>0</v>
      </c>
      <c r="I21" s="262">
        <v>0</v>
      </c>
      <c r="J21" s="262">
        <v>0</v>
      </c>
      <c r="K21" s="262">
        <v>0</v>
      </c>
      <c r="L21" s="262">
        <v>0</v>
      </c>
      <c r="M21" s="262">
        <v>0</v>
      </c>
      <c r="N21" s="262">
        <v>0</v>
      </c>
      <c r="O21" s="262">
        <v>0</v>
      </c>
      <c r="P21" s="262">
        <v>0</v>
      </c>
      <c r="Q21" s="273">
        <v>0</v>
      </c>
    </row>
    <row r="22" spans="1:17">
      <c r="A22" s="271" t="s">
        <v>384</v>
      </c>
      <c r="B22" s="262">
        <v>0</v>
      </c>
      <c r="C22" s="262">
        <v>0</v>
      </c>
      <c r="D22" s="262">
        <v>0</v>
      </c>
      <c r="E22" s="262">
        <v>0</v>
      </c>
      <c r="F22" s="262">
        <v>0</v>
      </c>
      <c r="G22" s="262">
        <v>0</v>
      </c>
      <c r="H22" s="262">
        <v>0</v>
      </c>
      <c r="I22" s="262">
        <v>0</v>
      </c>
      <c r="J22" s="262">
        <v>0</v>
      </c>
      <c r="K22" s="262">
        <v>0</v>
      </c>
      <c r="L22" s="262">
        <v>0</v>
      </c>
      <c r="M22" s="262">
        <v>0</v>
      </c>
      <c r="N22" s="262">
        <v>0</v>
      </c>
      <c r="O22" s="262">
        <v>0</v>
      </c>
      <c r="P22" s="262">
        <v>0</v>
      </c>
      <c r="Q22" s="273">
        <v>0</v>
      </c>
    </row>
    <row r="23" spans="1:17">
      <c r="A23" s="271" t="s">
        <v>37</v>
      </c>
      <c r="B23" s="262">
        <v>0</v>
      </c>
      <c r="C23" s="262">
        <v>0</v>
      </c>
      <c r="D23" s="262">
        <v>0</v>
      </c>
      <c r="E23" s="262">
        <v>0</v>
      </c>
      <c r="F23" s="262">
        <v>0</v>
      </c>
      <c r="G23" s="262">
        <v>0</v>
      </c>
      <c r="H23" s="262">
        <v>0</v>
      </c>
      <c r="I23" s="262">
        <v>0</v>
      </c>
      <c r="J23" s="262">
        <v>0</v>
      </c>
      <c r="K23" s="262">
        <v>0</v>
      </c>
      <c r="L23" s="262">
        <v>0</v>
      </c>
      <c r="M23" s="262">
        <v>0</v>
      </c>
      <c r="N23" s="262">
        <v>0</v>
      </c>
      <c r="O23" s="262">
        <v>0</v>
      </c>
      <c r="P23" s="262">
        <v>0</v>
      </c>
      <c r="Q23" s="273">
        <v>0</v>
      </c>
    </row>
    <row r="24" spans="1:17">
      <c r="A24" s="271" t="s">
        <v>38</v>
      </c>
      <c r="B24" s="262">
        <v>0</v>
      </c>
      <c r="C24" s="262">
        <v>0</v>
      </c>
      <c r="D24" s="262">
        <v>0</v>
      </c>
      <c r="E24" s="262">
        <v>0</v>
      </c>
      <c r="F24" s="262">
        <v>0</v>
      </c>
      <c r="G24" s="262">
        <v>0</v>
      </c>
      <c r="H24" s="262">
        <v>0</v>
      </c>
      <c r="I24" s="262">
        <v>0</v>
      </c>
      <c r="J24" s="262">
        <v>0</v>
      </c>
      <c r="K24" s="262">
        <v>0</v>
      </c>
      <c r="L24" s="262">
        <v>0</v>
      </c>
      <c r="M24" s="262">
        <v>0</v>
      </c>
      <c r="N24" s="262">
        <v>0</v>
      </c>
      <c r="O24" s="262">
        <v>0</v>
      </c>
      <c r="P24" s="262">
        <v>0</v>
      </c>
      <c r="Q24" s="273">
        <v>0</v>
      </c>
    </row>
    <row r="25" spans="1:17">
      <c r="A25" s="271" t="s">
        <v>39</v>
      </c>
      <c r="B25" s="262">
        <v>0</v>
      </c>
      <c r="C25" s="262">
        <v>0</v>
      </c>
      <c r="D25" s="262">
        <v>0</v>
      </c>
      <c r="E25" s="262">
        <v>0</v>
      </c>
      <c r="F25" s="262">
        <v>0</v>
      </c>
      <c r="G25" s="262">
        <v>0</v>
      </c>
      <c r="H25" s="262">
        <v>0</v>
      </c>
      <c r="I25" s="262">
        <v>0</v>
      </c>
      <c r="J25" s="262">
        <v>0</v>
      </c>
      <c r="K25" s="262">
        <v>0</v>
      </c>
      <c r="L25" s="262">
        <v>0</v>
      </c>
      <c r="M25" s="262">
        <v>0</v>
      </c>
      <c r="N25" s="262">
        <v>60.476000000000006</v>
      </c>
      <c r="O25" s="262">
        <v>0</v>
      </c>
      <c r="P25" s="262">
        <v>0</v>
      </c>
      <c r="Q25" s="273">
        <v>60.476000000000006</v>
      </c>
    </row>
    <row r="26" spans="1:17">
      <c r="A26" s="266" t="s">
        <v>40</v>
      </c>
      <c r="B26" s="267">
        <v>5681.2550000000001</v>
      </c>
      <c r="C26" s="267">
        <v>0</v>
      </c>
      <c r="D26" s="267">
        <v>4477.55</v>
      </c>
      <c r="E26" s="267">
        <v>0</v>
      </c>
      <c r="F26" s="267">
        <v>0</v>
      </c>
      <c r="G26" s="267">
        <v>458.22200000000004</v>
      </c>
      <c r="H26" s="267">
        <v>0</v>
      </c>
      <c r="I26" s="267">
        <v>0</v>
      </c>
      <c r="J26" s="267">
        <v>0</v>
      </c>
      <c r="K26" s="267">
        <v>0</v>
      </c>
      <c r="L26" s="267">
        <v>0</v>
      </c>
      <c r="M26" s="267">
        <v>0</v>
      </c>
      <c r="N26" s="267">
        <v>-3273.8449999999998</v>
      </c>
      <c r="O26" s="267">
        <v>0</v>
      </c>
      <c r="P26" s="267">
        <v>0</v>
      </c>
      <c r="Q26" s="267">
        <v>7343.1819999999998</v>
      </c>
    </row>
    <row r="27" spans="1:17">
      <c r="A27" s="268"/>
      <c r="B27" s="269"/>
      <c r="C27" s="269"/>
      <c r="D27" s="276"/>
      <c r="E27" s="269"/>
      <c r="F27" s="269"/>
      <c r="G27" s="269"/>
      <c r="H27" s="276"/>
      <c r="I27" s="269"/>
      <c r="J27" s="269"/>
      <c r="K27" s="269"/>
      <c r="L27" s="277"/>
      <c r="M27" s="269"/>
      <c r="N27" s="269"/>
      <c r="O27" s="269"/>
      <c r="P27" s="269"/>
      <c r="Q27" s="269"/>
    </row>
    <row r="28" spans="1:17">
      <c r="A28" s="271" t="s">
        <v>41</v>
      </c>
      <c r="B28" s="262">
        <v>1168.8150000000001</v>
      </c>
      <c r="C28" s="262">
        <v>0</v>
      </c>
      <c r="D28" s="262">
        <v>2672.5740000000005</v>
      </c>
      <c r="E28" s="262">
        <v>0</v>
      </c>
      <c r="F28" s="262">
        <v>0</v>
      </c>
      <c r="G28" s="262">
        <v>0</v>
      </c>
      <c r="H28" s="262">
        <v>0</v>
      </c>
      <c r="I28" s="262">
        <v>0</v>
      </c>
      <c r="J28" s="262">
        <v>0</v>
      </c>
      <c r="K28" s="262">
        <v>0</v>
      </c>
      <c r="L28" s="262">
        <v>0</v>
      </c>
      <c r="M28" s="262">
        <v>0</v>
      </c>
      <c r="N28" s="262">
        <v>2603.9570000000003</v>
      </c>
      <c r="O28" s="262">
        <v>0</v>
      </c>
      <c r="P28" s="262">
        <v>0</v>
      </c>
      <c r="Q28" s="273">
        <v>6445.3460000000014</v>
      </c>
    </row>
    <row r="29" spans="1:17">
      <c r="A29" s="271" t="s">
        <v>42</v>
      </c>
      <c r="B29" s="262">
        <v>0</v>
      </c>
      <c r="C29" s="262">
        <v>0</v>
      </c>
      <c r="D29" s="262">
        <v>2505.1020000000003</v>
      </c>
      <c r="E29" s="262">
        <v>0</v>
      </c>
      <c r="F29" s="262">
        <v>0</v>
      </c>
      <c r="G29" s="262">
        <v>0</v>
      </c>
      <c r="H29" s="262">
        <v>0</v>
      </c>
      <c r="I29" s="262">
        <v>0</v>
      </c>
      <c r="J29" s="262">
        <v>0</v>
      </c>
      <c r="K29" s="262">
        <v>0</v>
      </c>
      <c r="L29" s="262">
        <v>0</v>
      </c>
      <c r="M29" s="262">
        <v>0</v>
      </c>
      <c r="N29" s="262">
        <v>0</v>
      </c>
      <c r="O29" s="262">
        <v>0</v>
      </c>
      <c r="P29" s="262">
        <v>0</v>
      </c>
      <c r="Q29" s="273">
        <v>2505.1020000000003</v>
      </c>
    </row>
    <row r="30" spans="1:17">
      <c r="A30" s="271" t="s">
        <v>43</v>
      </c>
      <c r="B30" s="262">
        <v>0</v>
      </c>
      <c r="C30" s="262">
        <v>0</v>
      </c>
      <c r="D30" s="262">
        <v>145.375</v>
      </c>
      <c r="E30" s="262">
        <v>0</v>
      </c>
      <c r="F30" s="262">
        <v>0</v>
      </c>
      <c r="G30" s="262">
        <v>0</v>
      </c>
      <c r="H30" s="262">
        <v>0</v>
      </c>
      <c r="I30" s="262">
        <v>0</v>
      </c>
      <c r="J30" s="262">
        <v>0</v>
      </c>
      <c r="K30" s="262">
        <v>0</v>
      </c>
      <c r="L30" s="262">
        <v>0</v>
      </c>
      <c r="M30" s="457">
        <v>39.542000000000002</v>
      </c>
      <c r="N30" s="262">
        <v>295.7</v>
      </c>
      <c r="O30" s="262">
        <v>0</v>
      </c>
      <c r="P30" s="262">
        <v>0</v>
      </c>
      <c r="Q30" s="273">
        <v>480.61699999999996</v>
      </c>
    </row>
    <row r="31" spans="1:17">
      <c r="A31" s="271" t="s">
        <v>44</v>
      </c>
      <c r="B31" s="262">
        <v>0</v>
      </c>
      <c r="C31" s="262">
        <v>0</v>
      </c>
      <c r="D31" s="262">
        <v>0</v>
      </c>
      <c r="E31" s="262">
        <v>0</v>
      </c>
      <c r="F31" s="262">
        <v>0</v>
      </c>
      <c r="G31" s="262">
        <v>0</v>
      </c>
      <c r="H31" s="262">
        <v>0</v>
      </c>
      <c r="I31" s="262">
        <v>0</v>
      </c>
      <c r="J31" s="262">
        <v>0</v>
      </c>
      <c r="K31" s="262">
        <v>0</v>
      </c>
      <c r="L31" s="262">
        <v>0</v>
      </c>
      <c r="M31" s="262">
        <v>0</v>
      </c>
      <c r="N31" s="262">
        <v>373.00000000000006</v>
      </c>
      <c r="O31" s="262">
        <v>0</v>
      </c>
      <c r="P31" s="262">
        <v>0</v>
      </c>
      <c r="Q31" s="273">
        <v>373.00000000000006</v>
      </c>
    </row>
    <row r="32" spans="1:17">
      <c r="A32" s="271" t="s">
        <v>4</v>
      </c>
      <c r="B32" s="262">
        <v>0</v>
      </c>
      <c r="C32" s="262">
        <v>0</v>
      </c>
      <c r="D32" s="262">
        <v>62.802000000000007</v>
      </c>
      <c r="E32" s="262">
        <v>0</v>
      </c>
      <c r="F32" s="262">
        <v>0</v>
      </c>
      <c r="G32" s="262">
        <v>0</v>
      </c>
      <c r="H32" s="262">
        <v>0</v>
      </c>
      <c r="I32" s="262">
        <v>0</v>
      </c>
      <c r="J32" s="262">
        <v>0</v>
      </c>
      <c r="K32" s="262">
        <v>0</v>
      </c>
      <c r="L32" s="262">
        <v>0</v>
      </c>
      <c r="M32" s="262">
        <v>0</v>
      </c>
      <c r="N32" s="262">
        <v>0</v>
      </c>
      <c r="O32" s="262">
        <v>0</v>
      </c>
      <c r="P32" s="262">
        <v>0</v>
      </c>
      <c r="Q32" s="273">
        <v>62.802000000000007</v>
      </c>
    </row>
    <row r="33" spans="1:17">
      <c r="A33" s="271" t="s">
        <v>385</v>
      </c>
      <c r="B33" s="262">
        <v>0</v>
      </c>
      <c r="C33" s="262">
        <v>0</v>
      </c>
      <c r="D33" s="262">
        <v>0</v>
      </c>
      <c r="E33" s="262">
        <v>0</v>
      </c>
      <c r="F33" s="262">
        <v>0</v>
      </c>
      <c r="G33" s="262">
        <v>0</v>
      </c>
      <c r="H33" s="262">
        <v>0</v>
      </c>
      <c r="I33" s="262">
        <v>0</v>
      </c>
      <c r="J33" s="262">
        <v>0</v>
      </c>
      <c r="K33" s="262">
        <v>0</v>
      </c>
      <c r="L33" s="262">
        <v>0</v>
      </c>
      <c r="M33" s="262">
        <v>0</v>
      </c>
      <c r="N33" s="262">
        <v>0</v>
      </c>
      <c r="O33" s="262">
        <v>0</v>
      </c>
      <c r="P33" s="262">
        <v>0</v>
      </c>
      <c r="Q33" s="273">
        <v>0</v>
      </c>
    </row>
    <row r="34" spans="1:17">
      <c r="A34" s="266" t="s">
        <v>45</v>
      </c>
      <c r="B34" s="267">
        <v>1168.8150000000001</v>
      </c>
      <c r="C34" s="267">
        <v>0</v>
      </c>
      <c r="D34" s="267">
        <v>5385.853000000001</v>
      </c>
      <c r="E34" s="267">
        <v>0</v>
      </c>
      <c r="F34" s="267">
        <v>0</v>
      </c>
      <c r="G34" s="267">
        <v>0</v>
      </c>
      <c r="H34" s="267">
        <v>0</v>
      </c>
      <c r="I34" s="267">
        <v>0</v>
      </c>
      <c r="J34" s="267">
        <v>0</v>
      </c>
      <c r="K34" s="267">
        <v>0</v>
      </c>
      <c r="L34" s="267">
        <v>0</v>
      </c>
      <c r="M34" s="267">
        <v>39.542000000000002</v>
      </c>
      <c r="N34" s="267">
        <v>3272.6570000000002</v>
      </c>
      <c r="O34" s="267">
        <v>0</v>
      </c>
      <c r="P34" s="267">
        <v>0</v>
      </c>
      <c r="Q34" s="267">
        <v>9866.867000000002</v>
      </c>
    </row>
    <row r="35" spans="1:17">
      <c r="A35" s="261" t="s">
        <v>46</v>
      </c>
      <c r="B35" s="262">
        <v>1743.3370000000002</v>
      </c>
      <c r="C35" s="262">
        <v>0</v>
      </c>
      <c r="D35" s="262">
        <v>180.26500000000001</v>
      </c>
      <c r="E35" s="262">
        <v>0</v>
      </c>
      <c r="F35" s="262">
        <v>0</v>
      </c>
      <c r="G35" s="262">
        <v>0</v>
      </c>
      <c r="H35" s="262">
        <v>0</v>
      </c>
      <c r="I35" s="262">
        <v>0</v>
      </c>
      <c r="J35" s="262">
        <v>0</v>
      </c>
      <c r="K35" s="262">
        <v>0</v>
      </c>
      <c r="L35" s="262">
        <v>0</v>
      </c>
      <c r="M35" s="262">
        <v>0</v>
      </c>
      <c r="N35" s="262">
        <v>0</v>
      </c>
      <c r="O35" s="262">
        <v>0</v>
      </c>
      <c r="P35" s="262">
        <v>0</v>
      </c>
      <c r="Q35" s="273">
        <v>1923.6020000000003</v>
      </c>
    </row>
    <row r="36" spans="1:17">
      <c r="A36" s="266" t="s">
        <v>47</v>
      </c>
      <c r="B36" s="267">
        <v>2912.152</v>
      </c>
      <c r="C36" s="267">
        <v>0</v>
      </c>
      <c r="D36" s="267">
        <v>5566.1180000000013</v>
      </c>
      <c r="E36" s="267">
        <v>0</v>
      </c>
      <c r="F36" s="267">
        <v>0</v>
      </c>
      <c r="G36" s="267">
        <v>0</v>
      </c>
      <c r="H36" s="267">
        <v>0</v>
      </c>
      <c r="I36" s="267">
        <v>0</v>
      </c>
      <c r="J36" s="267">
        <v>0</v>
      </c>
      <c r="K36" s="267">
        <v>0</v>
      </c>
      <c r="L36" s="267">
        <v>0</v>
      </c>
      <c r="M36" s="267">
        <v>39.542000000000002</v>
      </c>
      <c r="N36" s="267">
        <v>3272.6570000000002</v>
      </c>
      <c r="O36" s="267">
        <v>0</v>
      </c>
      <c r="P36" s="267">
        <v>0</v>
      </c>
      <c r="Q36" s="267">
        <v>11790.469000000001</v>
      </c>
    </row>
  </sheetData>
  <mergeCells count="12">
    <mergeCell ref="Q4:Q5"/>
    <mergeCell ref="A4:A5"/>
    <mergeCell ref="B4:B5"/>
    <mergeCell ref="C4:C5"/>
    <mergeCell ref="D4:D5"/>
    <mergeCell ref="E4:E5"/>
    <mergeCell ref="F4:F5"/>
    <mergeCell ref="G4:G5"/>
    <mergeCell ref="H4:M4"/>
    <mergeCell ref="N4:N5"/>
    <mergeCell ref="O4:O5"/>
    <mergeCell ref="P4:P5"/>
  </mergeCells>
  <conditionalFormatting sqref="C23:E23 B24:E25 H5:L5 N27:Q27 B27:G27 F23:G25 B19:G22 H19:P25 N9:Q11 C9:G11 H9:M10 O6:Q8 E6:E8 B6:B11 B15:P16 B12:Q14 B26:Q26 Q15:Q25">
    <cfRule type="cellIs" dxfId="31" priority="1" operator="equal">
      <formula>0</formula>
    </cfRule>
  </conditionalFormatting>
  <conditionalFormatting sqref="N6:N11">
    <cfRule type="cellIs" dxfId="30" priority="2" operator="equal">
      <formula>0</formula>
    </cfRule>
  </conditionalFormatting>
  <conditionalFormatting sqref="B6:C11 F6:G11">
    <cfRule type="cellIs" dxfId="29" priority="3" operator="equal">
      <formula>0</formula>
    </cfRule>
  </conditionalFormatting>
  <conditionalFormatting sqref="D6:D11">
    <cfRule type="cellIs" dxfId="28" priority="4" operator="equal">
      <formula>0</formula>
    </cfRule>
  </conditionalFormatting>
  <conditionalFormatting sqref="B23">
    <cfRule type="cellIs" dxfId="27" priority="5" operator="equal">
      <formula>0</formula>
    </cfRule>
  </conditionalFormatting>
  <conditionalFormatting sqref="M5">
    <cfRule type="cellIs" dxfId="26" priority="6" operator="equal">
      <formula>0</formula>
    </cfRule>
  </conditionalFormatting>
  <conditionalFormatting sqref="H9:H11 H27">
    <cfRule type="cellIs" dxfId="25" priority="7" operator="equal">
      <formula>0</formula>
    </cfRule>
  </conditionalFormatting>
  <conditionalFormatting sqref="H6:H11 I6:M6">
    <cfRule type="cellIs" dxfId="24" priority="8" operator="equal">
      <formula>0</formula>
    </cfRule>
  </conditionalFormatting>
  <conditionalFormatting sqref="I9:I11 I27">
    <cfRule type="cellIs" dxfId="23" priority="9" operator="equal">
      <formula>0</formula>
    </cfRule>
  </conditionalFormatting>
  <conditionalFormatting sqref="I6:I11">
    <cfRule type="cellIs" dxfId="22" priority="10" operator="equal">
      <formula>0</formula>
    </cfRule>
  </conditionalFormatting>
  <conditionalFormatting sqref="J9:J11 J27">
    <cfRule type="cellIs" dxfId="21" priority="11" operator="equal">
      <formula>0</formula>
    </cfRule>
  </conditionalFormatting>
  <conditionalFormatting sqref="J6:J11">
    <cfRule type="cellIs" dxfId="20" priority="12" operator="equal">
      <formula>0</formula>
    </cfRule>
  </conditionalFormatting>
  <conditionalFormatting sqref="K9:K11 K27">
    <cfRule type="cellIs" dxfId="19" priority="13" operator="equal">
      <formula>0</formula>
    </cfRule>
  </conditionalFormatting>
  <conditionalFormatting sqref="K6:K11">
    <cfRule type="cellIs" dxfId="18" priority="14" operator="equal">
      <formula>0</formula>
    </cfRule>
  </conditionalFormatting>
  <conditionalFormatting sqref="L9:L11 L27">
    <cfRule type="cellIs" dxfId="17" priority="15" operator="equal">
      <formula>0</formula>
    </cfRule>
  </conditionalFormatting>
  <conditionalFormatting sqref="L6:L11">
    <cfRule type="cellIs" dxfId="16" priority="16" operator="equal">
      <formula>0</formula>
    </cfRule>
  </conditionalFormatting>
  <conditionalFormatting sqref="M9:M11 M27">
    <cfRule type="cellIs" dxfId="15" priority="17" operator="equal">
      <formula>0</formula>
    </cfRule>
  </conditionalFormatting>
  <conditionalFormatting sqref="M6:M11">
    <cfRule type="cellIs" dxfId="14" priority="18" operator="equal">
      <formula>0</formula>
    </cfRule>
  </conditionalFormatting>
  <conditionalFormatting sqref="B14:Q14 B15:P16 B6:Q12 B19:P26 Q15:Q26">
    <cfRule type="expression" dxfId="13" priority="19">
      <formula>LEN(TRIM(B6))=0</formula>
    </cfRule>
  </conditionalFormatting>
  <conditionalFormatting sqref="J9:J10">
    <cfRule type="cellIs" dxfId="12" priority="20" operator="equal">
      <formula>0</formula>
    </cfRule>
  </conditionalFormatting>
  <conditionalFormatting sqref="K9:K10">
    <cfRule type="cellIs" dxfId="11" priority="21" operator="equal">
      <formula>0</formula>
    </cfRule>
  </conditionalFormatting>
  <conditionalFormatting sqref="B17:P18">
    <cfRule type="cellIs" dxfId="10" priority="22" operator="equal">
      <formula>0</formula>
    </cfRule>
  </conditionalFormatting>
  <conditionalFormatting sqref="N17:N18">
    <cfRule type="cellIs" dxfId="9" priority="23" operator="equal">
      <formula>0</formula>
    </cfRule>
  </conditionalFormatting>
  <conditionalFormatting sqref="B17:P18">
    <cfRule type="expression" dxfId="8" priority="24">
      <formula>LEN(TRIM(B17))=0</formula>
    </cfRule>
  </conditionalFormatting>
  <conditionalFormatting sqref="L9:M9">
    <cfRule type="cellIs" dxfId="7" priority="25" operator="equal">
      <formula>0</formula>
    </cfRule>
  </conditionalFormatting>
  <conditionalFormatting sqref="L10:M10">
    <cfRule type="cellIs" dxfId="6" priority="26" operator="equal">
      <formula>0</formula>
    </cfRule>
  </conditionalFormatting>
  <conditionalFormatting sqref="Q28:Q36 B28:P34">
    <cfRule type="cellIs" dxfId="5" priority="27" operator="equal">
      <formula>0</formula>
    </cfRule>
  </conditionalFormatting>
  <conditionalFormatting sqref="B35:P35">
    <cfRule type="cellIs" dxfId="4" priority="28" operator="equal">
      <formula>0</formula>
    </cfRule>
  </conditionalFormatting>
  <conditionalFormatting sqref="B28:Q28 Q29:Q36 B29:P35">
    <cfRule type="expression" dxfId="3" priority="29">
      <formula>LEN(TRIM(B28))=0</formula>
    </cfRule>
  </conditionalFormatting>
  <conditionalFormatting sqref="B35:P35">
    <cfRule type="cellIs" dxfId="2" priority="30" operator="equal">
      <formula>0</formula>
    </cfRule>
  </conditionalFormatting>
  <conditionalFormatting sqref="B36:P36">
    <cfRule type="cellIs" dxfId="1" priority="31" operator="equal">
      <formula>0</formula>
    </cfRule>
  </conditionalFormatting>
  <conditionalFormatting sqref="B36:P36">
    <cfRule type="expression" dxfId="0" priority="32">
      <formula>LEN(TRIM(B36))=0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J290"/>
  <sheetViews>
    <sheetView topLeftCell="A25" workbookViewId="0">
      <selection activeCell="G18" sqref="G18"/>
    </sheetView>
  </sheetViews>
  <sheetFormatPr baseColWidth="10" defaultRowHeight="14.4"/>
  <cols>
    <col min="1" max="16384" width="11.5546875" style="363"/>
  </cols>
  <sheetData>
    <row r="1" spans="1:10" ht="15.6">
      <c r="A1" s="376" t="s">
        <v>468</v>
      </c>
      <c r="B1" s="377"/>
      <c r="C1" s="377"/>
      <c r="D1" s="377"/>
      <c r="E1" s="377"/>
      <c r="F1" s="377"/>
      <c r="G1" s="377"/>
      <c r="H1" s="377"/>
      <c r="I1" s="377"/>
      <c r="J1" s="377"/>
    </row>
    <row r="2" spans="1:10">
      <c r="A2" s="377"/>
      <c r="B2" s="377"/>
      <c r="C2" s="377"/>
      <c r="D2" s="377"/>
      <c r="E2" s="377"/>
      <c r="F2" s="377"/>
      <c r="G2" s="377"/>
      <c r="H2" s="377"/>
      <c r="I2" s="377"/>
      <c r="J2" s="377"/>
    </row>
    <row r="3" spans="1:10">
      <c r="A3" s="377" t="s">
        <v>469</v>
      </c>
      <c r="B3" s="378" t="s">
        <v>470</v>
      </c>
      <c r="C3" s="378" t="s">
        <v>471</v>
      </c>
      <c r="D3" s="378" t="s">
        <v>472</v>
      </c>
      <c r="E3" s="378" t="s">
        <v>25</v>
      </c>
      <c r="F3" s="378" t="s">
        <v>473</v>
      </c>
      <c r="G3" s="378" t="s">
        <v>20</v>
      </c>
      <c r="H3" s="378" t="s">
        <v>361</v>
      </c>
      <c r="I3" s="378" t="s">
        <v>387</v>
      </c>
      <c r="J3" s="378" t="s">
        <v>23</v>
      </c>
    </row>
    <row r="4" spans="1:10">
      <c r="A4" s="379" t="s">
        <v>474</v>
      </c>
      <c r="B4" s="379"/>
      <c r="C4" s="379"/>
      <c r="D4" s="379"/>
      <c r="E4" s="379">
        <v>26.2</v>
      </c>
      <c r="F4" s="379">
        <v>17.100000000000001</v>
      </c>
      <c r="G4" s="379"/>
      <c r="H4" s="379">
        <v>3.4</v>
      </c>
      <c r="I4" s="379">
        <v>0</v>
      </c>
      <c r="J4" s="379">
        <v>46.7</v>
      </c>
    </row>
    <row r="5" spans="1:10">
      <c r="A5" s="377" t="s">
        <v>475</v>
      </c>
      <c r="B5" s="377">
        <v>693.8</v>
      </c>
      <c r="C5" s="377">
        <v>842.5</v>
      </c>
      <c r="D5" s="377"/>
      <c r="E5" s="377"/>
      <c r="F5" s="377"/>
      <c r="G5" s="377"/>
      <c r="H5" s="377"/>
      <c r="I5" s="377"/>
      <c r="J5" s="380">
        <v>1536.4</v>
      </c>
    </row>
    <row r="6" spans="1:10">
      <c r="A6" s="377" t="s">
        <v>476</v>
      </c>
      <c r="B6" s="377"/>
      <c r="C6" s="377">
        <v>0</v>
      </c>
      <c r="D6" s="377"/>
      <c r="E6" s="377"/>
      <c r="F6" s="377"/>
      <c r="G6" s="377"/>
      <c r="H6" s="377"/>
      <c r="I6" s="377"/>
      <c r="J6" s="380">
        <v>0</v>
      </c>
    </row>
    <row r="7" spans="1:10">
      <c r="A7" s="377" t="s">
        <v>477</v>
      </c>
      <c r="B7" s="377"/>
      <c r="C7" s="377">
        <v>-21.7</v>
      </c>
      <c r="D7" s="377"/>
      <c r="E7" s="377"/>
      <c r="F7" s="377"/>
      <c r="G7" s="377"/>
      <c r="H7" s="377"/>
      <c r="I7" s="377"/>
      <c r="J7" s="380">
        <v>-21.7</v>
      </c>
    </row>
    <row r="8" spans="1:10">
      <c r="A8" s="377" t="s">
        <v>478</v>
      </c>
      <c r="B8" s="377">
        <v>-34.4</v>
      </c>
      <c r="C8" s="377">
        <v>-33.799999999999997</v>
      </c>
      <c r="D8" s="377">
        <v>0</v>
      </c>
      <c r="E8" s="377"/>
      <c r="F8" s="377"/>
      <c r="G8" s="377"/>
      <c r="H8" s="377"/>
      <c r="I8" s="377"/>
      <c r="J8" s="380">
        <v>-68.099999999999994</v>
      </c>
    </row>
    <row r="9" spans="1:10">
      <c r="A9" s="379" t="s">
        <v>33</v>
      </c>
      <c r="B9" s="379">
        <v>659.5</v>
      </c>
      <c r="C9" s="379">
        <v>787.1</v>
      </c>
      <c r="D9" s="379">
        <v>0</v>
      </c>
      <c r="E9" s="379">
        <v>26.2</v>
      </c>
      <c r="F9" s="379">
        <v>17.100000000000001</v>
      </c>
      <c r="G9" s="379"/>
      <c r="H9" s="379">
        <v>3.4</v>
      </c>
      <c r="I9" s="379">
        <v>0</v>
      </c>
      <c r="J9" s="379">
        <v>1493.3</v>
      </c>
    </row>
    <row r="10" spans="1:10">
      <c r="A10" s="377" t="s">
        <v>479</v>
      </c>
      <c r="B10" s="377">
        <v>-457.5</v>
      </c>
      <c r="C10" s="377">
        <v>-352.8</v>
      </c>
      <c r="D10" s="377"/>
      <c r="E10" s="377">
        <v>-26.2</v>
      </c>
      <c r="F10" s="377">
        <v>-17.100000000000001</v>
      </c>
      <c r="G10" s="377">
        <v>278</v>
      </c>
      <c r="H10" s="377"/>
      <c r="I10" s="377">
        <v>0</v>
      </c>
      <c r="J10" s="380">
        <v>-575.6</v>
      </c>
    </row>
    <row r="11" spans="1:10">
      <c r="A11" s="377" t="s">
        <v>480</v>
      </c>
      <c r="B11" s="377">
        <v>-18.8</v>
      </c>
      <c r="C11" s="377">
        <v>-9</v>
      </c>
      <c r="D11" s="377">
        <v>0</v>
      </c>
      <c r="E11" s="377"/>
      <c r="F11" s="377"/>
      <c r="G11" s="377"/>
      <c r="H11" s="377"/>
      <c r="I11" s="377"/>
      <c r="J11" s="380">
        <v>-27.8</v>
      </c>
    </row>
    <row r="12" spans="1:10">
      <c r="A12" s="377" t="s">
        <v>481</v>
      </c>
      <c r="B12" s="377"/>
      <c r="C12" s="377"/>
      <c r="D12" s="377"/>
      <c r="E12" s="377"/>
      <c r="F12" s="377"/>
      <c r="G12" s="377">
        <v>-5.8</v>
      </c>
      <c r="H12" s="377"/>
      <c r="I12" s="377"/>
      <c r="J12" s="380">
        <v>-5.8</v>
      </c>
    </row>
    <row r="13" spans="1:10">
      <c r="A13" s="379" t="s">
        <v>47</v>
      </c>
      <c r="B13" s="379">
        <v>220.8</v>
      </c>
      <c r="C13" s="379">
        <v>443.4</v>
      </c>
      <c r="D13" s="379"/>
      <c r="E13" s="379"/>
      <c r="F13" s="379"/>
      <c r="G13" s="379">
        <v>272.3</v>
      </c>
      <c r="H13" s="379">
        <v>3.4</v>
      </c>
      <c r="I13" s="379"/>
      <c r="J13" s="379">
        <v>939.8</v>
      </c>
    </row>
    <row r="14" spans="1:10">
      <c r="A14" s="381" t="s">
        <v>482</v>
      </c>
      <c r="B14" s="381">
        <v>94.5</v>
      </c>
      <c r="C14" s="381">
        <v>427.6</v>
      </c>
      <c r="D14" s="381"/>
      <c r="E14" s="381"/>
      <c r="F14" s="381"/>
      <c r="G14" s="381">
        <v>272.3</v>
      </c>
      <c r="H14" s="381">
        <v>3.4</v>
      </c>
      <c r="I14" s="381"/>
      <c r="J14" s="382">
        <v>797.7</v>
      </c>
    </row>
    <row r="15" spans="1:10">
      <c r="A15" s="377" t="s">
        <v>41</v>
      </c>
      <c r="B15" s="377">
        <v>94.5</v>
      </c>
      <c r="C15" s="377">
        <v>203.9</v>
      </c>
      <c r="D15" s="377"/>
      <c r="E15" s="377"/>
      <c r="F15" s="377"/>
      <c r="G15" s="377">
        <v>215.5</v>
      </c>
      <c r="H15" s="377"/>
      <c r="I15" s="377"/>
      <c r="J15" s="380">
        <v>513.9</v>
      </c>
    </row>
    <row r="16" spans="1:10">
      <c r="A16" s="383" t="s">
        <v>483</v>
      </c>
      <c r="B16" s="383">
        <v>94.5</v>
      </c>
      <c r="C16" s="383">
        <v>124</v>
      </c>
      <c r="D16" s="383"/>
      <c r="E16" s="383"/>
      <c r="F16" s="383"/>
      <c r="G16" s="383">
        <v>204.8</v>
      </c>
      <c r="H16" s="383"/>
      <c r="I16" s="383"/>
      <c r="J16" s="384">
        <v>423.3</v>
      </c>
    </row>
    <row r="17" spans="1:10">
      <c r="A17" s="383" t="s">
        <v>484</v>
      </c>
      <c r="B17" s="383"/>
      <c r="C17" s="383">
        <v>69</v>
      </c>
      <c r="D17" s="383"/>
      <c r="E17" s="383"/>
      <c r="F17" s="383"/>
      <c r="G17" s="383">
        <v>2.7</v>
      </c>
      <c r="H17" s="383"/>
      <c r="I17" s="383"/>
      <c r="J17" s="384">
        <v>71.7</v>
      </c>
    </row>
    <row r="18" spans="1:10">
      <c r="A18" s="383" t="s">
        <v>485</v>
      </c>
      <c r="B18" s="383"/>
      <c r="C18" s="383">
        <v>10.8</v>
      </c>
      <c r="D18" s="383"/>
      <c r="E18" s="383"/>
      <c r="F18" s="383"/>
      <c r="G18" s="383">
        <v>8</v>
      </c>
      <c r="H18" s="383"/>
      <c r="I18" s="383"/>
      <c r="J18" s="384">
        <v>18.899999999999999</v>
      </c>
    </row>
    <row r="19" spans="1:10">
      <c r="A19" s="377" t="s">
        <v>42</v>
      </c>
      <c r="B19" s="377"/>
      <c r="C19" s="377">
        <v>203.8</v>
      </c>
      <c r="D19" s="377"/>
      <c r="E19" s="377"/>
      <c r="F19" s="377"/>
      <c r="G19" s="377"/>
      <c r="H19" s="377"/>
      <c r="I19" s="377"/>
      <c r="J19" s="380">
        <v>203.8</v>
      </c>
    </row>
    <row r="20" spans="1:10">
      <c r="A20" s="383" t="s">
        <v>486</v>
      </c>
      <c r="B20" s="383"/>
      <c r="C20" s="383">
        <v>182.5</v>
      </c>
      <c r="D20" s="383"/>
      <c r="E20" s="383"/>
      <c r="F20" s="383"/>
      <c r="G20" s="383"/>
      <c r="H20" s="383"/>
      <c r="I20" s="383"/>
      <c r="J20" s="384">
        <v>182.5</v>
      </c>
    </row>
    <row r="21" spans="1:10">
      <c r="A21" s="383" t="s">
        <v>487</v>
      </c>
      <c r="B21" s="383"/>
      <c r="C21" s="383">
        <v>5.4</v>
      </c>
      <c r="D21" s="383"/>
      <c r="E21" s="383"/>
      <c r="F21" s="383"/>
      <c r="G21" s="383"/>
      <c r="H21" s="383"/>
      <c r="I21" s="383"/>
      <c r="J21" s="384">
        <v>5.4</v>
      </c>
    </row>
    <row r="22" spans="1:10">
      <c r="A22" s="383" t="s">
        <v>488</v>
      </c>
      <c r="B22" s="383"/>
      <c r="C22" s="383">
        <v>15.9</v>
      </c>
      <c r="D22" s="383"/>
      <c r="E22" s="383"/>
      <c r="F22" s="383"/>
      <c r="G22" s="383"/>
      <c r="H22" s="383"/>
      <c r="I22" s="383"/>
      <c r="J22" s="384">
        <v>15.9</v>
      </c>
    </row>
    <row r="23" spans="1:10">
      <c r="A23" s="377" t="s">
        <v>489</v>
      </c>
      <c r="B23" s="377"/>
      <c r="C23" s="377">
        <v>14</v>
      </c>
      <c r="D23" s="377"/>
      <c r="E23" s="377"/>
      <c r="F23" s="377"/>
      <c r="G23" s="377">
        <v>56.7</v>
      </c>
      <c r="H23" s="377">
        <v>3.4</v>
      </c>
      <c r="I23" s="377"/>
      <c r="J23" s="380">
        <v>74.099999999999994</v>
      </c>
    </row>
    <row r="24" spans="1:10">
      <c r="A24" s="377" t="s">
        <v>490</v>
      </c>
      <c r="B24" s="377"/>
      <c r="C24" s="377">
        <v>5.9</v>
      </c>
      <c r="D24" s="377"/>
      <c r="E24" s="377"/>
      <c r="F24" s="377"/>
      <c r="G24" s="377"/>
      <c r="H24" s="377"/>
      <c r="I24" s="377"/>
      <c r="J24" s="380">
        <v>5.9</v>
      </c>
    </row>
    <row r="25" spans="1:10">
      <c r="A25" s="381" t="s">
        <v>491</v>
      </c>
      <c r="B25" s="381">
        <v>126.3</v>
      </c>
      <c r="C25" s="381">
        <v>15.8</v>
      </c>
      <c r="D25" s="381"/>
      <c r="E25" s="381"/>
      <c r="F25" s="381"/>
      <c r="G25" s="381"/>
      <c r="H25" s="381"/>
      <c r="I25" s="381"/>
      <c r="J25" s="382">
        <v>142.1</v>
      </c>
    </row>
    <row r="26" spans="1:10">
      <c r="A26" s="377"/>
      <c r="B26" s="377"/>
      <c r="C26" s="377"/>
      <c r="D26" s="377"/>
      <c r="E26" s="377"/>
      <c r="F26" s="377"/>
      <c r="G26" s="377"/>
      <c r="H26" s="377"/>
      <c r="I26" s="377"/>
      <c r="J26" s="377"/>
    </row>
    <row r="27" spans="1:10" ht="15.6">
      <c r="A27" s="376" t="s">
        <v>492</v>
      </c>
      <c r="B27" s="377"/>
      <c r="C27" s="377"/>
      <c r="D27" s="377"/>
      <c r="E27" s="377"/>
      <c r="F27" s="377"/>
      <c r="G27" s="377"/>
      <c r="H27" s="377"/>
      <c r="I27" s="377"/>
      <c r="J27" s="377"/>
    </row>
    <row r="28" spans="1:10">
      <c r="A28" s="377"/>
      <c r="B28" s="377"/>
      <c r="C28" s="377"/>
      <c r="D28" s="377"/>
      <c r="E28" s="377"/>
      <c r="F28" s="377"/>
      <c r="G28" s="377"/>
      <c r="H28" s="377"/>
      <c r="I28" s="377"/>
      <c r="J28" s="377"/>
    </row>
    <row r="29" spans="1:10">
      <c r="A29" s="377" t="s">
        <v>469</v>
      </c>
      <c r="B29" s="378" t="s">
        <v>470</v>
      </c>
      <c r="C29" s="378" t="s">
        <v>471</v>
      </c>
      <c r="D29" s="378" t="s">
        <v>472</v>
      </c>
      <c r="E29" s="378" t="s">
        <v>25</v>
      </c>
      <c r="F29" s="378" t="s">
        <v>473</v>
      </c>
      <c r="G29" s="378" t="s">
        <v>20</v>
      </c>
      <c r="H29" s="378" t="s">
        <v>361</v>
      </c>
      <c r="I29" s="378" t="s">
        <v>387</v>
      </c>
      <c r="J29" s="378" t="s">
        <v>23</v>
      </c>
    </row>
    <row r="30" spans="1:10">
      <c r="A30" s="379" t="s">
        <v>474</v>
      </c>
      <c r="B30" s="379"/>
      <c r="C30" s="379"/>
      <c r="D30" s="379"/>
      <c r="E30" s="379">
        <v>24.5</v>
      </c>
      <c r="F30" s="379">
        <v>14.9</v>
      </c>
      <c r="G30" s="379"/>
      <c r="H30" s="379">
        <v>3.4</v>
      </c>
      <c r="I30" s="379">
        <v>0</v>
      </c>
      <c r="J30" s="379">
        <v>42.8</v>
      </c>
    </row>
    <row r="31" spans="1:10">
      <c r="A31" s="377" t="s">
        <v>475</v>
      </c>
      <c r="B31" s="377">
        <v>719.9</v>
      </c>
      <c r="C31" s="377">
        <v>904.3</v>
      </c>
      <c r="D31" s="377"/>
      <c r="E31" s="377"/>
      <c r="F31" s="377"/>
      <c r="G31" s="377"/>
      <c r="H31" s="377"/>
      <c r="I31" s="377"/>
      <c r="J31" s="380">
        <v>1624.3</v>
      </c>
    </row>
    <row r="32" spans="1:10">
      <c r="A32" s="377" t="s">
        <v>476</v>
      </c>
      <c r="B32" s="377"/>
      <c r="C32" s="377">
        <v>0</v>
      </c>
      <c r="D32" s="377"/>
      <c r="E32" s="377"/>
      <c r="F32" s="377"/>
      <c r="G32" s="377"/>
      <c r="H32" s="377"/>
      <c r="I32" s="377"/>
      <c r="J32" s="380">
        <v>0</v>
      </c>
    </row>
    <row r="33" spans="1:10">
      <c r="A33" s="377" t="s">
        <v>477</v>
      </c>
      <c r="B33" s="377"/>
      <c r="C33" s="377">
        <v>-38.200000000000003</v>
      </c>
      <c r="D33" s="377"/>
      <c r="E33" s="377"/>
      <c r="F33" s="377"/>
      <c r="G33" s="377"/>
      <c r="H33" s="377"/>
      <c r="I33" s="377"/>
      <c r="J33" s="380">
        <v>-38.200000000000003</v>
      </c>
    </row>
    <row r="34" spans="1:10">
      <c r="A34" s="377" t="s">
        <v>478</v>
      </c>
      <c r="B34" s="377">
        <v>19</v>
      </c>
      <c r="C34" s="377">
        <v>-2.6</v>
      </c>
      <c r="D34" s="377">
        <v>0</v>
      </c>
      <c r="E34" s="377"/>
      <c r="F34" s="377"/>
      <c r="G34" s="377"/>
      <c r="H34" s="377"/>
      <c r="I34" s="377"/>
      <c r="J34" s="380">
        <v>16.399999999999999</v>
      </c>
    </row>
    <row r="35" spans="1:10">
      <c r="A35" s="379" t="s">
        <v>33</v>
      </c>
      <c r="B35" s="379">
        <v>738.9</v>
      </c>
      <c r="C35" s="379">
        <v>863.5</v>
      </c>
      <c r="D35" s="379">
        <v>0</v>
      </c>
      <c r="E35" s="379">
        <v>24.5</v>
      </c>
      <c r="F35" s="379">
        <v>14.9</v>
      </c>
      <c r="G35" s="379"/>
      <c r="H35" s="379">
        <v>3.4</v>
      </c>
      <c r="I35" s="379">
        <v>0</v>
      </c>
      <c r="J35" s="379">
        <v>1645.2</v>
      </c>
    </row>
    <row r="36" spans="1:10">
      <c r="A36" s="377" t="s">
        <v>479</v>
      </c>
      <c r="B36" s="377">
        <v>-506.7</v>
      </c>
      <c r="C36" s="377">
        <v>-390.3</v>
      </c>
      <c r="D36" s="377"/>
      <c r="E36" s="377">
        <v>-24.5</v>
      </c>
      <c r="F36" s="377">
        <v>-14.9</v>
      </c>
      <c r="G36" s="377">
        <v>286.7</v>
      </c>
      <c r="H36" s="377"/>
      <c r="I36" s="377">
        <v>0</v>
      </c>
      <c r="J36" s="380">
        <v>-649.79999999999995</v>
      </c>
    </row>
    <row r="37" spans="1:10">
      <c r="A37" s="377" t="s">
        <v>480</v>
      </c>
      <c r="B37" s="377">
        <v>-18.2</v>
      </c>
      <c r="C37" s="377">
        <v>-5.3</v>
      </c>
      <c r="D37" s="377">
        <v>0</v>
      </c>
      <c r="E37" s="377"/>
      <c r="F37" s="377"/>
      <c r="G37" s="377"/>
      <c r="H37" s="377"/>
      <c r="I37" s="377"/>
      <c r="J37" s="380">
        <v>-23.5</v>
      </c>
    </row>
    <row r="38" spans="1:10">
      <c r="A38" s="377" t="s">
        <v>481</v>
      </c>
      <c r="B38" s="377"/>
      <c r="C38" s="377"/>
      <c r="D38" s="377"/>
      <c r="E38" s="377"/>
      <c r="F38" s="377"/>
      <c r="G38" s="377">
        <v>-5.2</v>
      </c>
      <c r="H38" s="377"/>
      <c r="I38" s="377"/>
      <c r="J38" s="380">
        <v>-5.2</v>
      </c>
    </row>
    <row r="39" spans="1:10">
      <c r="A39" s="379" t="s">
        <v>47</v>
      </c>
      <c r="B39" s="379">
        <v>250.4</v>
      </c>
      <c r="C39" s="379">
        <v>478.5</v>
      </c>
      <c r="D39" s="379"/>
      <c r="E39" s="379"/>
      <c r="F39" s="379"/>
      <c r="G39" s="379">
        <v>281.5</v>
      </c>
      <c r="H39" s="379">
        <v>3.4</v>
      </c>
      <c r="I39" s="379"/>
      <c r="J39" s="379">
        <v>1013.7</v>
      </c>
    </row>
    <row r="40" spans="1:10">
      <c r="A40" s="381" t="s">
        <v>482</v>
      </c>
      <c r="B40" s="381">
        <v>100.5</v>
      </c>
      <c r="C40" s="381">
        <v>463.1</v>
      </c>
      <c r="D40" s="381"/>
      <c r="E40" s="381"/>
      <c r="F40" s="381"/>
      <c r="G40" s="381">
        <v>281.5</v>
      </c>
      <c r="H40" s="381">
        <v>3.4</v>
      </c>
      <c r="I40" s="381"/>
      <c r="J40" s="382">
        <v>848.3</v>
      </c>
    </row>
    <row r="41" spans="1:10">
      <c r="A41" s="377" t="s">
        <v>41</v>
      </c>
      <c r="B41" s="377">
        <v>100.5</v>
      </c>
      <c r="C41" s="377">
        <v>229.8</v>
      </c>
      <c r="D41" s="377"/>
      <c r="E41" s="377"/>
      <c r="F41" s="377"/>
      <c r="G41" s="377">
        <v>223.9</v>
      </c>
      <c r="H41" s="377"/>
      <c r="I41" s="377"/>
      <c r="J41" s="380">
        <v>554.20000000000005</v>
      </c>
    </row>
    <row r="42" spans="1:10">
      <c r="A42" s="383" t="s">
        <v>483</v>
      </c>
      <c r="B42" s="383">
        <v>100.5</v>
      </c>
      <c r="C42" s="383">
        <v>146.69999999999999</v>
      </c>
      <c r="D42" s="383"/>
      <c r="E42" s="383"/>
      <c r="F42" s="383"/>
      <c r="G42" s="383">
        <v>213</v>
      </c>
      <c r="H42" s="383"/>
      <c r="I42" s="383"/>
      <c r="J42" s="384">
        <v>460.2</v>
      </c>
    </row>
    <row r="43" spans="1:10">
      <c r="A43" s="383" t="s">
        <v>484</v>
      </c>
      <c r="B43" s="383"/>
      <c r="C43" s="383">
        <v>70.2</v>
      </c>
      <c r="D43" s="383"/>
      <c r="E43" s="383"/>
      <c r="F43" s="383"/>
      <c r="G43" s="383">
        <v>2.7</v>
      </c>
      <c r="H43" s="383"/>
      <c r="I43" s="383"/>
      <c r="J43" s="384">
        <v>72.900000000000006</v>
      </c>
    </row>
    <row r="44" spans="1:10">
      <c r="A44" s="383" t="s">
        <v>485</v>
      </c>
      <c r="B44" s="383"/>
      <c r="C44" s="383">
        <v>12.8</v>
      </c>
      <c r="D44" s="383"/>
      <c r="E44" s="383"/>
      <c r="F44" s="383"/>
      <c r="G44" s="383">
        <v>8.3000000000000007</v>
      </c>
      <c r="H44" s="383"/>
      <c r="I44" s="383"/>
      <c r="J44" s="384">
        <v>21.1</v>
      </c>
    </row>
    <row r="45" spans="1:10">
      <c r="A45" s="377" t="s">
        <v>42</v>
      </c>
      <c r="B45" s="377"/>
      <c r="C45" s="377">
        <v>215.4</v>
      </c>
      <c r="D45" s="377"/>
      <c r="E45" s="377"/>
      <c r="F45" s="377"/>
      <c r="G45" s="377"/>
      <c r="H45" s="377"/>
      <c r="I45" s="377"/>
      <c r="J45" s="380">
        <v>215.4</v>
      </c>
    </row>
    <row r="46" spans="1:10">
      <c r="A46" s="383" t="s">
        <v>486</v>
      </c>
      <c r="B46" s="383"/>
      <c r="C46" s="383">
        <v>191.6</v>
      </c>
      <c r="D46" s="383"/>
      <c r="E46" s="383"/>
      <c r="F46" s="383"/>
      <c r="G46" s="383"/>
      <c r="H46" s="383"/>
      <c r="I46" s="383"/>
      <c r="J46" s="384">
        <v>191.6</v>
      </c>
    </row>
    <row r="47" spans="1:10">
      <c r="A47" s="383" t="s">
        <v>487</v>
      </c>
      <c r="B47" s="383"/>
      <c r="C47" s="383">
        <v>6.2</v>
      </c>
      <c r="D47" s="383"/>
      <c r="E47" s="383"/>
      <c r="F47" s="383"/>
      <c r="G47" s="383"/>
      <c r="H47" s="383"/>
      <c r="I47" s="383"/>
      <c r="J47" s="384">
        <v>6.2</v>
      </c>
    </row>
    <row r="48" spans="1:10">
      <c r="A48" s="383" t="s">
        <v>488</v>
      </c>
      <c r="B48" s="383"/>
      <c r="C48" s="383">
        <v>17.600000000000001</v>
      </c>
      <c r="D48" s="383"/>
      <c r="E48" s="383"/>
      <c r="F48" s="383"/>
      <c r="G48" s="383"/>
      <c r="H48" s="383"/>
      <c r="I48" s="383"/>
      <c r="J48" s="384">
        <v>17.600000000000001</v>
      </c>
    </row>
    <row r="49" spans="1:10">
      <c r="A49" s="377" t="s">
        <v>489</v>
      </c>
      <c r="B49" s="377"/>
      <c r="C49" s="377">
        <v>12.5</v>
      </c>
      <c r="D49" s="377"/>
      <c r="E49" s="377"/>
      <c r="F49" s="377"/>
      <c r="G49" s="377">
        <v>57.5</v>
      </c>
      <c r="H49" s="377">
        <v>3.4</v>
      </c>
      <c r="I49" s="377"/>
      <c r="J49" s="380">
        <v>73.400000000000006</v>
      </c>
    </row>
    <row r="50" spans="1:10">
      <c r="A50" s="377" t="s">
        <v>490</v>
      </c>
      <c r="B50" s="377"/>
      <c r="C50" s="377">
        <v>5.4</v>
      </c>
      <c r="D50" s="377"/>
      <c r="E50" s="377"/>
      <c r="F50" s="377"/>
      <c r="G50" s="377"/>
      <c r="H50" s="377"/>
      <c r="I50" s="377"/>
      <c r="J50" s="380">
        <v>5.4</v>
      </c>
    </row>
    <row r="51" spans="1:10">
      <c r="A51" s="381" t="s">
        <v>491</v>
      </c>
      <c r="B51" s="381">
        <v>149.9</v>
      </c>
      <c r="C51" s="381">
        <v>15.5</v>
      </c>
      <c r="D51" s="381"/>
      <c r="E51" s="381"/>
      <c r="F51" s="381"/>
      <c r="G51" s="381"/>
      <c r="H51" s="381"/>
      <c r="I51" s="381"/>
      <c r="J51" s="382">
        <v>165.4</v>
      </c>
    </row>
    <row r="52" spans="1:10">
      <c r="A52" s="377"/>
      <c r="B52" s="377"/>
      <c r="C52" s="377"/>
      <c r="D52" s="377"/>
      <c r="E52" s="377"/>
      <c r="F52" s="377"/>
      <c r="G52" s="377"/>
      <c r="H52" s="377"/>
      <c r="I52" s="377"/>
      <c r="J52" s="377"/>
    </row>
    <row r="53" spans="1:10" ht="15.6">
      <c r="A53" s="376" t="s">
        <v>493</v>
      </c>
      <c r="B53" s="377"/>
      <c r="C53" s="377"/>
      <c r="D53" s="377"/>
      <c r="E53" s="377"/>
      <c r="F53" s="377"/>
      <c r="G53" s="377"/>
      <c r="H53" s="377"/>
      <c r="I53" s="377"/>
      <c r="J53" s="377"/>
    </row>
    <row r="54" spans="1:10">
      <c r="A54" s="377"/>
      <c r="B54" s="377"/>
      <c r="C54" s="377"/>
      <c r="D54" s="377"/>
      <c r="E54" s="377"/>
      <c r="F54" s="377"/>
      <c r="G54" s="377"/>
      <c r="H54" s="377"/>
      <c r="I54" s="377"/>
      <c r="J54" s="377"/>
    </row>
    <row r="55" spans="1:10">
      <c r="A55" s="377" t="s">
        <v>469</v>
      </c>
      <c r="B55" s="378" t="s">
        <v>470</v>
      </c>
      <c r="C55" s="378" t="s">
        <v>471</v>
      </c>
      <c r="D55" s="378" t="s">
        <v>472</v>
      </c>
      <c r="E55" s="378" t="s">
        <v>25</v>
      </c>
      <c r="F55" s="378" t="s">
        <v>473</v>
      </c>
      <c r="G55" s="378" t="s">
        <v>20</v>
      </c>
      <c r="H55" s="378" t="s">
        <v>361</v>
      </c>
      <c r="I55" s="378" t="s">
        <v>387</v>
      </c>
      <c r="J55" s="378" t="s">
        <v>23</v>
      </c>
    </row>
    <row r="56" spans="1:10">
      <c r="A56" s="379" t="s">
        <v>474</v>
      </c>
      <c r="B56" s="379"/>
      <c r="C56" s="379"/>
      <c r="D56" s="379"/>
      <c r="E56" s="379">
        <v>27.3</v>
      </c>
      <c r="F56" s="379">
        <v>7.9</v>
      </c>
      <c r="G56" s="379"/>
      <c r="H56" s="379">
        <v>3.4</v>
      </c>
      <c r="I56" s="379">
        <v>0.1</v>
      </c>
      <c r="J56" s="379">
        <v>38.6</v>
      </c>
    </row>
    <row r="57" spans="1:10">
      <c r="A57" s="377" t="s">
        <v>475</v>
      </c>
      <c r="B57" s="377">
        <v>785.3</v>
      </c>
      <c r="C57" s="377">
        <v>952.6</v>
      </c>
      <c r="D57" s="377"/>
      <c r="E57" s="377"/>
      <c r="F57" s="377"/>
      <c r="G57" s="377"/>
      <c r="H57" s="377"/>
      <c r="I57" s="377"/>
      <c r="J57" s="380">
        <v>1737.9</v>
      </c>
    </row>
    <row r="58" spans="1:10">
      <c r="A58" s="377" t="s">
        <v>476</v>
      </c>
      <c r="B58" s="377"/>
      <c r="C58" s="377">
        <v>0</v>
      </c>
      <c r="D58" s="377"/>
      <c r="E58" s="377"/>
      <c r="F58" s="377"/>
      <c r="G58" s="377"/>
      <c r="H58" s="377"/>
      <c r="I58" s="377"/>
      <c r="J58" s="380">
        <v>0</v>
      </c>
    </row>
    <row r="59" spans="1:10">
      <c r="A59" s="377" t="s">
        <v>477</v>
      </c>
      <c r="B59" s="377"/>
      <c r="C59" s="377">
        <v>-40.700000000000003</v>
      </c>
      <c r="D59" s="377"/>
      <c r="E59" s="377"/>
      <c r="F59" s="377"/>
      <c r="G59" s="377"/>
      <c r="H59" s="377"/>
      <c r="I59" s="377"/>
      <c r="J59" s="380">
        <v>-40.700000000000003</v>
      </c>
    </row>
    <row r="60" spans="1:10">
      <c r="A60" s="377" t="s">
        <v>478</v>
      </c>
      <c r="B60" s="377">
        <v>-42.5</v>
      </c>
      <c r="C60" s="377">
        <v>10.9</v>
      </c>
      <c r="D60" s="377">
        <v>0</v>
      </c>
      <c r="E60" s="377"/>
      <c r="F60" s="377"/>
      <c r="G60" s="377"/>
      <c r="H60" s="377"/>
      <c r="I60" s="377"/>
      <c r="J60" s="380">
        <v>-31.6</v>
      </c>
    </row>
    <row r="61" spans="1:10">
      <c r="A61" s="379" t="s">
        <v>33</v>
      </c>
      <c r="B61" s="379">
        <v>742.8</v>
      </c>
      <c r="C61" s="379">
        <v>922.8</v>
      </c>
      <c r="D61" s="379">
        <v>0</v>
      </c>
      <c r="E61" s="379">
        <v>27.3</v>
      </c>
      <c r="F61" s="379">
        <v>7.9</v>
      </c>
      <c r="G61" s="379"/>
      <c r="H61" s="379">
        <v>3.4</v>
      </c>
      <c r="I61" s="379">
        <v>0.1</v>
      </c>
      <c r="J61" s="379">
        <v>1704.1</v>
      </c>
    </row>
    <row r="62" spans="1:10">
      <c r="A62" s="377" t="s">
        <v>479</v>
      </c>
      <c r="B62" s="377">
        <v>-457.4</v>
      </c>
      <c r="C62" s="377">
        <v>-475.6</v>
      </c>
      <c r="D62" s="377"/>
      <c r="E62" s="377">
        <v>-27.3</v>
      </c>
      <c r="F62" s="377">
        <v>-7.9</v>
      </c>
      <c r="G62" s="377">
        <v>299.8</v>
      </c>
      <c r="H62" s="377"/>
      <c r="I62" s="377">
        <v>-0.1</v>
      </c>
      <c r="J62" s="380">
        <v>-668.4</v>
      </c>
    </row>
    <row r="63" spans="1:10">
      <c r="A63" s="377" t="s">
        <v>480</v>
      </c>
      <c r="B63" s="377">
        <v>4</v>
      </c>
      <c r="C63" s="377">
        <v>-12.7</v>
      </c>
      <c r="D63" s="377">
        <v>0</v>
      </c>
      <c r="E63" s="377"/>
      <c r="F63" s="377"/>
      <c r="G63" s="377"/>
      <c r="H63" s="377"/>
      <c r="I63" s="377"/>
      <c r="J63" s="380">
        <v>-8.6999999999999993</v>
      </c>
    </row>
    <row r="64" spans="1:10">
      <c r="A64" s="377" t="s">
        <v>481</v>
      </c>
      <c r="B64" s="377"/>
      <c r="C64" s="377"/>
      <c r="D64" s="377"/>
      <c r="E64" s="377"/>
      <c r="F64" s="377"/>
      <c r="G64" s="377">
        <v>-5.6</v>
      </c>
      <c r="H64" s="377"/>
      <c r="I64" s="377"/>
      <c r="J64" s="380">
        <v>-5.6</v>
      </c>
    </row>
    <row r="65" spans="1:10">
      <c r="A65" s="379" t="s">
        <v>47</v>
      </c>
      <c r="B65" s="379">
        <v>281.39999999999998</v>
      </c>
      <c r="C65" s="379">
        <v>459.9</v>
      </c>
      <c r="D65" s="379"/>
      <c r="E65" s="379"/>
      <c r="F65" s="379"/>
      <c r="G65" s="379">
        <v>294.2</v>
      </c>
      <c r="H65" s="379">
        <v>3.4</v>
      </c>
      <c r="I65" s="379"/>
      <c r="J65" s="379">
        <v>1038.8</v>
      </c>
    </row>
    <row r="66" spans="1:10">
      <c r="A66" s="381" t="s">
        <v>482</v>
      </c>
      <c r="B66" s="381">
        <v>117</v>
      </c>
      <c r="C66" s="381">
        <v>456.9</v>
      </c>
      <c r="D66" s="381"/>
      <c r="E66" s="381"/>
      <c r="F66" s="381"/>
      <c r="G66" s="381">
        <v>294.2</v>
      </c>
      <c r="H66" s="381">
        <v>3.4</v>
      </c>
      <c r="I66" s="381"/>
      <c r="J66" s="382">
        <v>871.4</v>
      </c>
    </row>
    <row r="67" spans="1:10">
      <c r="A67" s="377" t="s">
        <v>41</v>
      </c>
      <c r="B67" s="377">
        <v>117</v>
      </c>
      <c r="C67" s="377">
        <v>219.9</v>
      </c>
      <c r="D67" s="377"/>
      <c r="E67" s="377"/>
      <c r="F67" s="377"/>
      <c r="G67" s="377">
        <v>236</v>
      </c>
      <c r="H67" s="377"/>
      <c r="I67" s="377"/>
      <c r="J67" s="380">
        <v>572.9</v>
      </c>
    </row>
    <row r="68" spans="1:10">
      <c r="A68" s="383" t="s">
        <v>483</v>
      </c>
      <c r="B68" s="383">
        <v>117</v>
      </c>
      <c r="C68" s="383">
        <v>135.1</v>
      </c>
      <c r="D68" s="383"/>
      <c r="E68" s="383"/>
      <c r="F68" s="383"/>
      <c r="G68" s="383">
        <v>225.1</v>
      </c>
      <c r="H68" s="383"/>
      <c r="I68" s="383"/>
      <c r="J68" s="384">
        <v>477.1</v>
      </c>
    </row>
    <row r="69" spans="1:10">
      <c r="A69" s="383" t="s">
        <v>484</v>
      </c>
      <c r="B69" s="383"/>
      <c r="C69" s="383">
        <v>71.099999999999994</v>
      </c>
      <c r="D69" s="383"/>
      <c r="E69" s="383"/>
      <c r="F69" s="383"/>
      <c r="G69" s="383">
        <v>2.6</v>
      </c>
      <c r="H69" s="383"/>
      <c r="I69" s="383"/>
      <c r="J69" s="384">
        <v>73.599999999999994</v>
      </c>
    </row>
    <row r="70" spans="1:10">
      <c r="A70" s="383" t="s">
        <v>485</v>
      </c>
      <c r="B70" s="383"/>
      <c r="C70" s="383">
        <v>13.8</v>
      </c>
      <c r="D70" s="383"/>
      <c r="E70" s="383"/>
      <c r="F70" s="383"/>
      <c r="G70" s="383">
        <v>8.3000000000000007</v>
      </c>
      <c r="H70" s="383"/>
      <c r="I70" s="383"/>
      <c r="J70" s="384">
        <v>22.1</v>
      </c>
    </row>
    <row r="71" spans="1:10">
      <c r="A71" s="377" t="s">
        <v>42</v>
      </c>
      <c r="B71" s="377"/>
      <c r="C71" s="377">
        <v>218.9</v>
      </c>
      <c r="D71" s="377"/>
      <c r="E71" s="377"/>
      <c r="F71" s="377"/>
      <c r="G71" s="377"/>
      <c r="H71" s="377"/>
      <c r="I71" s="377"/>
      <c r="J71" s="380">
        <v>218.9</v>
      </c>
    </row>
    <row r="72" spans="1:10">
      <c r="A72" s="383" t="s">
        <v>486</v>
      </c>
      <c r="B72" s="383"/>
      <c r="C72" s="383">
        <v>193.9</v>
      </c>
      <c r="D72" s="383"/>
      <c r="E72" s="383"/>
      <c r="F72" s="383"/>
      <c r="G72" s="383"/>
      <c r="H72" s="383"/>
      <c r="I72" s="383"/>
      <c r="J72" s="384">
        <v>193.9</v>
      </c>
    </row>
    <row r="73" spans="1:10">
      <c r="A73" s="383" t="s">
        <v>487</v>
      </c>
      <c r="B73" s="383"/>
      <c r="C73" s="383">
        <v>5.9</v>
      </c>
      <c r="D73" s="383"/>
      <c r="E73" s="383"/>
      <c r="F73" s="383"/>
      <c r="G73" s="383"/>
      <c r="H73" s="383"/>
      <c r="I73" s="383"/>
      <c r="J73" s="384">
        <v>5.9</v>
      </c>
    </row>
    <row r="74" spans="1:10">
      <c r="A74" s="383" t="s">
        <v>488</v>
      </c>
      <c r="B74" s="383"/>
      <c r="C74" s="383">
        <v>19.100000000000001</v>
      </c>
      <c r="D74" s="383"/>
      <c r="E74" s="383"/>
      <c r="F74" s="383"/>
      <c r="G74" s="383"/>
      <c r="H74" s="383"/>
      <c r="I74" s="383"/>
      <c r="J74" s="384">
        <v>19.100000000000001</v>
      </c>
    </row>
    <row r="75" spans="1:10">
      <c r="A75" s="377" t="s">
        <v>489</v>
      </c>
      <c r="B75" s="377"/>
      <c r="C75" s="377">
        <v>12.6</v>
      </c>
      <c r="D75" s="377"/>
      <c r="E75" s="377"/>
      <c r="F75" s="377"/>
      <c r="G75" s="377">
        <v>58.2</v>
      </c>
      <c r="H75" s="377">
        <v>3.4</v>
      </c>
      <c r="I75" s="377"/>
      <c r="J75" s="380">
        <v>74.2</v>
      </c>
    </row>
    <row r="76" spans="1:10">
      <c r="A76" s="377" t="s">
        <v>490</v>
      </c>
      <c r="B76" s="377"/>
      <c r="C76" s="377">
        <v>5.4</v>
      </c>
      <c r="D76" s="377"/>
      <c r="E76" s="377"/>
      <c r="F76" s="377"/>
      <c r="G76" s="377"/>
      <c r="H76" s="377"/>
      <c r="I76" s="377"/>
      <c r="J76" s="380">
        <v>5.4</v>
      </c>
    </row>
    <row r="77" spans="1:10">
      <c r="A77" s="381" t="s">
        <v>491</v>
      </c>
      <c r="B77" s="381">
        <v>164.5</v>
      </c>
      <c r="C77" s="381">
        <v>2.9</v>
      </c>
      <c r="D77" s="381"/>
      <c r="E77" s="381"/>
      <c r="F77" s="381"/>
      <c r="G77" s="381"/>
      <c r="H77" s="381"/>
      <c r="I77" s="381"/>
      <c r="J77" s="382">
        <v>167.4</v>
      </c>
    </row>
    <row r="78" spans="1:10">
      <c r="A78" s="377"/>
      <c r="B78" s="377"/>
      <c r="C78" s="377"/>
      <c r="D78" s="377"/>
      <c r="E78" s="377"/>
      <c r="F78" s="377"/>
      <c r="G78" s="377"/>
      <c r="H78" s="377"/>
      <c r="I78" s="377"/>
      <c r="J78" s="377"/>
    </row>
    <row r="79" spans="1:10" ht="15.6">
      <c r="A79" s="376" t="s">
        <v>494</v>
      </c>
      <c r="B79" s="377"/>
      <c r="C79" s="377"/>
      <c r="D79" s="377"/>
      <c r="E79" s="377"/>
      <c r="F79" s="377"/>
      <c r="G79" s="377"/>
      <c r="H79" s="377"/>
      <c r="I79" s="377"/>
      <c r="J79" s="377"/>
    </row>
    <row r="80" spans="1:10">
      <c r="A80" s="377"/>
      <c r="B80" s="377"/>
      <c r="C80" s="377"/>
      <c r="D80" s="377"/>
      <c r="E80" s="377"/>
      <c r="F80" s="377"/>
      <c r="G80" s="377"/>
      <c r="H80" s="377"/>
      <c r="I80" s="377"/>
      <c r="J80" s="377"/>
    </row>
    <row r="81" spans="1:10">
      <c r="A81" s="377" t="s">
        <v>469</v>
      </c>
      <c r="B81" s="378" t="s">
        <v>470</v>
      </c>
      <c r="C81" s="378" t="s">
        <v>471</v>
      </c>
      <c r="D81" s="378" t="s">
        <v>472</v>
      </c>
      <c r="E81" s="378" t="s">
        <v>25</v>
      </c>
      <c r="F81" s="378" t="s">
        <v>473</v>
      </c>
      <c r="G81" s="378" t="s">
        <v>20</v>
      </c>
      <c r="H81" s="378" t="s">
        <v>361</v>
      </c>
      <c r="I81" s="378" t="s">
        <v>387</v>
      </c>
      <c r="J81" s="378" t="s">
        <v>23</v>
      </c>
    </row>
    <row r="82" spans="1:10">
      <c r="A82" s="379" t="s">
        <v>474</v>
      </c>
      <c r="B82" s="379"/>
      <c r="C82" s="379"/>
      <c r="D82" s="379"/>
      <c r="E82" s="379">
        <v>31</v>
      </c>
      <c r="F82" s="379">
        <v>6.3</v>
      </c>
      <c r="G82" s="379"/>
      <c r="H82" s="379">
        <v>3.4</v>
      </c>
      <c r="I82" s="379">
        <v>0</v>
      </c>
      <c r="J82" s="379">
        <v>40.700000000000003</v>
      </c>
    </row>
    <row r="83" spans="1:10">
      <c r="A83" s="377" t="s">
        <v>475</v>
      </c>
      <c r="B83" s="377">
        <v>649.20000000000005</v>
      </c>
      <c r="C83" s="377">
        <v>914.2</v>
      </c>
      <c r="D83" s="377"/>
      <c r="E83" s="377"/>
      <c r="F83" s="377"/>
      <c r="G83" s="377"/>
      <c r="H83" s="377"/>
      <c r="I83" s="377"/>
      <c r="J83" s="380">
        <v>1563.4</v>
      </c>
    </row>
    <row r="84" spans="1:10">
      <c r="A84" s="377" t="s">
        <v>476</v>
      </c>
      <c r="B84" s="377"/>
      <c r="C84" s="377">
        <v>0</v>
      </c>
      <c r="D84" s="377"/>
      <c r="E84" s="377"/>
      <c r="F84" s="377"/>
      <c r="G84" s="377"/>
      <c r="H84" s="377"/>
      <c r="I84" s="377"/>
      <c r="J84" s="380">
        <v>0</v>
      </c>
    </row>
    <row r="85" spans="1:10">
      <c r="A85" s="377" t="s">
        <v>477</v>
      </c>
      <c r="B85" s="377"/>
      <c r="C85" s="377">
        <v>-34.6</v>
      </c>
      <c r="D85" s="377"/>
      <c r="E85" s="377"/>
      <c r="F85" s="377"/>
      <c r="G85" s="377"/>
      <c r="H85" s="377"/>
      <c r="I85" s="377"/>
      <c r="J85" s="380">
        <v>-34.6</v>
      </c>
    </row>
    <row r="86" spans="1:10">
      <c r="A86" s="377" t="s">
        <v>478</v>
      </c>
      <c r="B86" s="377">
        <v>73.599999999999994</v>
      </c>
      <c r="C86" s="377">
        <v>-39.6</v>
      </c>
      <c r="D86" s="377">
        <v>0</v>
      </c>
      <c r="E86" s="377"/>
      <c r="F86" s="377"/>
      <c r="G86" s="377"/>
      <c r="H86" s="377"/>
      <c r="I86" s="377"/>
      <c r="J86" s="380">
        <v>34</v>
      </c>
    </row>
    <row r="87" spans="1:10">
      <c r="A87" s="379" t="s">
        <v>33</v>
      </c>
      <c r="B87" s="379">
        <v>722.8</v>
      </c>
      <c r="C87" s="379">
        <v>840</v>
      </c>
      <c r="D87" s="379">
        <v>0</v>
      </c>
      <c r="E87" s="379">
        <v>31</v>
      </c>
      <c r="F87" s="379">
        <v>6.3</v>
      </c>
      <c r="G87" s="379"/>
      <c r="H87" s="379">
        <v>3.4</v>
      </c>
      <c r="I87" s="379">
        <v>0</v>
      </c>
      <c r="J87" s="379">
        <v>1603.5</v>
      </c>
    </row>
    <row r="88" spans="1:10">
      <c r="A88" s="377" t="s">
        <v>479</v>
      </c>
      <c r="B88" s="377">
        <v>-457.2</v>
      </c>
      <c r="C88" s="377">
        <v>-407.4</v>
      </c>
      <c r="D88" s="377"/>
      <c r="E88" s="377">
        <v>-31</v>
      </c>
      <c r="F88" s="377">
        <v>-6.3</v>
      </c>
      <c r="G88" s="377">
        <v>277.60000000000002</v>
      </c>
      <c r="H88" s="377"/>
      <c r="I88" s="377">
        <v>0</v>
      </c>
      <c r="J88" s="380">
        <v>-624.29999999999995</v>
      </c>
    </row>
    <row r="89" spans="1:10">
      <c r="A89" s="377" t="s">
        <v>480</v>
      </c>
      <c r="B89" s="377">
        <v>-3.8</v>
      </c>
      <c r="C89" s="377">
        <v>-9.4</v>
      </c>
      <c r="D89" s="377">
        <v>0</v>
      </c>
      <c r="E89" s="377"/>
      <c r="F89" s="377"/>
      <c r="G89" s="377"/>
      <c r="H89" s="377"/>
      <c r="I89" s="377"/>
      <c r="J89" s="380">
        <v>-13.2</v>
      </c>
    </row>
    <row r="90" spans="1:10">
      <c r="A90" s="377" t="s">
        <v>481</v>
      </c>
      <c r="B90" s="377"/>
      <c r="C90" s="377"/>
      <c r="D90" s="377"/>
      <c r="E90" s="377"/>
      <c r="F90" s="377"/>
      <c r="G90" s="377">
        <v>-5.8</v>
      </c>
      <c r="H90" s="377"/>
      <c r="I90" s="377"/>
      <c r="J90" s="380">
        <v>-5.8</v>
      </c>
    </row>
    <row r="91" spans="1:10">
      <c r="A91" s="379" t="s">
        <v>47</v>
      </c>
      <c r="B91" s="379">
        <v>269.39999999999998</v>
      </c>
      <c r="C91" s="379">
        <v>442</v>
      </c>
      <c r="D91" s="379"/>
      <c r="E91" s="379"/>
      <c r="F91" s="379"/>
      <c r="G91" s="379">
        <v>271.8</v>
      </c>
      <c r="H91" s="379">
        <v>3.4</v>
      </c>
      <c r="I91" s="379"/>
      <c r="J91" s="379">
        <v>986.6</v>
      </c>
    </row>
    <row r="92" spans="1:10">
      <c r="A92" s="381" t="s">
        <v>482</v>
      </c>
      <c r="B92" s="381">
        <v>116.2</v>
      </c>
      <c r="C92" s="381">
        <v>439.2</v>
      </c>
      <c r="D92" s="381"/>
      <c r="E92" s="381"/>
      <c r="F92" s="381"/>
      <c r="G92" s="381">
        <v>271.8</v>
      </c>
      <c r="H92" s="381">
        <v>3.4</v>
      </c>
      <c r="I92" s="381"/>
      <c r="J92" s="382">
        <v>830.6</v>
      </c>
    </row>
    <row r="93" spans="1:10">
      <c r="A93" s="377" t="s">
        <v>41</v>
      </c>
      <c r="B93" s="377">
        <v>116.2</v>
      </c>
      <c r="C93" s="377">
        <v>198.8</v>
      </c>
      <c r="D93" s="377"/>
      <c r="E93" s="377"/>
      <c r="F93" s="377"/>
      <c r="G93" s="377">
        <v>214</v>
      </c>
      <c r="H93" s="377"/>
      <c r="I93" s="377"/>
      <c r="J93" s="380">
        <v>529</v>
      </c>
    </row>
    <row r="94" spans="1:10">
      <c r="A94" s="383" t="s">
        <v>483</v>
      </c>
      <c r="B94" s="383">
        <v>116.2</v>
      </c>
      <c r="C94" s="383">
        <v>119.1</v>
      </c>
      <c r="D94" s="383"/>
      <c r="E94" s="383"/>
      <c r="F94" s="383"/>
      <c r="G94" s="383">
        <v>203.2</v>
      </c>
      <c r="H94" s="383"/>
      <c r="I94" s="383"/>
      <c r="J94" s="384">
        <v>438.5</v>
      </c>
    </row>
    <row r="95" spans="1:10">
      <c r="A95" s="383" t="s">
        <v>484</v>
      </c>
      <c r="B95" s="383"/>
      <c r="C95" s="383">
        <v>67</v>
      </c>
      <c r="D95" s="383"/>
      <c r="E95" s="383"/>
      <c r="F95" s="383"/>
      <c r="G95" s="383">
        <v>2.7</v>
      </c>
      <c r="H95" s="383"/>
      <c r="I95" s="383"/>
      <c r="J95" s="384">
        <v>69.599999999999994</v>
      </c>
    </row>
    <row r="96" spans="1:10">
      <c r="A96" s="383" t="s">
        <v>485</v>
      </c>
      <c r="B96" s="383"/>
      <c r="C96" s="383">
        <v>12.8</v>
      </c>
      <c r="D96" s="383"/>
      <c r="E96" s="383"/>
      <c r="F96" s="383"/>
      <c r="G96" s="383">
        <v>8.1</v>
      </c>
      <c r="H96" s="383"/>
      <c r="I96" s="383"/>
      <c r="J96" s="384">
        <v>20.9</v>
      </c>
    </row>
    <row r="97" spans="1:10">
      <c r="A97" s="377" t="s">
        <v>42</v>
      </c>
      <c r="B97" s="377"/>
      <c r="C97" s="377">
        <v>222.5</v>
      </c>
      <c r="D97" s="377"/>
      <c r="E97" s="377"/>
      <c r="F97" s="377"/>
      <c r="G97" s="377"/>
      <c r="H97" s="377"/>
      <c r="I97" s="377"/>
      <c r="J97" s="380">
        <v>222.5</v>
      </c>
    </row>
    <row r="98" spans="1:10">
      <c r="A98" s="383" t="s">
        <v>486</v>
      </c>
      <c r="B98" s="383"/>
      <c r="C98" s="383">
        <v>200</v>
      </c>
      <c r="D98" s="383"/>
      <c r="E98" s="383"/>
      <c r="F98" s="383"/>
      <c r="G98" s="383"/>
      <c r="H98" s="383"/>
      <c r="I98" s="383"/>
      <c r="J98" s="384">
        <v>200</v>
      </c>
    </row>
    <row r="99" spans="1:10">
      <c r="A99" s="383" t="s">
        <v>487</v>
      </c>
      <c r="B99" s="383"/>
      <c r="C99" s="383">
        <v>6.2</v>
      </c>
      <c r="D99" s="383"/>
      <c r="E99" s="383"/>
      <c r="F99" s="383"/>
      <c r="G99" s="383"/>
      <c r="H99" s="383"/>
      <c r="I99" s="383"/>
      <c r="J99" s="384">
        <v>6.2</v>
      </c>
    </row>
    <row r="100" spans="1:10">
      <c r="A100" s="383" t="s">
        <v>488</v>
      </c>
      <c r="B100" s="383"/>
      <c r="C100" s="383">
        <v>16.3</v>
      </c>
      <c r="D100" s="383"/>
      <c r="E100" s="383"/>
      <c r="F100" s="383"/>
      <c r="G100" s="383"/>
      <c r="H100" s="383"/>
      <c r="I100" s="383"/>
      <c r="J100" s="384">
        <v>16.3</v>
      </c>
    </row>
    <row r="101" spans="1:10">
      <c r="A101" s="377" t="s">
        <v>489</v>
      </c>
      <c r="B101" s="377"/>
      <c r="C101" s="377">
        <v>12.9</v>
      </c>
      <c r="D101" s="377"/>
      <c r="E101" s="377"/>
      <c r="F101" s="377"/>
      <c r="G101" s="377">
        <v>57.8</v>
      </c>
      <c r="H101" s="377">
        <v>3.4</v>
      </c>
      <c r="I101" s="377"/>
      <c r="J101" s="380">
        <v>74</v>
      </c>
    </row>
    <row r="102" spans="1:10">
      <c r="A102" s="377" t="s">
        <v>490</v>
      </c>
      <c r="B102" s="377"/>
      <c r="C102" s="377">
        <v>5</v>
      </c>
      <c r="D102" s="377"/>
      <c r="E102" s="377"/>
      <c r="F102" s="377"/>
      <c r="G102" s="377"/>
      <c r="H102" s="377"/>
      <c r="I102" s="377"/>
      <c r="J102" s="380">
        <v>5</v>
      </c>
    </row>
    <row r="103" spans="1:10">
      <c r="A103" s="381" t="s">
        <v>491</v>
      </c>
      <c r="B103" s="381">
        <v>153.19999999999999</v>
      </c>
      <c r="C103" s="381">
        <v>2.8</v>
      </c>
      <c r="D103" s="381"/>
      <c r="E103" s="381"/>
      <c r="F103" s="381"/>
      <c r="G103" s="381"/>
      <c r="H103" s="381"/>
      <c r="I103" s="381"/>
      <c r="J103" s="382">
        <v>156</v>
      </c>
    </row>
    <row r="104" spans="1:10">
      <c r="A104" s="377"/>
      <c r="B104" s="377"/>
      <c r="C104" s="377"/>
      <c r="D104" s="377"/>
      <c r="E104" s="377"/>
      <c r="F104" s="377"/>
      <c r="G104" s="377"/>
      <c r="H104" s="377"/>
      <c r="I104" s="377"/>
      <c r="J104" s="377"/>
    </row>
    <row r="105" spans="1:10" ht="15.6">
      <c r="A105" s="376" t="s">
        <v>495</v>
      </c>
      <c r="B105" s="377"/>
      <c r="C105" s="377"/>
      <c r="D105" s="377"/>
      <c r="E105" s="377"/>
      <c r="F105" s="377"/>
      <c r="G105" s="377"/>
      <c r="H105" s="377"/>
      <c r="I105" s="377"/>
      <c r="J105" s="377"/>
    </row>
    <row r="106" spans="1:10">
      <c r="A106" s="377"/>
      <c r="B106" s="377"/>
      <c r="C106" s="377"/>
      <c r="D106" s="377"/>
      <c r="E106" s="377"/>
      <c r="F106" s="377"/>
      <c r="G106" s="377"/>
      <c r="H106" s="377"/>
      <c r="I106" s="377"/>
      <c r="J106" s="377"/>
    </row>
    <row r="107" spans="1:10">
      <c r="A107" s="377" t="s">
        <v>469</v>
      </c>
      <c r="B107" s="378" t="s">
        <v>470</v>
      </c>
      <c r="C107" s="378" t="s">
        <v>471</v>
      </c>
      <c r="D107" s="378" t="s">
        <v>472</v>
      </c>
      <c r="E107" s="378" t="s">
        <v>25</v>
      </c>
      <c r="F107" s="378" t="s">
        <v>473</v>
      </c>
      <c r="G107" s="378" t="s">
        <v>20</v>
      </c>
      <c r="H107" s="378" t="s">
        <v>361</v>
      </c>
      <c r="I107" s="378" t="s">
        <v>387</v>
      </c>
      <c r="J107" s="378" t="s">
        <v>23</v>
      </c>
    </row>
    <row r="108" spans="1:10">
      <c r="A108" s="379" t="s">
        <v>474</v>
      </c>
      <c r="B108" s="379"/>
      <c r="C108" s="379"/>
      <c r="D108" s="379"/>
      <c r="E108" s="379">
        <v>19.899999999999999</v>
      </c>
      <c r="F108" s="379">
        <v>4.9000000000000004</v>
      </c>
      <c r="G108" s="379"/>
      <c r="H108" s="379">
        <v>3.4</v>
      </c>
      <c r="I108" s="379">
        <v>0</v>
      </c>
      <c r="J108" s="379">
        <v>28.2</v>
      </c>
    </row>
    <row r="109" spans="1:10">
      <c r="A109" s="377" t="s">
        <v>475</v>
      </c>
      <c r="B109" s="377">
        <v>671.8</v>
      </c>
      <c r="C109" s="377">
        <v>927.6</v>
      </c>
      <c r="D109" s="377"/>
      <c r="E109" s="377"/>
      <c r="F109" s="377"/>
      <c r="G109" s="377"/>
      <c r="H109" s="377"/>
      <c r="I109" s="377"/>
      <c r="J109" s="380">
        <v>1599.4</v>
      </c>
    </row>
    <row r="110" spans="1:10">
      <c r="A110" s="377" t="s">
        <v>476</v>
      </c>
      <c r="B110" s="377"/>
      <c r="C110" s="377">
        <v>0</v>
      </c>
      <c r="D110" s="377"/>
      <c r="E110" s="377"/>
      <c r="F110" s="377"/>
      <c r="G110" s="377"/>
      <c r="H110" s="377"/>
      <c r="I110" s="377"/>
      <c r="J110" s="380">
        <v>0</v>
      </c>
    </row>
    <row r="111" spans="1:10">
      <c r="A111" s="377" t="s">
        <v>477</v>
      </c>
      <c r="B111" s="377"/>
      <c r="C111" s="377">
        <v>-30.9</v>
      </c>
      <c r="D111" s="377"/>
      <c r="E111" s="377"/>
      <c r="F111" s="377"/>
      <c r="G111" s="377"/>
      <c r="H111" s="377"/>
      <c r="I111" s="377"/>
      <c r="J111" s="380">
        <v>-30.9</v>
      </c>
    </row>
    <row r="112" spans="1:10">
      <c r="A112" s="377" t="s">
        <v>478</v>
      </c>
      <c r="B112" s="377">
        <v>-31.8</v>
      </c>
      <c r="C112" s="377">
        <v>20.2</v>
      </c>
      <c r="D112" s="377">
        <v>0</v>
      </c>
      <c r="E112" s="377"/>
      <c r="F112" s="377"/>
      <c r="G112" s="377"/>
      <c r="H112" s="377"/>
      <c r="I112" s="377"/>
      <c r="J112" s="380">
        <v>-11.6</v>
      </c>
    </row>
    <row r="113" spans="1:10">
      <c r="A113" s="379" t="s">
        <v>33</v>
      </c>
      <c r="B113" s="379">
        <v>640</v>
      </c>
      <c r="C113" s="379">
        <v>916.9</v>
      </c>
      <c r="D113" s="379">
        <v>0</v>
      </c>
      <c r="E113" s="379">
        <v>19.899999999999999</v>
      </c>
      <c r="F113" s="379">
        <v>4.9000000000000004</v>
      </c>
      <c r="G113" s="379"/>
      <c r="H113" s="379">
        <v>3.4</v>
      </c>
      <c r="I113" s="379">
        <v>0</v>
      </c>
      <c r="J113" s="379">
        <v>1585.1</v>
      </c>
    </row>
    <row r="114" spans="1:10">
      <c r="A114" s="377" t="s">
        <v>479</v>
      </c>
      <c r="B114" s="377">
        <v>-409.8</v>
      </c>
      <c r="C114" s="377">
        <v>-471.6</v>
      </c>
      <c r="D114" s="377"/>
      <c r="E114" s="377">
        <v>-19.899999999999999</v>
      </c>
      <c r="F114" s="377">
        <v>-4.9000000000000004</v>
      </c>
      <c r="G114" s="377">
        <v>269.2</v>
      </c>
      <c r="H114" s="377"/>
      <c r="I114" s="377">
        <v>0</v>
      </c>
      <c r="J114" s="380">
        <v>-637.1</v>
      </c>
    </row>
    <row r="115" spans="1:10">
      <c r="A115" s="377" t="s">
        <v>480</v>
      </c>
      <c r="B115" s="377">
        <v>-10.8</v>
      </c>
      <c r="C115" s="377">
        <v>-10.7</v>
      </c>
      <c r="D115" s="377">
        <v>0</v>
      </c>
      <c r="E115" s="377"/>
      <c r="F115" s="377"/>
      <c r="G115" s="377"/>
      <c r="H115" s="377"/>
      <c r="I115" s="377"/>
      <c r="J115" s="380">
        <v>-21.4</v>
      </c>
    </row>
    <row r="116" spans="1:10">
      <c r="A116" s="377" t="s">
        <v>481</v>
      </c>
      <c r="B116" s="377"/>
      <c r="C116" s="377"/>
      <c r="D116" s="377"/>
      <c r="E116" s="377"/>
      <c r="F116" s="377"/>
      <c r="G116" s="377">
        <v>-5.4</v>
      </c>
      <c r="H116" s="377"/>
      <c r="I116" s="377"/>
      <c r="J116" s="380">
        <v>-5.4</v>
      </c>
    </row>
    <row r="117" spans="1:10">
      <c r="A117" s="379" t="s">
        <v>47</v>
      </c>
      <c r="B117" s="379">
        <v>241.1</v>
      </c>
      <c r="C117" s="379">
        <v>455.9</v>
      </c>
      <c r="D117" s="379"/>
      <c r="E117" s="379"/>
      <c r="F117" s="379"/>
      <c r="G117" s="379">
        <v>263.8</v>
      </c>
      <c r="H117" s="379">
        <v>3.4</v>
      </c>
      <c r="I117" s="379"/>
      <c r="J117" s="379">
        <v>964.1</v>
      </c>
    </row>
    <row r="118" spans="1:10">
      <c r="A118" s="381" t="s">
        <v>482</v>
      </c>
      <c r="B118" s="381">
        <v>90.5</v>
      </c>
      <c r="C118" s="381">
        <v>453</v>
      </c>
      <c r="D118" s="381"/>
      <c r="E118" s="381"/>
      <c r="F118" s="381"/>
      <c r="G118" s="381">
        <v>263.8</v>
      </c>
      <c r="H118" s="381">
        <v>3.4</v>
      </c>
      <c r="I118" s="381"/>
      <c r="J118" s="382">
        <v>810.7</v>
      </c>
    </row>
    <row r="119" spans="1:10">
      <c r="A119" s="377" t="s">
        <v>41</v>
      </c>
      <c r="B119" s="377">
        <v>90.5</v>
      </c>
      <c r="C119" s="377">
        <v>213.7</v>
      </c>
      <c r="D119" s="377"/>
      <c r="E119" s="377"/>
      <c r="F119" s="377"/>
      <c r="G119" s="377">
        <v>204.8</v>
      </c>
      <c r="H119" s="377"/>
      <c r="I119" s="377"/>
      <c r="J119" s="380">
        <v>509</v>
      </c>
    </row>
    <row r="120" spans="1:10">
      <c r="A120" s="383" t="s">
        <v>483</v>
      </c>
      <c r="B120" s="383">
        <v>90.5</v>
      </c>
      <c r="C120" s="383">
        <v>134.69999999999999</v>
      </c>
      <c r="D120" s="383"/>
      <c r="E120" s="383"/>
      <c r="F120" s="383"/>
      <c r="G120" s="383">
        <v>194.1</v>
      </c>
      <c r="H120" s="383"/>
      <c r="I120" s="383"/>
      <c r="J120" s="384">
        <v>419.3</v>
      </c>
    </row>
    <row r="121" spans="1:10">
      <c r="A121" s="383" t="s">
        <v>484</v>
      </c>
      <c r="B121" s="383"/>
      <c r="C121" s="383">
        <v>66</v>
      </c>
      <c r="D121" s="383"/>
      <c r="E121" s="383"/>
      <c r="F121" s="383"/>
      <c r="G121" s="383">
        <v>2.7</v>
      </c>
      <c r="H121" s="383"/>
      <c r="I121" s="383"/>
      <c r="J121" s="384">
        <v>68.7</v>
      </c>
    </row>
    <row r="122" spans="1:10">
      <c r="A122" s="383" t="s">
        <v>485</v>
      </c>
      <c r="B122" s="383"/>
      <c r="C122" s="383">
        <v>13</v>
      </c>
      <c r="D122" s="383"/>
      <c r="E122" s="383"/>
      <c r="F122" s="383"/>
      <c r="G122" s="383">
        <v>8</v>
      </c>
      <c r="H122" s="383"/>
      <c r="I122" s="383"/>
      <c r="J122" s="384">
        <v>21</v>
      </c>
    </row>
    <row r="123" spans="1:10">
      <c r="A123" s="377" t="s">
        <v>42</v>
      </c>
      <c r="B123" s="377"/>
      <c r="C123" s="377">
        <v>221.1</v>
      </c>
      <c r="D123" s="377"/>
      <c r="E123" s="377"/>
      <c r="F123" s="377"/>
      <c r="G123" s="377"/>
      <c r="H123" s="377"/>
      <c r="I123" s="377"/>
      <c r="J123" s="380">
        <v>221.1</v>
      </c>
    </row>
    <row r="124" spans="1:10">
      <c r="A124" s="383" t="s">
        <v>486</v>
      </c>
      <c r="B124" s="383"/>
      <c r="C124" s="383">
        <v>200.8</v>
      </c>
      <c r="D124" s="383"/>
      <c r="E124" s="383"/>
      <c r="F124" s="383"/>
      <c r="G124" s="383"/>
      <c r="H124" s="383"/>
      <c r="I124" s="383"/>
      <c r="J124" s="384">
        <v>200.8</v>
      </c>
    </row>
    <row r="125" spans="1:10">
      <c r="A125" s="383" t="s">
        <v>487</v>
      </c>
      <c r="B125" s="383"/>
      <c r="C125" s="383">
        <v>5.9</v>
      </c>
      <c r="D125" s="383"/>
      <c r="E125" s="383"/>
      <c r="F125" s="383"/>
      <c r="G125" s="383"/>
      <c r="H125" s="383"/>
      <c r="I125" s="383"/>
      <c r="J125" s="384">
        <v>5.9</v>
      </c>
    </row>
    <row r="126" spans="1:10">
      <c r="A126" s="383" t="s">
        <v>488</v>
      </c>
      <c r="B126" s="383"/>
      <c r="C126" s="383">
        <v>14.4</v>
      </c>
      <c r="D126" s="383"/>
      <c r="E126" s="383"/>
      <c r="F126" s="383"/>
      <c r="G126" s="383"/>
      <c r="H126" s="383"/>
      <c r="I126" s="383"/>
      <c r="J126" s="384">
        <v>14.4</v>
      </c>
    </row>
    <row r="127" spans="1:10">
      <c r="A127" s="377" t="s">
        <v>489</v>
      </c>
      <c r="B127" s="377"/>
      <c r="C127" s="377">
        <v>13.4</v>
      </c>
      <c r="D127" s="377"/>
      <c r="E127" s="377"/>
      <c r="F127" s="377"/>
      <c r="G127" s="377">
        <v>59</v>
      </c>
      <c r="H127" s="377">
        <v>3.4</v>
      </c>
      <c r="I127" s="377"/>
      <c r="J127" s="380">
        <v>75.7</v>
      </c>
    </row>
    <row r="128" spans="1:10">
      <c r="A128" s="377" t="s">
        <v>490</v>
      </c>
      <c r="B128" s="377"/>
      <c r="C128" s="377">
        <v>4.9000000000000004</v>
      </c>
      <c r="D128" s="377"/>
      <c r="E128" s="377"/>
      <c r="F128" s="377"/>
      <c r="G128" s="377"/>
      <c r="H128" s="377"/>
      <c r="I128" s="377"/>
      <c r="J128" s="380">
        <v>4.9000000000000004</v>
      </c>
    </row>
    <row r="129" spans="1:10">
      <c r="A129" s="381" t="s">
        <v>491</v>
      </c>
      <c r="B129" s="381">
        <v>150.6</v>
      </c>
      <c r="C129" s="381">
        <v>2.9</v>
      </c>
      <c r="D129" s="381"/>
      <c r="E129" s="381"/>
      <c r="F129" s="381"/>
      <c r="G129" s="381"/>
      <c r="H129" s="381"/>
      <c r="I129" s="381"/>
      <c r="J129" s="382">
        <v>153.4</v>
      </c>
    </row>
    <row r="130" spans="1:10">
      <c r="A130" s="377"/>
      <c r="B130" s="377"/>
      <c r="C130" s="377"/>
      <c r="D130" s="377"/>
      <c r="E130" s="377"/>
      <c r="F130" s="377"/>
      <c r="G130" s="377"/>
      <c r="H130" s="377"/>
      <c r="I130" s="377"/>
      <c r="J130" s="377"/>
    </row>
    <row r="131" spans="1:10" ht="15.6">
      <c r="A131" s="376" t="s">
        <v>496</v>
      </c>
      <c r="B131" s="377"/>
      <c r="C131" s="377"/>
      <c r="D131" s="377"/>
      <c r="E131" s="377"/>
      <c r="F131" s="377"/>
      <c r="G131" s="377"/>
      <c r="H131" s="377"/>
      <c r="I131" s="377"/>
      <c r="J131" s="377"/>
    </row>
    <row r="132" spans="1:10">
      <c r="A132" s="377"/>
      <c r="B132" s="377"/>
      <c r="C132" s="377"/>
      <c r="D132" s="377"/>
      <c r="E132" s="377"/>
      <c r="F132" s="377"/>
      <c r="G132" s="377"/>
      <c r="H132" s="377"/>
      <c r="I132" s="377"/>
      <c r="J132" s="377"/>
    </row>
    <row r="133" spans="1:10">
      <c r="A133" s="377" t="s">
        <v>469</v>
      </c>
      <c r="B133" s="378" t="s">
        <v>470</v>
      </c>
      <c r="C133" s="378" t="s">
        <v>471</v>
      </c>
      <c r="D133" s="378" t="s">
        <v>472</v>
      </c>
      <c r="E133" s="378" t="s">
        <v>25</v>
      </c>
      <c r="F133" s="378" t="s">
        <v>473</v>
      </c>
      <c r="G133" s="378" t="s">
        <v>20</v>
      </c>
      <c r="H133" s="378" t="s">
        <v>361</v>
      </c>
      <c r="I133" s="378" t="s">
        <v>387</v>
      </c>
      <c r="J133" s="378" t="s">
        <v>23</v>
      </c>
    </row>
    <row r="134" spans="1:10">
      <c r="A134" s="379" t="s">
        <v>474</v>
      </c>
      <c r="B134" s="379"/>
      <c r="C134" s="379"/>
      <c r="D134" s="379"/>
      <c r="E134" s="379">
        <v>29.3</v>
      </c>
      <c r="F134" s="379">
        <v>5.9</v>
      </c>
      <c r="G134" s="379"/>
      <c r="H134" s="379">
        <v>3.4</v>
      </c>
      <c r="I134" s="379">
        <v>0</v>
      </c>
      <c r="J134" s="379">
        <v>38.5</v>
      </c>
    </row>
    <row r="135" spans="1:10">
      <c r="A135" s="377" t="s">
        <v>475</v>
      </c>
      <c r="B135" s="377">
        <v>510</v>
      </c>
      <c r="C135" s="377">
        <v>944.8</v>
      </c>
      <c r="D135" s="377"/>
      <c r="E135" s="377"/>
      <c r="F135" s="377"/>
      <c r="G135" s="377"/>
      <c r="H135" s="377"/>
      <c r="I135" s="377"/>
      <c r="J135" s="380">
        <v>1454.8</v>
      </c>
    </row>
    <row r="136" spans="1:10">
      <c r="A136" s="377" t="s">
        <v>476</v>
      </c>
      <c r="B136" s="377"/>
      <c r="C136" s="377">
        <v>0</v>
      </c>
      <c r="D136" s="377"/>
      <c r="E136" s="377"/>
      <c r="F136" s="377"/>
      <c r="G136" s="377"/>
      <c r="H136" s="377"/>
      <c r="I136" s="377"/>
      <c r="J136" s="380">
        <v>0</v>
      </c>
    </row>
    <row r="137" spans="1:10">
      <c r="A137" s="377" t="s">
        <v>477</v>
      </c>
      <c r="B137" s="377"/>
      <c r="C137" s="377">
        <v>-33.5</v>
      </c>
      <c r="D137" s="377"/>
      <c r="E137" s="377"/>
      <c r="F137" s="377"/>
      <c r="G137" s="377"/>
      <c r="H137" s="377"/>
      <c r="I137" s="377"/>
      <c r="J137" s="380">
        <v>-33.5</v>
      </c>
    </row>
    <row r="138" spans="1:10">
      <c r="A138" s="377" t="s">
        <v>478</v>
      </c>
      <c r="B138" s="377">
        <v>-14.2</v>
      </c>
      <c r="C138" s="377">
        <v>2</v>
      </c>
      <c r="D138" s="377">
        <v>0</v>
      </c>
      <c r="E138" s="377"/>
      <c r="F138" s="377"/>
      <c r="G138" s="377"/>
      <c r="H138" s="377"/>
      <c r="I138" s="377"/>
      <c r="J138" s="380">
        <v>-12.2</v>
      </c>
    </row>
    <row r="139" spans="1:10">
      <c r="A139" s="379" t="s">
        <v>33</v>
      </c>
      <c r="B139" s="379">
        <v>495.8</v>
      </c>
      <c r="C139" s="379">
        <v>913.3</v>
      </c>
      <c r="D139" s="379">
        <v>0</v>
      </c>
      <c r="E139" s="379">
        <v>29.3</v>
      </c>
      <c r="F139" s="379">
        <v>5.9</v>
      </c>
      <c r="G139" s="379"/>
      <c r="H139" s="379">
        <v>3.4</v>
      </c>
      <c r="I139" s="379">
        <v>0</v>
      </c>
      <c r="J139" s="379">
        <v>1447.7</v>
      </c>
    </row>
    <row r="140" spans="1:10">
      <c r="A140" s="377" t="s">
        <v>479</v>
      </c>
      <c r="B140" s="377">
        <v>-295.89999999999998</v>
      </c>
      <c r="C140" s="377">
        <v>-468.1</v>
      </c>
      <c r="D140" s="377"/>
      <c r="E140" s="377">
        <v>-29.3</v>
      </c>
      <c r="F140" s="377">
        <v>-5.9</v>
      </c>
      <c r="G140" s="377">
        <v>249.6</v>
      </c>
      <c r="H140" s="377"/>
      <c r="I140" s="377">
        <v>0</v>
      </c>
      <c r="J140" s="380">
        <v>-549.5</v>
      </c>
    </row>
    <row r="141" spans="1:10">
      <c r="A141" s="377" t="s">
        <v>480</v>
      </c>
      <c r="B141" s="377">
        <v>-17.3</v>
      </c>
      <c r="C141" s="377">
        <v>-1.2</v>
      </c>
      <c r="D141" s="377">
        <v>0</v>
      </c>
      <c r="E141" s="377"/>
      <c r="F141" s="377"/>
      <c r="G141" s="377"/>
      <c r="H141" s="377"/>
      <c r="I141" s="377"/>
      <c r="J141" s="380">
        <v>-18.399999999999999</v>
      </c>
    </row>
    <row r="142" spans="1:10">
      <c r="A142" s="377" t="s">
        <v>481</v>
      </c>
      <c r="B142" s="377"/>
      <c r="C142" s="377"/>
      <c r="D142" s="377"/>
      <c r="E142" s="377"/>
      <c r="F142" s="377"/>
      <c r="G142" s="377">
        <v>-5.2</v>
      </c>
      <c r="H142" s="377"/>
      <c r="I142" s="377"/>
      <c r="J142" s="380">
        <v>-5.2</v>
      </c>
    </row>
    <row r="143" spans="1:10">
      <c r="A143" s="379" t="s">
        <v>47</v>
      </c>
      <c r="B143" s="379">
        <v>217.2</v>
      </c>
      <c r="C143" s="379">
        <v>446.4</v>
      </c>
      <c r="D143" s="379"/>
      <c r="E143" s="379"/>
      <c r="F143" s="379"/>
      <c r="G143" s="379">
        <v>244.4</v>
      </c>
      <c r="H143" s="379">
        <v>3.4</v>
      </c>
      <c r="I143" s="379"/>
      <c r="J143" s="379">
        <v>911.4</v>
      </c>
    </row>
    <row r="144" spans="1:10">
      <c r="A144" s="381" t="s">
        <v>482</v>
      </c>
      <c r="B144" s="381">
        <v>97.3</v>
      </c>
      <c r="C144" s="381">
        <v>443.3</v>
      </c>
      <c r="D144" s="381"/>
      <c r="E144" s="381"/>
      <c r="F144" s="381"/>
      <c r="G144" s="381">
        <v>244.4</v>
      </c>
      <c r="H144" s="381">
        <v>3.4</v>
      </c>
      <c r="I144" s="381"/>
      <c r="J144" s="382">
        <v>788.4</v>
      </c>
    </row>
    <row r="145" spans="1:10">
      <c r="A145" s="377" t="s">
        <v>41</v>
      </c>
      <c r="B145" s="377">
        <v>97.3</v>
      </c>
      <c r="C145" s="377">
        <v>208.4</v>
      </c>
      <c r="D145" s="377"/>
      <c r="E145" s="377"/>
      <c r="F145" s="377"/>
      <c r="G145" s="377">
        <v>188.5</v>
      </c>
      <c r="H145" s="377"/>
      <c r="I145" s="377"/>
      <c r="J145" s="380">
        <v>494.2</v>
      </c>
    </row>
    <row r="146" spans="1:10">
      <c r="A146" s="383" t="s">
        <v>483</v>
      </c>
      <c r="B146" s="383">
        <v>97.3</v>
      </c>
      <c r="C146" s="383">
        <v>136.9</v>
      </c>
      <c r="D146" s="383"/>
      <c r="E146" s="383"/>
      <c r="F146" s="383"/>
      <c r="G146" s="383">
        <v>178.2</v>
      </c>
      <c r="H146" s="383"/>
      <c r="I146" s="383"/>
      <c r="J146" s="384">
        <v>412.4</v>
      </c>
    </row>
    <row r="147" spans="1:10">
      <c r="A147" s="383" t="s">
        <v>484</v>
      </c>
      <c r="B147" s="383"/>
      <c r="C147" s="383">
        <v>58.1</v>
      </c>
      <c r="D147" s="383"/>
      <c r="E147" s="383"/>
      <c r="F147" s="383"/>
      <c r="G147" s="383">
        <v>2.7</v>
      </c>
      <c r="H147" s="383"/>
      <c r="I147" s="383"/>
      <c r="J147" s="384">
        <v>60.8</v>
      </c>
    </row>
    <row r="148" spans="1:10">
      <c r="A148" s="383" t="s">
        <v>485</v>
      </c>
      <c r="B148" s="383"/>
      <c r="C148" s="383">
        <v>13.4</v>
      </c>
      <c r="D148" s="383"/>
      <c r="E148" s="383"/>
      <c r="F148" s="383"/>
      <c r="G148" s="383">
        <v>7.6</v>
      </c>
      <c r="H148" s="383"/>
      <c r="I148" s="383"/>
      <c r="J148" s="384">
        <v>21</v>
      </c>
    </row>
    <row r="149" spans="1:10">
      <c r="A149" s="377" t="s">
        <v>42</v>
      </c>
      <c r="B149" s="377"/>
      <c r="C149" s="377">
        <v>216.5</v>
      </c>
      <c r="D149" s="377"/>
      <c r="E149" s="377"/>
      <c r="F149" s="377"/>
      <c r="G149" s="377"/>
      <c r="H149" s="377"/>
      <c r="I149" s="377"/>
      <c r="J149" s="380">
        <v>216.5</v>
      </c>
    </row>
    <row r="150" spans="1:10">
      <c r="A150" s="383" t="s">
        <v>486</v>
      </c>
      <c r="B150" s="383"/>
      <c r="C150" s="383">
        <v>197.9</v>
      </c>
      <c r="D150" s="383"/>
      <c r="E150" s="383"/>
      <c r="F150" s="383"/>
      <c r="G150" s="383"/>
      <c r="H150" s="383"/>
      <c r="I150" s="383"/>
      <c r="J150" s="384">
        <v>197.9</v>
      </c>
    </row>
    <row r="151" spans="1:10">
      <c r="A151" s="383" t="s">
        <v>487</v>
      </c>
      <c r="B151" s="383"/>
      <c r="C151" s="383">
        <v>5.8</v>
      </c>
      <c r="D151" s="383"/>
      <c r="E151" s="383"/>
      <c r="F151" s="383"/>
      <c r="G151" s="383"/>
      <c r="H151" s="383"/>
      <c r="I151" s="383"/>
      <c r="J151" s="384">
        <v>5.8</v>
      </c>
    </row>
    <row r="152" spans="1:10">
      <c r="A152" s="383" t="s">
        <v>488</v>
      </c>
      <c r="B152" s="383"/>
      <c r="C152" s="383">
        <v>12.8</v>
      </c>
      <c r="D152" s="383"/>
      <c r="E152" s="383"/>
      <c r="F152" s="383"/>
      <c r="G152" s="383"/>
      <c r="H152" s="383"/>
      <c r="I152" s="383"/>
      <c r="J152" s="384">
        <v>12.8</v>
      </c>
    </row>
    <row r="153" spans="1:10">
      <c r="A153" s="377" t="s">
        <v>489</v>
      </c>
      <c r="B153" s="377"/>
      <c r="C153" s="377">
        <v>14.1</v>
      </c>
      <c r="D153" s="377"/>
      <c r="E153" s="377"/>
      <c r="F153" s="377"/>
      <c r="G153" s="377">
        <v>55.9</v>
      </c>
      <c r="H153" s="377">
        <v>3.4</v>
      </c>
      <c r="I153" s="377"/>
      <c r="J153" s="380">
        <v>73.3</v>
      </c>
    </row>
    <row r="154" spans="1:10">
      <c r="A154" s="377" t="s">
        <v>490</v>
      </c>
      <c r="B154" s="377"/>
      <c r="C154" s="377">
        <v>4.3</v>
      </c>
      <c r="D154" s="377"/>
      <c r="E154" s="377"/>
      <c r="F154" s="377"/>
      <c r="G154" s="377"/>
      <c r="H154" s="377"/>
      <c r="I154" s="377"/>
      <c r="J154" s="380">
        <v>4.3</v>
      </c>
    </row>
    <row r="155" spans="1:10">
      <c r="A155" s="381" t="s">
        <v>491</v>
      </c>
      <c r="B155" s="381">
        <v>119.9</v>
      </c>
      <c r="C155" s="381">
        <v>3</v>
      </c>
      <c r="D155" s="381"/>
      <c r="E155" s="381"/>
      <c r="F155" s="381"/>
      <c r="G155" s="381"/>
      <c r="H155" s="381"/>
      <c r="I155" s="381"/>
      <c r="J155" s="382">
        <v>123</v>
      </c>
    </row>
    <row r="156" spans="1:10">
      <c r="A156" s="377"/>
      <c r="B156" s="377"/>
      <c r="C156" s="377"/>
      <c r="D156" s="377"/>
      <c r="E156" s="377"/>
      <c r="F156" s="377"/>
      <c r="G156" s="377"/>
      <c r="H156" s="377"/>
      <c r="I156" s="377"/>
      <c r="J156" s="377"/>
    </row>
    <row r="157" spans="1:10" ht="15.6">
      <c r="A157" s="376" t="s">
        <v>497</v>
      </c>
      <c r="B157" s="377"/>
      <c r="C157" s="377"/>
      <c r="D157" s="377"/>
      <c r="E157" s="377"/>
      <c r="F157" s="377"/>
      <c r="G157" s="377"/>
      <c r="H157" s="377"/>
      <c r="I157" s="377"/>
      <c r="J157" s="377"/>
    </row>
    <row r="158" spans="1:10">
      <c r="A158" s="377"/>
      <c r="B158" s="377"/>
      <c r="C158" s="377"/>
      <c r="D158" s="377"/>
      <c r="E158" s="377"/>
      <c r="F158" s="377"/>
      <c r="G158" s="377"/>
      <c r="H158" s="377"/>
      <c r="I158" s="377"/>
      <c r="J158" s="377"/>
    </row>
    <row r="159" spans="1:10">
      <c r="A159" s="377" t="s">
        <v>469</v>
      </c>
      <c r="B159" s="378" t="s">
        <v>470</v>
      </c>
      <c r="C159" s="378" t="s">
        <v>471</v>
      </c>
      <c r="D159" s="378" t="s">
        <v>472</v>
      </c>
      <c r="E159" s="378" t="s">
        <v>25</v>
      </c>
      <c r="F159" s="378" t="s">
        <v>473</v>
      </c>
      <c r="G159" s="378" t="s">
        <v>20</v>
      </c>
      <c r="H159" s="378" t="s">
        <v>361</v>
      </c>
      <c r="I159" s="378" t="s">
        <v>387</v>
      </c>
      <c r="J159" s="378" t="s">
        <v>23</v>
      </c>
    </row>
    <row r="160" spans="1:10">
      <c r="A160" s="379" t="s">
        <v>474</v>
      </c>
      <c r="B160" s="379"/>
      <c r="C160" s="379"/>
      <c r="D160" s="379"/>
      <c r="E160" s="379">
        <v>24.9</v>
      </c>
      <c r="F160" s="379">
        <v>5.3</v>
      </c>
      <c r="G160" s="379"/>
      <c r="H160" s="379">
        <v>2.7</v>
      </c>
      <c r="I160" s="379">
        <v>0</v>
      </c>
      <c r="J160" s="379">
        <v>32.9</v>
      </c>
    </row>
    <row r="161" spans="1:10">
      <c r="A161" s="377" t="s">
        <v>475</v>
      </c>
      <c r="B161" s="377">
        <v>440.2</v>
      </c>
      <c r="C161" s="377">
        <v>976.5</v>
      </c>
      <c r="D161" s="377"/>
      <c r="E161" s="377"/>
      <c r="F161" s="377"/>
      <c r="G161" s="377"/>
      <c r="H161" s="377"/>
      <c r="I161" s="377"/>
      <c r="J161" s="380">
        <v>1416.7</v>
      </c>
    </row>
    <row r="162" spans="1:10">
      <c r="A162" s="377" t="s">
        <v>476</v>
      </c>
      <c r="B162" s="377"/>
      <c r="C162" s="377">
        <v>0</v>
      </c>
      <c r="D162" s="377"/>
      <c r="E162" s="377"/>
      <c r="F162" s="377"/>
      <c r="G162" s="377"/>
      <c r="H162" s="377"/>
      <c r="I162" s="377"/>
      <c r="J162" s="380">
        <v>0</v>
      </c>
    </row>
    <row r="163" spans="1:10">
      <c r="A163" s="377" t="s">
        <v>477</v>
      </c>
      <c r="B163" s="377"/>
      <c r="C163" s="377">
        <v>-32.5</v>
      </c>
      <c r="D163" s="377"/>
      <c r="E163" s="377"/>
      <c r="F163" s="377"/>
      <c r="G163" s="377"/>
      <c r="H163" s="377"/>
      <c r="I163" s="377"/>
      <c r="J163" s="380">
        <v>-32.5</v>
      </c>
    </row>
    <row r="164" spans="1:10">
      <c r="A164" s="377" t="s">
        <v>478</v>
      </c>
      <c r="B164" s="377">
        <v>31</v>
      </c>
      <c r="C164" s="377">
        <v>46.2</v>
      </c>
      <c r="D164" s="377">
        <v>0</v>
      </c>
      <c r="E164" s="377"/>
      <c r="F164" s="377"/>
      <c r="G164" s="377"/>
      <c r="H164" s="377"/>
      <c r="I164" s="377"/>
      <c r="J164" s="380">
        <v>77.2</v>
      </c>
    </row>
    <row r="165" spans="1:10">
      <c r="A165" s="379" t="s">
        <v>33</v>
      </c>
      <c r="B165" s="379">
        <v>471.2</v>
      </c>
      <c r="C165" s="379">
        <v>990.2</v>
      </c>
      <c r="D165" s="379">
        <v>0</v>
      </c>
      <c r="E165" s="379">
        <v>24.9</v>
      </c>
      <c r="F165" s="379">
        <v>5.3</v>
      </c>
      <c r="G165" s="379"/>
      <c r="H165" s="379">
        <v>2.7</v>
      </c>
      <c r="I165" s="379">
        <v>0</v>
      </c>
      <c r="J165" s="379">
        <v>1494.3</v>
      </c>
    </row>
    <row r="166" spans="1:10">
      <c r="A166" s="377" t="s">
        <v>479</v>
      </c>
      <c r="B166" s="377">
        <v>-248.5</v>
      </c>
      <c r="C166" s="377">
        <v>-535.9</v>
      </c>
      <c r="D166" s="377"/>
      <c r="E166" s="377">
        <v>-24.9</v>
      </c>
      <c r="F166" s="377">
        <v>-5.3</v>
      </c>
      <c r="G166" s="377">
        <v>258.89999999999998</v>
      </c>
      <c r="H166" s="377"/>
      <c r="I166" s="377">
        <v>0</v>
      </c>
      <c r="J166" s="380">
        <v>-555.70000000000005</v>
      </c>
    </row>
    <row r="167" spans="1:10">
      <c r="A167" s="377" t="s">
        <v>480</v>
      </c>
      <c r="B167" s="377">
        <v>2.2000000000000002</v>
      </c>
      <c r="C167" s="377">
        <v>-0.5</v>
      </c>
      <c r="D167" s="377">
        <v>0</v>
      </c>
      <c r="E167" s="377"/>
      <c r="F167" s="377"/>
      <c r="G167" s="377"/>
      <c r="H167" s="377"/>
      <c r="I167" s="377"/>
      <c r="J167" s="380">
        <v>1.7</v>
      </c>
    </row>
    <row r="168" spans="1:10">
      <c r="A168" s="377" t="s">
        <v>481</v>
      </c>
      <c r="B168" s="377"/>
      <c r="C168" s="377"/>
      <c r="D168" s="377"/>
      <c r="E168" s="377"/>
      <c r="F168" s="377"/>
      <c r="G168" s="377">
        <v>-4.9000000000000004</v>
      </c>
      <c r="H168" s="377"/>
      <c r="I168" s="377"/>
      <c r="J168" s="380">
        <v>-4.9000000000000004</v>
      </c>
    </row>
    <row r="169" spans="1:10">
      <c r="A169" s="379" t="s">
        <v>47</v>
      </c>
      <c r="B169" s="379">
        <v>220.6</v>
      </c>
      <c r="C169" s="379">
        <v>454.7</v>
      </c>
      <c r="D169" s="379"/>
      <c r="E169" s="379"/>
      <c r="F169" s="379"/>
      <c r="G169" s="379">
        <v>254</v>
      </c>
      <c r="H169" s="379">
        <v>2.7</v>
      </c>
      <c r="I169" s="379"/>
      <c r="J169" s="379">
        <v>931.9</v>
      </c>
    </row>
    <row r="170" spans="1:10">
      <c r="A170" s="381" t="s">
        <v>482</v>
      </c>
      <c r="B170" s="381">
        <v>97.4</v>
      </c>
      <c r="C170" s="381">
        <v>451.7</v>
      </c>
      <c r="D170" s="381"/>
      <c r="E170" s="381"/>
      <c r="F170" s="381"/>
      <c r="G170" s="381">
        <v>254</v>
      </c>
      <c r="H170" s="381">
        <v>2.7</v>
      </c>
      <c r="I170" s="381"/>
      <c r="J170" s="382">
        <v>805.7</v>
      </c>
    </row>
    <row r="171" spans="1:10">
      <c r="A171" s="377" t="s">
        <v>41</v>
      </c>
      <c r="B171" s="377">
        <v>97.4</v>
      </c>
      <c r="C171" s="377">
        <v>222.7</v>
      </c>
      <c r="D171" s="377"/>
      <c r="E171" s="377"/>
      <c r="F171" s="377"/>
      <c r="G171" s="377">
        <v>199.8</v>
      </c>
      <c r="H171" s="377"/>
      <c r="I171" s="377"/>
      <c r="J171" s="380">
        <v>520</v>
      </c>
    </row>
    <row r="172" spans="1:10">
      <c r="A172" s="383" t="s">
        <v>483</v>
      </c>
      <c r="B172" s="383">
        <v>97.4</v>
      </c>
      <c r="C172" s="383">
        <v>144.4</v>
      </c>
      <c r="D172" s="383"/>
      <c r="E172" s="383"/>
      <c r="F172" s="383"/>
      <c r="G172" s="383">
        <v>189.9</v>
      </c>
      <c r="H172" s="383"/>
      <c r="I172" s="383"/>
      <c r="J172" s="384">
        <v>431.7</v>
      </c>
    </row>
    <row r="173" spans="1:10">
      <c r="A173" s="383" t="s">
        <v>484</v>
      </c>
      <c r="B173" s="383"/>
      <c r="C173" s="383">
        <v>62.9</v>
      </c>
      <c r="D173" s="383"/>
      <c r="E173" s="383"/>
      <c r="F173" s="383"/>
      <c r="G173" s="383">
        <v>2.9</v>
      </c>
      <c r="H173" s="383"/>
      <c r="I173" s="383"/>
      <c r="J173" s="384">
        <v>65.8</v>
      </c>
    </row>
    <row r="174" spans="1:10">
      <c r="A174" s="383" t="s">
        <v>485</v>
      </c>
      <c r="B174" s="383"/>
      <c r="C174" s="383">
        <v>15.4</v>
      </c>
      <c r="D174" s="383"/>
      <c r="E174" s="383"/>
      <c r="F174" s="383"/>
      <c r="G174" s="383">
        <v>7.1</v>
      </c>
      <c r="H174" s="383"/>
      <c r="I174" s="383"/>
      <c r="J174" s="384">
        <v>22.4</v>
      </c>
    </row>
    <row r="175" spans="1:10">
      <c r="A175" s="377" t="s">
        <v>42</v>
      </c>
      <c r="B175" s="377"/>
      <c r="C175" s="377">
        <v>210.3</v>
      </c>
      <c r="D175" s="377"/>
      <c r="E175" s="377"/>
      <c r="F175" s="377"/>
      <c r="G175" s="377"/>
      <c r="H175" s="377"/>
      <c r="I175" s="377"/>
      <c r="J175" s="380">
        <v>210.3</v>
      </c>
    </row>
    <row r="176" spans="1:10">
      <c r="A176" s="383" t="s">
        <v>486</v>
      </c>
      <c r="B176" s="383"/>
      <c r="C176" s="383">
        <v>192.6</v>
      </c>
      <c r="D176" s="383"/>
      <c r="E176" s="383"/>
      <c r="F176" s="383"/>
      <c r="G176" s="383"/>
      <c r="H176" s="383"/>
      <c r="I176" s="383"/>
      <c r="J176" s="384">
        <v>192.6</v>
      </c>
    </row>
    <row r="177" spans="1:10">
      <c r="A177" s="383" t="s">
        <v>487</v>
      </c>
      <c r="B177" s="383"/>
      <c r="C177" s="383">
        <v>5.7</v>
      </c>
      <c r="D177" s="383"/>
      <c r="E177" s="383"/>
      <c r="F177" s="383"/>
      <c r="G177" s="383"/>
      <c r="H177" s="383"/>
      <c r="I177" s="383"/>
      <c r="J177" s="384">
        <v>5.7</v>
      </c>
    </row>
    <row r="178" spans="1:10">
      <c r="A178" s="383" t="s">
        <v>488</v>
      </c>
      <c r="B178" s="383"/>
      <c r="C178" s="383">
        <v>12</v>
      </c>
      <c r="D178" s="383"/>
      <c r="E178" s="383"/>
      <c r="F178" s="383"/>
      <c r="G178" s="383"/>
      <c r="H178" s="383"/>
      <c r="I178" s="383"/>
      <c r="J178" s="384">
        <v>12</v>
      </c>
    </row>
    <row r="179" spans="1:10">
      <c r="A179" s="377" t="s">
        <v>489</v>
      </c>
      <c r="B179" s="377"/>
      <c r="C179" s="377">
        <v>14.2</v>
      </c>
      <c r="D179" s="377"/>
      <c r="E179" s="377"/>
      <c r="F179" s="377"/>
      <c r="G179" s="377">
        <v>54.2</v>
      </c>
      <c r="H179" s="377">
        <v>2.7</v>
      </c>
      <c r="I179" s="377"/>
      <c r="J179" s="380">
        <v>71</v>
      </c>
    </row>
    <row r="180" spans="1:10">
      <c r="A180" s="377" t="s">
        <v>490</v>
      </c>
      <c r="B180" s="377"/>
      <c r="C180" s="377">
        <v>4.4000000000000004</v>
      </c>
      <c r="D180" s="377"/>
      <c r="E180" s="377"/>
      <c r="F180" s="377"/>
      <c r="G180" s="377"/>
      <c r="H180" s="377"/>
      <c r="I180" s="377"/>
      <c r="J180" s="380">
        <v>4.4000000000000004</v>
      </c>
    </row>
    <row r="181" spans="1:10">
      <c r="A181" s="381" t="s">
        <v>491</v>
      </c>
      <c r="B181" s="381">
        <v>123.1</v>
      </c>
      <c r="C181" s="381">
        <v>3.1</v>
      </c>
      <c r="D181" s="381"/>
      <c r="E181" s="381"/>
      <c r="F181" s="381"/>
      <c r="G181" s="381"/>
      <c r="H181" s="381"/>
      <c r="I181" s="381"/>
      <c r="J181" s="382">
        <v>126.2</v>
      </c>
    </row>
    <row r="182" spans="1:10">
      <c r="A182" s="377"/>
      <c r="B182" s="377"/>
      <c r="C182" s="377"/>
      <c r="D182" s="377"/>
      <c r="E182" s="377"/>
      <c r="F182" s="377"/>
      <c r="G182" s="377"/>
      <c r="H182" s="377"/>
      <c r="I182" s="377"/>
      <c r="J182" s="377"/>
    </row>
    <row r="183" spans="1:10" ht="15.6">
      <c r="A183" s="376" t="s">
        <v>498</v>
      </c>
      <c r="B183" s="377"/>
      <c r="C183" s="377"/>
      <c r="D183" s="377"/>
      <c r="E183" s="377"/>
      <c r="F183" s="377"/>
      <c r="G183" s="377"/>
      <c r="H183" s="377"/>
      <c r="I183" s="377"/>
      <c r="J183" s="377"/>
    </row>
    <row r="184" spans="1:10">
      <c r="A184" s="377"/>
      <c r="B184" s="377"/>
      <c r="C184" s="377"/>
      <c r="D184" s="377"/>
      <c r="E184" s="377"/>
      <c r="F184" s="377"/>
      <c r="G184" s="377"/>
      <c r="H184" s="377"/>
      <c r="I184" s="377"/>
      <c r="J184" s="377"/>
    </row>
    <row r="185" spans="1:10">
      <c r="A185" s="377" t="s">
        <v>469</v>
      </c>
      <c r="B185" s="378" t="s">
        <v>470</v>
      </c>
      <c r="C185" s="378" t="s">
        <v>471</v>
      </c>
      <c r="D185" s="378" t="s">
        <v>472</v>
      </c>
      <c r="E185" s="378" t="s">
        <v>25</v>
      </c>
      <c r="F185" s="378" t="s">
        <v>473</v>
      </c>
      <c r="G185" s="378" t="s">
        <v>20</v>
      </c>
      <c r="H185" s="378" t="s">
        <v>361</v>
      </c>
      <c r="I185" s="378" t="s">
        <v>387</v>
      </c>
      <c r="J185" s="378" t="s">
        <v>23</v>
      </c>
    </row>
    <row r="186" spans="1:10">
      <c r="A186" s="379" t="s">
        <v>474</v>
      </c>
      <c r="B186" s="379"/>
      <c r="C186" s="379"/>
      <c r="D186" s="379"/>
      <c r="E186" s="379">
        <v>39.200000000000003</v>
      </c>
      <c r="F186" s="379">
        <v>4.9000000000000004</v>
      </c>
      <c r="G186" s="379"/>
      <c r="H186" s="379">
        <v>2.7</v>
      </c>
      <c r="I186" s="379">
        <v>0</v>
      </c>
      <c r="J186" s="379">
        <v>46.8</v>
      </c>
    </row>
    <row r="187" spans="1:10">
      <c r="A187" s="377" t="s">
        <v>475</v>
      </c>
      <c r="B187" s="377">
        <v>367.1</v>
      </c>
      <c r="C187" s="377">
        <v>871.5</v>
      </c>
      <c r="D187" s="377"/>
      <c r="E187" s="377"/>
      <c r="F187" s="377"/>
      <c r="G187" s="377"/>
      <c r="H187" s="377"/>
      <c r="I187" s="377"/>
      <c r="J187" s="380">
        <v>1238.5999999999999</v>
      </c>
    </row>
    <row r="188" spans="1:10">
      <c r="A188" s="377" t="s">
        <v>476</v>
      </c>
      <c r="B188" s="377"/>
      <c r="C188" s="377">
        <v>0</v>
      </c>
      <c r="D188" s="377"/>
      <c r="E188" s="377"/>
      <c r="F188" s="377"/>
      <c r="G188" s="377"/>
      <c r="H188" s="377"/>
      <c r="I188" s="377"/>
      <c r="J188" s="380">
        <v>0</v>
      </c>
    </row>
    <row r="189" spans="1:10">
      <c r="A189" s="377" t="s">
        <v>477</v>
      </c>
      <c r="B189" s="377"/>
      <c r="C189" s="377">
        <v>-32.5</v>
      </c>
      <c r="D189" s="377"/>
      <c r="E189" s="377"/>
      <c r="F189" s="377"/>
      <c r="G189" s="377"/>
      <c r="H189" s="377"/>
      <c r="I189" s="377"/>
      <c r="J189" s="380">
        <v>-32.5</v>
      </c>
    </row>
    <row r="190" spans="1:10">
      <c r="A190" s="377" t="s">
        <v>478</v>
      </c>
      <c r="B190" s="377">
        <v>-31.3</v>
      </c>
      <c r="C190" s="377">
        <v>-7.7</v>
      </c>
      <c r="D190" s="377">
        <v>0</v>
      </c>
      <c r="E190" s="377"/>
      <c r="F190" s="377"/>
      <c r="G190" s="377"/>
      <c r="H190" s="377"/>
      <c r="I190" s="377"/>
      <c r="J190" s="380">
        <v>-39</v>
      </c>
    </row>
    <row r="191" spans="1:10">
      <c r="A191" s="379" t="s">
        <v>33</v>
      </c>
      <c r="B191" s="379">
        <v>335.8</v>
      </c>
      <c r="C191" s="379">
        <v>831.4</v>
      </c>
      <c r="D191" s="379">
        <v>0</v>
      </c>
      <c r="E191" s="379">
        <v>39.200000000000003</v>
      </c>
      <c r="F191" s="379">
        <v>4.9000000000000004</v>
      </c>
      <c r="G191" s="379"/>
      <c r="H191" s="379">
        <v>2.7</v>
      </c>
      <c r="I191" s="379">
        <v>0</v>
      </c>
      <c r="J191" s="379">
        <v>1214</v>
      </c>
    </row>
    <row r="192" spans="1:10">
      <c r="A192" s="377" t="s">
        <v>479</v>
      </c>
      <c r="B192" s="377">
        <v>-200.7</v>
      </c>
      <c r="C192" s="377">
        <v>-376.4</v>
      </c>
      <c r="D192" s="377"/>
      <c r="E192" s="377">
        <v>-39.200000000000003</v>
      </c>
      <c r="F192" s="377">
        <v>-4.9000000000000004</v>
      </c>
      <c r="G192" s="377">
        <v>215.4</v>
      </c>
      <c r="H192" s="377"/>
      <c r="I192" s="377">
        <v>0</v>
      </c>
      <c r="J192" s="380">
        <v>-405.8</v>
      </c>
    </row>
    <row r="193" spans="1:10">
      <c r="A193" s="377" t="s">
        <v>480</v>
      </c>
      <c r="B193" s="377">
        <v>-11.7</v>
      </c>
      <c r="C193" s="377">
        <v>-8.9</v>
      </c>
      <c r="D193" s="377">
        <v>0</v>
      </c>
      <c r="E193" s="377"/>
      <c r="F193" s="377"/>
      <c r="G193" s="377"/>
      <c r="H193" s="377"/>
      <c r="I193" s="377"/>
      <c r="J193" s="380">
        <v>-20.6</v>
      </c>
    </row>
    <row r="194" spans="1:10">
      <c r="A194" s="377" t="s">
        <v>481</v>
      </c>
      <c r="B194" s="377"/>
      <c r="C194" s="377"/>
      <c r="D194" s="377"/>
      <c r="E194" s="377"/>
      <c r="F194" s="377"/>
      <c r="G194" s="377">
        <v>-5.8</v>
      </c>
      <c r="H194" s="377"/>
      <c r="I194" s="377"/>
      <c r="J194" s="380">
        <v>-5.8</v>
      </c>
    </row>
    <row r="195" spans="1:10">
      <c r="A195" s="379" t="s">
        <v>47</v>
      </c>
      <c r="B195" s="379">
        <v>146.80000000000001</v>
      </c>
      <c r="C195" s="379">
        <v>463.9</v>
      </c>
      <c r="D195" s="379"/>
      <c r="E195" s="379"/>
      <c r="F195" s="379"/>
      <c r="G195" s="379">
        <v>209.6</v>
      </c>
      <c r="H195" s="379">
        <v>2.7</v>
      </c>
      <c r="I195" s="379"/>
      <c r="J195" s="379">
        <v>823</v>
      </c>
    </row>
    <row r="196" spans="1:10">
      <c r="A196" s="381" t="s">
        <v>482</v>
      </c>
      <c r="B196" s="381">
        <v>60.8</v>
      </c>
      <c r="C196" s="381">
        <v>461</v>
      </c>
      <c r="D196" s="381"/>
      <c r="E196" s="381"/>
      <c r="F196" s="381"/>
      <c r="G196" s="381">
        <v>209.6</v>
      </c>
      <c r="H196" s="381">
        <v>2.7</v>
      </c>
      <c r="I196" s="381"/>
      <c r="J196" s="382">
        <v>734.1</v>
      </c>
    </row>
    <row r="197" spans="1:10">
      <c r="A197" s="377" t="s">
        <v>41</v>
      </c>
      <c r="B197" s="377">
        <v>60.8</v>
      </c>
      <c r="C197" s="377">
        <v>236.2</v>
      </c>
      <c r="D197" s="377"/>
      <c r="E197" s="377"/>
      <c r="F197" s="377"/>
      <c r="G197" s="377">
        <v>155.5</v>
      </c>
      <c r="H197" s="377"/>
      <c r="I197" s="377"/>
      <c r="J197" s="380">
        <v>452.4</v>
      </c>
    </row>
    <row r="198" spans="1:10">
      <c r="A198" s="383" t="s">
        <v>483</v>
      </c>
      <c r="B198" s="383">
        <v>60.8</v>
      </c>
      <c r="C198" s="383">
        <v>161.9</v>
      </c>
      <c r="D198" s="383"/>
      <c r="E198" s="383"/>
      <c r="F198" s="383"/>
      <c r="G198" s="383">
        <v>144.9</v>
      </c>
      <c r="H198" s="383"/>
      <c r="I198" s="383"/>
      <c r="J198" s="384">
        <v>367.5</v>
      </c>
    </row>
    <row r="199" spans="1:10">
      <c r="A199" s="383" t="s">
        <v>484</v>
      </c>
      <c r="B199" s="383"/>
      <c r="C199" s="383">
        <v>58.4</v>
      </c>
      <c r="D199" s="383"/>
      <c r="E199" s="383"/>
      <c r="F199" s="383"/>
      <c r="G199" s="383">
        <v>3.2</v>
      </c>
      <c r="H199" s="383"/>
      <c r="I199" s="383"/>
      <c r="J199" s="384">
        <v>61.6</v>
      </c>
    </row>
    <row r="200" spans="1:10">
      <c r="A200" s="383" t="s">
        <v>485</v>
      </c>
      <c r="B200" s="383"/>
      <c r="C200" s="383">
        <v>16</v>
      </c>
      <c r="D200" s="383"/>
      <c r="E200" s="383"/>
      <c r="F200" s="383"/>
      <c r="G200" s="383">
        <v>7.3</v>
      </c>
      <c r="H200" s="383"/>
      <c r="I200" s="383"/>
      <c r="J200" s="384">
        <v>23.3</v>
      </c>
    </row>
    <row r="201" spans="1:10">
      <c r="A201" s="377" t="s">
        <v>42</v>
      </c>
      <c r="B201" s="377"/>
      <c r="C201" s="377">
        <v>206.2</v>
      </c>
      <c r="D201" s="377"/>
      <c r="E201" s="377"/>
      <c r="F201" s="377"/>
      <c r="G201" s="377"/>
      <c r="H201" s="377"/>
      <c r="I201" s="377"/>
      <c r="J201" s="380">
        <v>206.2</v>
      </c>
    </row>
    <row r="202" spans="1:10">
      <c r="A202" s="383" t="s">
        <v>486</v>
      </c>
      <c r="B202" s="383"/>
      <c r="C202" s="383">
        <v>189.9</v>
      </c>
      <c r="D202" s="383"/>
      <c r="E202" s="383"/>
      <c r="F202" s="383"/>
      <c r="G202" s="383"/>
      <c r="H202" s="383"/>
      <c r="I202" s="383"/>
      <c r="J202" s="384">
        <v>189.9</v>
      </c>
    </row>
    <row r="203" spans="1:10">
      <c r="A203" s="383" t="s">
        <v>487</v>
      </c>
      <c r="B203" s="383"/>
      <c r="C203" s="383">
        <v>5.2</v>
      </c>
      <c r="D203" s="383"/>
      <c r="E203" s="383"/>
      <c r="F203" s="383"/>
      <c r="G203" s="383"/>
      <c r="H203" s="383"/>
      <c r="I203" s="383"/>
      <c r="J203" s="384">
        <v>5.2</v>
      </c>
    </row>
    <row r="204" spans="1:10">
      <c r="A204" s="383" t="s">
        <v>488</v>
      </c>
      <c r="B204" s="383"/>
      <c r="C204" s="383">
        <v>11</v>
      </c>
      <c r="D204" s="383"/>
      <c r="E204" s="383"/>
      <c r="F204" s="383"/>
      <c r="G204" s="383"/>
      <c r="H204" s="383"/>
      <c r="I204" s="383"/>
      <c r="J204" s="384">
        <v>11</v>
      </c>
    </row>
    <row r="205" spans="1:10">
      <c r="A205" s="377" t="s">
        <v>489</v>
      </c>
      <c r="B205" s="377"/>
      <c r="C205" s="377">
        <v>14.2</v>
      </c>
      <c r="D205" s="377"/>
      <c r="E205" s="377"/>
      <c r="F205" s="377"/>
      <c r="G205" s="377">
        <v>54.1</v>
      </c>
      <c r="H205" s="377">
        <v>2.7</v>
      </c>
      <c r="I205" s="377"/>
      <c r="J205" s="380">
        <v>71</v>
      </c>
    </row>
    <row r="206" spans="1:10">
      <c r="A206" s="377" t="s">
        <v>490</v>
      </c>
      <c r="B206" s="377"/>
      <c r="C206" s="377">
        <v>4.5</v>
      </c>
      <c r="D206" s="377"/>
      <c r="E206" s="377"/>
      <c r="F206" s="377"/>
      <c r="G206" s="377"/>
      <c r="H206" s="377"/>
      <c r="I206" s="377"/>
      <c r="J206" s="380">
        <v>4.5</v>
      </c>
    </row>
    <row r="207" spans="1:10">
      <c r="A207" s="381" t="s">
        <v>491</v>
      </c>
      <c r="B207" s="381">
        <v>86</v>
      </c>
      <c r="C207" s="381">
        <v>2.9</v>
      </c>
      <c r="D207" s="381"/>
      <c r="E207" s="381"/>
      <c r="F207" s="381"/>
      <c r="G207" s="381"/>
      <c r="H207" s="381"/>
      <c r="I207" s="381"/>
      <c r="J207" s="382">
        <v>88.9</v>
      </c>
    </row>
    <row r="208" spans="1:10">
      <c r="A208" s="377"/>
      <c r="B208" s="377"/>
      <c r="C208" s="377"/>
      <c r="D208" s="377"/>
      <c r="E208" s="377"/>
      <c r="F208" s="377"/>
      <c r="G208" s="377"/>
      <c r="H208" s="377"/>
      <c r="I208" s="377"/>
      <c r="J208" s="377"/>
    </row>
    <row r="209" spans="1:10" ht="15.6">
      <c r="A209" s="376" t="s">
        <v>499</v>
      </c>
      <c r="B209" s="377"/>
      <c r="C209" s="377"/>
      <c r="D209" s="377"/>
      <c r="E209" s="377"/>
      <c r="F209" s="377"/>
      <c r="G209" s="377"/>
      <c r="H209" s="377"/>
      <c r="I209" s="377"/>
      <c r="J209" s="377"/>
    </row>
    <row r="210" spans="1:10">
      <c r="A210" s="377"/>
      <c r="B210" s="377"/>
      <c r="C210" s="377"/>
      <c r="D210" s="377"/>
      <c r="E210" s="377"/>
      <c r="F210" s="377"/>
      <c r="G210" s="377"/>
      <c r="H210" s="377"/>
      <c r="I210" s="377"/>
      <c r="J210" s="377"/>
    </row>
    <row r="211" spans="1:10">
      <c r="A211" s="377" t="s">
        <v>469</v>
      </c>
      <c r="B211" s="378" t="s">
        <v>470</v>
      </c>
      <c r="C211" s="378" t="s">
        <v>471</v>
      </c>
      <c r="D211" s="378" t="s">
        <v>472</v>
      </c>
      <c r="E211" s="378" t="s">
        <v>25</v>
      </c>
      <c r="F211" s="378" t="s">
        <v>473</v>
      </c>
      <c r="G211" s="378" t="s">
        <v>20</v>
      </c>
      <c r="H211" s="378" t="s">
        <v>361</v>
      </c>
      <c r="I211" s="378" t="s">
        <v>387</v>
      </c>
      <c r="J211" s="378" t="s">
        <v>23</v>
      </c>
    </row>
    <row r="212" spans="1:10">
      <c r="A212" s="379" t="s">
        <v>474</v>
      </c>
      <c r="B212" s="379"/>
      <c r="C212" s="379"/>
      <c r="D212" s="379"/>
      <c r="E212" s="379">
        <v>34.200000000000003</v>
      </c>
      <c r="F212" s="379">
        <v>5.3</v>
      </c>
      <c r="G212" s="379"/>
      <c r="H212" s="379">
        <v>2.7</v>
      </c>
      <c r="I212" s="379"/>
      <c r="J212" s="379">
        <v>42.2</v>
      </c>
    </row>
    <row r="213" spans="1:10">
      <c r="A213" s="377" t="s">
        <v>475</v>
      </c>
      <c r="B213" s="377">
        <v>356.3</v>
      </c>
      <c r="C213" s="377">
        <v>843.8</v>
      </c>
      <c r="D213" s="377"/>
      <c r="E213" s="377"/>
      <c r="F213" s="377"/>
      <c r="G213" s="377"/>
      <c r="H213" s="377"/>
      <c r="I213" s="377"/>
      <c r="J213" s="380">
        <v>1200.0999999999999</v>
      </c>
    </row>
    <row r="214" spans="1:10">
      <c r="A214" s="377" t="s">
        <v>476</v>
      </c>
      <c r="B214" s="377"/>
      <c r="C214" s="377">
        <v>0</v>
      </c>
      <c r="D214" s="377"/>
      <c r="E214" s="377"/>
      <c r="F214" s="377"/>
      <c r="G214" s="377"/>
      <c r="H214" s="377"/>
      <c r="I214" s="377"/>
      <c r="J214" s="380">
        <v>0</v>
      </c>
    </row>
    <row r="215" spans="1:10">
      <c r="A215" s="377" t="s">
        <v>477</v>
      </c>
      <c r="B215" s="377"/>
      <c r="C215" s="377">
        <v>-36.299999999999997</v>
      </c>
      <c r="D215" s="377"/>
      <c r="E215" s="377"/>
      <c r="F215" s="377"/>
      <c r="G215" s="377"/>
      <c r="H215" s="377"/>
      <c r="I215" s="377"/>
      <c r="J215" s="380">
        <v>-36.299999999999997</v>
      </c>
    </row>
    <row r="216" spans="1:10">
      <c r="A216" s="377" t="s">
        <v>478</v>
      </c>
      <c r="B216" s="377">
        <v>-26.3</v>
      </c>
      <c r="C216" s="377">
        <v>-55</v>
      </c>
      <c r="D216" s="377">
        <v>0</v>
      </c>
      <c r="E216" s="377"/>
      <c r="F216" s="377"/>
      <c r="G216" s="377"/>
      <c r="H216" s="377"/>
      <c r="I216" s="377"/>
      <c r="J216" s="380">
        <v>-81.3</v>
      </c>
    </row>
    <row r="217" spans="1:10">
      <c r="A217" s="379" t="s">
        <v>33</v>
      </c>
      <c r="B217" s="379">
        <v>330.1</v>
      </c>
      <c r="C217" s="379">
        <v>752.5</v>
      </c>
      <c r="D217" s="379">
        <v>0</v>
      </c>
      <c r="E217" s="379">
        <v>34.200000000000003</v>
      </c>
      <c r="F217" s="379">
        <v>5.3</v>
      </c>
      <c r="G217" s="379"/>
      <c r="H217" s="379">
        <v>2.7</v>
      </c>
      <c r="I217" s="379"/>
      <c r="J217" s="379">
        <v>1124.7</v>
      </c>
    </row>
    <row r="218" spans="1:10">
      <c r="A218" s="377" t="s">
        <v>479</v>
      </c>
      <c r="B218" s="377">
        <v>-169.3</v>
      </c>
      <c r="C218" s="377">
        <v>-340.9</v>
      </c>
      <c r="D218" s="377"/>
      <c r="E218" s="377">
        <v>-34.200000000000003</v>
      </c>
      <c r="F218" s="377">
        <v>-5.3</v>
      </c>
      <c r="G218" s="377">
        <v>196.7</v>
      </c>
      <c r="H218" s="377"/>
      <c r="I218" s="377"/>
      <c r="J218" s="380">
        <v>-353</v>
      </c>
    </row>
    <row r="219" spans="1:10">
      <c r="A219" s="377" t="s">
        <v>480</v>
      </c>
      <c r="B219" s="377">
        <v>-16.2</v>
      </c>
      <c r="C219" s="377">
        <v>-3.8</v>
      </c>
      <c r="D219" s="377">
        <v>0</v>
      </c>
      <c r="E219" s="377"/>
      <c r="F219" s="377"/>
      <c r="G219" s="377"/>
      <c r="H219" s="377"/>
      <c r="I219" s="377"/>
      <c r="J219" s="380">
        <v>-20</v>
      </c>
    </row>
    <row r="220" spans="1:10">
      <c r="A220" s="377" t="s">
        <v>481</v>
      </c>
      <c r="B220" s="377"/>
      <c r="C220" s="377"/>
      <c r="D220" s="377"/>
      <c r="E220" s="377"/>
      <c r="F220" s="377"/>
      <c r="G220" s="377">
        <v>-6</v>
      </c>
      <c r="H220" s="377"/>
      <c r="I220" s="377"/>
      <c r="J220" s="380">
        <v>-6</v>
      </c>
    </row>
    <row r="221" spans="1:10">
      <c r="A221" s="379" t="s">
        <v>47</v>
      </c>
      <c r="B221" s="379">
        <v>177</v>
      </c>
      <c r="C221" s="379">
        <v>415.4</v>
      </c>
      <c r="D221" s="379"/>
      <c r="E221" s="379"/>
      <c r="F221" s="379"/>
      <c r="G221" s="379">
        <v>190.7</v>
      </c>
      <c r="H221" s="379">
        <v>2.7</v>
      </c>
      <c r="I221" s="379"/>
      <c r="J221" s="379">
        <v>785.7</v>
      </c>
    </row>
    <row r="222" spans="1:10">
      <c r="A222" s="381" t="s">
        <v>482</v>
      </c>
      <c r="B222" s="381">
        <v>94</v>
      </c>
      <c r="C222" s="381">
        <v>412.3</v>
      </c>
      <c r="D222" s="381"/>
      <c r="E222" s="381"/>
      <c r="F222" s="381"/>
      <c r="G222" s="381">
        <v>190.7</v>
      </c>
      <c r="H222" s="381">
        <v>2.7</v>
      </c>
      <c r="I222" s="381"/>
      <c r="J222" s="382">
        <v>699.6</v>
      </c>
    </row>
    <row r="223" spans="1:10">
      <c r="A223" s="377" t="s">
        <v>41</v>
      </c>
      <c r="B223" s="377">
        <v>94</v>
      </c>
      <c r="C223" s="377">
        <v>184</v>
      </c>
      <c r="D223" s="377"/>
      <c r="E223" s="377"/>
      <c r="F223" s="377"/>
      <c r="G223" s="377">
        <v>137.19999999999999</v>
      </c>
      <c r="H223" s="377"/>
      <c r="I223" s="377"/>
      <c r="J223" s="380">
        <v>415.3</v>
      </c>
    </row>
    <row r="224" spans="1:10">
      <c r="A224" s="383" t="s">
        <v>483</v>
      </c>
      <c r="B224" s="383">
        <v>94</v>
      </c>
      <c r="C224" s="383">
        <v>147.69999999999999</v>
      </c>
      <c r="D224" s="383"/>
      <c r="E224" s="383"/>
      <c r="F224" s="383"/>
      <c r="G224" s="383">
        <v>124.9</v>
      </c>
      <c r="H224" s="383"/>
      <c r="I224" s="383"/>
      <c r="J224" s="384">
        <v>366.6</v>
      </c>
    </row>
    <row r="225" spans="1:10">
      <c r="A225" s="383" t="s">
        <v>484</v>
      </c>
      <c r="B225" s="383"/>
      <c r="C225" s="383">
        <v>22.4</v>
      </c>
      <c r="D225" s="383"/>
      <c r="E225" s="383"/>
      <c r="F225" s="383"/>
      <c r="G225" s="383">
        <v>3.7</v>
      </c>
      <c r="H225" s="383"/>
      <c r="I225" s="383"/>
      <c r="J225" s="384">
        <v>26.1</v>
      </c>
    </row>
    <row r="226" spans="1:10">
      <c r="A226" s="383" t="s">
        <v>485</v>
      </c>
      <c r="B226" s="383"/>
      <c r="C226" s="383">
        <v>13.9</v>
      </c>
      <c r="D226" s="383"/>
      <c r="E226" s="383"/>
      <c r="F226" s="383"/>
      <c r="G226" s="383">
        <v>8.6</v>
      </c>
      <c r="H226" s="383"/>
      <c r="I226" s="383"/>
      <c r="J226" s="384">
        <v>22.6</v>
      </c>
    </row>
    <row r="227" spans="1:10">
      <c r="A227" s="377" t="s">
        <v>42</v>
      </c>
      <c r="B227" s="377"/>
      <c r="C227" s="377">
        <v>204.2</v>
      </c>
      <c r="D227" s="377"/>
      <c r="E227" s="377"/>
      <c r="F227" s="377"/>
      <c r="G227" s="377"/>
      <c r="H227" s="377"/>
      <c r="I227" s="377"/>
      <c r="J227" s="380">
        <v>204.2</v>
      </c>
    </row>
    <row r="228" spans="1:10">
      <c r="A228" s="383" t="s">
        <v>486</v>
      </c>
      <c r="B228" s="383"/>
      <c r="C228" s="383">
        <v>187.1</v>
      </c>
      <c r="D228" s="383"/>
      <c r="E228" s="383"/>
      <c r="F228" s="383"/>
      <c r="G228" s="383"/>
      <c r="H228" s="383"/>
      <c r="I228" s="383"/>
      <c r="J228" s="384">
        <v>187.1</v>
      </c>
    </row>
    <row r="229" spans="1:10">
      <c r="A229" s="383" t="s">
        <v>487</v>
      </c>
      <c r="B229" s="383"/>
      <c r="C229" s="383">
        <v>4.9000000000000004</v>
      </c>
      <c r="D229" s="383"/>
      <c r="E229" s="383"/>
      <c r="F229" s="383"/>
      <c r="G229" s="383"/>
      <c r="H229" s="383"/>
      <c r="I229" s="383"/>
      <c r="J229" s="384">
        <v>4.9000000000000004</v>
      </c>
    </row>
    <row r="230" spans="1:10">
      <c r="A230" s="383" t="s">
        <v>488</v>
      </c>
      <c r="B230" s="383"/>
      <c r="C230" s="383">
        <v>12.2</v>
      </c>
      <c r="D230" s="383"/>
      <c r="E230" s="383"/>
      <c r="F230" s="383"/>
      <c r="G230" s="383"/>
      <c r="H230" s="383"/>
      <c r="I230" s="383"/>
      <c r="J230" s="384">
        <v>12.2</v>
      </c>
    </row>
    <row r="231" spans="1:10">
      <c r="A231" s="377" t="s">
        <v>489</v>
      </c>
      <c r="B231" s="377"/>
      <c r="C231" s="377">
        <v>19.5</v>
      </c>
      <c r="D231" s="377"/>
      <c r="E231" s="377"/>
      <c r="F231" s="377"/>
      <c r="G231" s="377">
        <v>53.4</v>
      </c>
      <c r="H231" s="377">
        <v>2.7</v>
      </c>
      <c r="I231" s="377"/>
      <c r="J231" s="380">
        <v>75.599999999999994</v>
      </c>
    </row>
    <row r="232" spans="1:10">
      <c r="A232" s="377" t="s">
        <v>490</v>
      </c>
      <c r="B232" s="377"/>
      <c r="C232" s="377">
        <v>4.5</v>
      </c>
      <c r="D232" s="377"/>
      <c r="E232" s="377"/>
      <c r="F232" s="377"/>
      <c r="G232" s="377"/>
      <c r="H232" s="377"/>
      <c r="I232" s="377"/>
      <c r="J232" s="380">
        <v>4.5</v>
      </c>
    </row>
    <row r="233" spans="1:10">
      <c r="A233" s="381" t="s">
        <v>491</v>
      </c>
      <c r="B233" s="381">
        <v>83</v>
      </c>
      <c r="C233" s="381">
        <v>3.1</v>
      </c>
      <c r="D233" s="381"/>
      <c r="E233" s="381"/>
      <c r="F233" s="381"/>
      <c r="G233" s="381"/>
      <c r="H233" s="381"/>
      <c r="I233" s="381"/>
      <c r="J233" s="382">
        <v>86.1</v>
      </c>
    </row>
    <row r="234" spans="1:10">
      <c r="A234" s="377"/>
      <c r="B234" s="377"/>
      <c r="C234" s="377"/>
      <c r="D234" s="377"/>
      <c r="E234" s="377"/>
      <c r="F234" s="377"/>
      <c r="G234" s="377"/>
      <c r="H234" s="377"/>
      <c r="I234" s="377"/>
      <c r="J234" s="377"/>
    </row>
    <row r="235" spans="1:10" ht="15.6">
      <c r="A235" s="376" t="s">
        <v>500</v>
      </c>
      <c r="B235" s="377"/>
      <c r="C235" s="377"/>
      <c r="D235" s="377"/>
      <c r="E235" s="377"/>
      <c r="F235" s="377"/>
      <c r="G235" s="377"/>
      <c r="H235" s="377"/>
      <c r="I235" s="377"/>
      <c r="J235" s="377"/>
    </row>
    <row r="236" spans="1:10">
      <c r="A236" s="377"/>
      <c r="B236" s="377"/>
      <c r="C236" s="377"/>
      <c r="D236" s="377"/>
      <c r="E236" s="377"/>
      <c r="F236" s="377"/>
      <c r="G236" s="377"/>
      <c r="H236" s="377"/>
      <c r="I236" s="377"/>
      <c r="J236" s="377"/>
    </row>
    <row r="237" spans="1:10">
      <c r="A237" s="377" t="s">
        <v>469</v>
      </c>
      <c r="B237" s="378" t="s">
        <v>470</v>
      </c>
      <c r="C237" s="378" t="s">
        <v>471</v>
      </c>
      <c r="D237" s="378" t="s">
        <v>472</v>
      </c>
      <c r="E237" s="378" t="s">
        <v>25</v>
      </c>
      <c r="F237" s="378" t="s">
        <v>473</v>
      </c>
      <c r="G237" s="378" t="s">
        <v>20</v>
      </c>
      <c r="H237" s="378" t="s">
        <v>361</v>
      </c>
      <c r="I237" s="378" t="s">
        <v>387</v>
      </c>
      <c r="J237" s="378" t="s">
        <v>23</v>
      </c>
    </row>
    <row r="238" spans="1:10">
      <c r="A238" s="379" t="s">
        <v>474</v>
      </c>
      <c r="B238" s="379"/>
      <c r="C238" s="379"/>
      <c r="D238" s="379"/>
      <c r="E238" s="379">
        <v>32.299999999999997</v>
      </c>
      <c r="F238" s="379">
        <v>4.3</v>
      </c>
      <c r="G238" s="379"/>
      <c r="H238" s="379">
        <v>2.7</v>
      </c>
      <c r="I238" s="379"/>
      <c r="J238" s="379">
        <v>39.200000000000003</v>
      </c>
    </row>
    <row r="239" spans="1:10">
      <c r="A239" s="377" t="s">
        <v>475</v>
      </c>
      <c r="B239" s="377">
        <v>334.1</v>
      </c>
      <c r="C239" s="377">
        <v>737.2</v>
      </c>
      <c r="D239" s="377"/>
      <c r="E239" s="377"/>
      <c r="F239" s="377"/>
      <c r="G239" s="377"/>
      <c r="H239" s="377"/>
      <c r="I239" s="377"/>
      <c r="J239" s="380">
        <v>1071.2</v>
      </c>
    </row>
    <row r="240" spans="1:10">
      <c r="A240" s="377" t="s">
        <v>476</v>
      </c>
      <c r="B240" s="377"/>
      <c r="C240" s="377">
        <v>0</v>
      </c>
      <c r="D240" s="377"/>
      <c r="E240" s="377"/>
      <c r="F240" s="377"/>
      <c r="G240" s="377"/>
      <c r="H240" s="377"/>
      <c r="I240" s="377"/>
      <c r="J240" s="380">
        <v>0</v>
      </c>
    </row>
    <row r="241" spans="1:10">
      <c r="A241" s="377" t="s">
        <v>477</v>
      </c>
      <c r="B241" s="377"/>
      <c r="C241" s="377">
        <v>-39.1</v>
      </c>
      <c r="D241" s="377"/>
      <c r="E241" s="377"/>
      <c r="F241" s="377"/>
      <c r="G241" s="377"/>
      <c r="H241" s="377"/>
      <c r="I241" s="377"/>
      <c r="J241" s="380">
        <v>-39.1</v>
      </c>
    </row>
    <row r="242" spans="1:10">
      <c r="A242" s="377" t="s">
        <v>478</v>
      </c>
      <c r="B242" s="377">
        <v>-3.3</v>
      </c>
      <c r="C242" s="377">
        <v>47.1</v>
      </c>
      <c r="D242" s="377">
        <v>0</v>
      </c>
      <c r="E242" s="377"/>
      <c r="F242" s="377"/>
      <c r="G242" s="377"/>
      <c r="H242" s="377"/>
      <c r="I242" s="377"/>
      <c r="J242" s="380">
        <v>43.8</v>
      </c>
    </row>
    <row r="243" spans="1:10">
      <c r="A243" s="379" t="s">
        <v>33</v>
      </c>
      <c r="B243" s="379">
        <v>330.8</v>
      </c>
      <c r="C243" s="379">
        <v>745.1</v>
      </c>
      <c r="D243" s="379">
        <v>0</v>
      </c>
      <c r="E243" s="379">
        <v>32.299999999999997</v>
      </c>
      <c r="F243" s="379">
        <v>4.3</v>
      </c>
      <c r="G243" s="379"/>
      <c r="H243" s="379">
        <v>2.7</v>
      </c>
      <c r="I243" s="379"/>
      <c r="J243" s="379">
        <v>1115.0999999999999</v>
      </c>
    </row>
    <row r="244" spans="1:10" ht="33" customHeight="1">
      <c r="A244" s="377" t="s">
        <v>479</v>
      </c>
      <c r="B244" s="377">
        <v>-177.7</v>
      </c>
      <c r="C244" s="377">
        <v>-344</v>
      </c>
      <c r="D244" s="377"/>
      <c r="E244" s="377">
        <v>-32.299999999999997</v>
      </c>
      <c r="F244" s="377">
        <v>-4.3</v>
      </c>
      <c r="G244" s="377">
        <v>194.2</v>
      </c>
      <c r="H244" s="377"/>
      <c r="I244" s="377"/>
      <c r="J244" s="380">
        <v>-364.1</v>
      </c>
    </row>
    <row r="245" spans="1:10">
      <c r="A245" s="377" t="s">
        <v>480</v>
      </c>
      <c r="B245" s="377">
        <v>-13.4</v>
      </c>
      <c r="C245" s="377">
        <v>-4.8</v>
      </c>
      <c r="D245" s="377">
        <v>0</v>
      </c>
      <c r="E245" s="377"/>
      <c r="F245" s="377"/>
      <c r="G245" s="377"/>
      <c r="H245" s="377"/>
      <c r="I245" s="377"/>
      <c r="J245" s="380">
        <v>-18.2</v>
      </c>
    </row>
    <row r="246" spans="1:10">
      <c r="A246" s="377" t="s">
        <v>481</v>
      </c>
      <c r="B246" s="377"/>
      <c r="C246" s="377"/>
      <c r="D246" s="377"/>
      <c r="E246" s="377"/>
      <c r="F246" s="377"/>
      <c r="G246" s="377">
        <v>-5.5</v>
      </c>
      <c r="H246" s="377"/>
      <c r="I246" s="377"/>
      <c r="J246" s="380">
        <v>-5.5</v>
      </c>
    </row>
    <row r="247" spans="1:10">
      <c r="A247" s="379" t="s">
        <v>47</v>
      </c>
      <c r="B247" s="379">
        <v>166.5</v>
      </c>
      <c r="C247" s="379">
        <v>405.9</v>
      </c>
      <c r="D247" s="379"/>
      <c r="E247" s="379"/>
      <c r="F247" s="379"/>
      <c r="G247" s="379">
        <v>188.7</v>
      </c>
      <c r="H247" s="379">
        <v>2.7</v>
      </c>
      <c r="I247" s="379"/>
      <c r="J247" s="379">
        <v>763.8</v>
      </c>
    </row>
    <row r="248" spans="1:10">
      <c r="A248" s="381" t="s">
        <v>482</v>
      </c>
      <c r="B248" s="381">
        <v>85.6</v>
      </c>
      <c r="C248" s="381">
        <v>402.9</v>
      </c>
      <c r="D248" s="381"/>
      <c r="E248" s="381"/>
      <c r="F248" s="381"/>
      <c r="G248" s="381">
        <v>188.7</v>
      </c>
      <c r="H248" s="381">
        <v>2.7</v>
      </c>
      <c r="I248" s="381"/>
      <c r="J248" s="382">
        <v>679.9</v>
      </c>
    </row>
    <row r="249" spans="1:10">
      <c r="A249" s="377" t="s">
        <v>41</v>
      </c>
      <c r="B249" s="377">
        <v>85.6</v>
      </c>
      <c r="C249" s="377">
        <v>181.5</v>
      </c>
      <c r="D249" s="377"/>
      <c r="E249" s="377"/>
      <c r="F249" s="377"/>
      <c r="G249" s="377">
        <v>136.69999999999999</v>
      </c>
      <c r="H249" s="377"/>
      <c r="I249" s="377"/>
      <c r="J249" s="380">
        <v>403.8</v>
      </c>
    </row>
    <row r="250" spans="1:10">
      <c r="A250" s="383" t="s">
        <v>483</v>
      </c>
      <c r="B250" s="383">
        <v>85.6</v>
      </c>
      <c r="C250" s="383">
        <v>145.4</v>
      </c>
      <c r="D250" s="383"/>
      <c r="E250" s="383"/>
      <c r="F250" s="383"/>
      <c r="G250" s="383">
        <v>125</v>
      </c>
      <c r="H250" s="383"/>
      <c r="I250" s="383"/>
      <c r="J250" s="384">
        <v>356</v>
      </c>
    </row>
    <row r="251" spans="1:10">
      <c r="A251" s="383" t="s">
        <v>484</v>
      </c>
      <c r="B251" s="383"/>
      <c r="C251" s="383">
        <v>21.8</v>
      </c>
      <c r="D251" s="383"/>
      <c r="E251" s="383"/>
      <c r="F251" s="383"/>
      <c r="G251" s="383">
        <v>3.6</v>
      </c>
      <c r="H251" s="383"/>
      <c r="I251" s="383"/>
      <c r="J251" s="384">
        <v>25.4</v>
      </c>
    </row>
    <row r="252" spans="1:10">
      <c r="A252" s="383" t="s">
        <v>485</v>
      </c>
      <c r="B252" s="383"/>
      <c r="C252" s="383">
        <v>14.4</v>
      </c>
      <c r="D252" s="383"/>
      <c r="E252" s="383"/>
      <c r="F252" s="383"/>
      <c r="G252" s="383">
        <v>8.1</v>
      </c>
      <c r="H252" s="383"/>
      <c r="I252" s="383"/>
      <c r="J252" s="384">
        <v>22.5</v>
      </c>
    </row>
    <row r="253" spans="1:10">
      <c r="A253" s="377" t="s">
        <v>42</v>
      </c>
      <c r="B253" s="377"/>
      <c r="C253" s="377">
        <v>196.5</v>
      </c>
      <c r="D253" s="377"/>
      <c r="E253" s="377"/>
      <c r="F253" s="377"/>
      <c r="G253" s="377"/>
      <c r="H253" s="377"/>
      <c r="I253" s="377"/>
      <c r="J253" s="380">
        <v>196.5</v>
      </c>
    </row>
    <row r="254" spans="1:10">
      <c r="A254" s="383" t="s">
        <v>486</v>
      </c>
      <c r="B254" s="383"/>
      <c r="C254" s="383">
        <v>180.5</v>
      </c>
      <c r="D254" s="383"/>
      <c r="E254" s="383"/>
      <c r="F254" s="383"/>
      <c r="G254" s="383"/>
      <c r="H254" s="383"/>
      <c r="I254" s="383"/>
      <c r="J254" s="384">
        <v>180.5</v>
      </c>
    </row>
    <row r="255" spans="1:10">
      <c r="A255" s="383" t="s">
        <v>487</v>
      </c>
      <c r="B255" s="383"/>
      <c r="C255" s="383">
        <v>4.8</v>
      </c>
      <c r="D255" s="383"/>
      <c r="E255" s="383"/>
      <c r="F255" s="383"/>
      <c r="G255" s="383"/>
      <c r="H255" s="383"/>
      <c r="I255" s="383"/>
      <c r="J255" s="384">
        <v>4.8</v>
      </c>
    </row>
    <row r="256" spans="1:10">
      <c r="A256" s="383" t="s">
        <v>488</v>
      </c>
      <c r="B256" s="383"/>
      <c r="C256" s="383">
        <v>11.2</v>
      </c>
      <c r="D256" s="383"/>
      <c r="E256" s="383"/>
      <c r="F256" s="383"/>
      <c r="G256" s="383"/>
      <c r="H256" s="383"/>
      <c r="I256" s="383"/>
      <c r="J256" s="384">
        <v>11.2</v>
      </c>
    </row>
    <row r="257" spans="1:10">
      <c r="A257" s="377" t="s">
        <v>489</v>
      </c>
      <c r="B257" s="377"/>
      <c r="C257" s="377">
        <v>20.7</v>
      </c>
      <c r="D257" s="377"/>
      <c r="E257" s="377"/>
      <c r="F257" s="377"/>
      <c r="G257" s="377">
        <v>52</v>
      </c>
      <c r="H257" s="377">
        <v>2.7</v>
      </c>
      <c r="I257" s="377"/>
      <c r="J257" s="380">
        <v>75.400000000000006</v>
      </c>
    </row>
    <row r="258" spans="1:10">
      <c r="A258" s="377" t="s">
        <v>490</v>
      </c>
      <c r="B258" s="377"/>
      <c r="C258" s="377">
        <v>4.3</v>
      </c>
      <c r="D258" s="377"/>
      <c r="E258" s="377"/>
      <c r="F258" s="377"/>
      <c r="G258" s="377"/>
      <c r="H258" s="377"/>
      <c r="I258" s="377"/>
      <c r="J258" s="380">
        <v>4.3</v>
      </c>
    </row>
    <row r="259" spans="1:10">
      <c r="A259" s="381" t="s">
        <v>491</v>
      </c>
      <c r="B259" s="381">
        <v>80.900000000000006</v>
      </c>
      <c r="C259" s="381">
        <v>2.9</v>
      </c>
      <c r="D259" s="381"/>
      <c r="E259" s="381"/>
      <c r="F259" s="381"/>
      <c r="G259" s="381"/>
      <c r="H259" s="381"/>
      <c r="I259" s="381"/>
      <c r="J259" s="382">
        <v>83.8</v>
      </c>
    </row>
    <row r="260" spans="1:10">
      <c r="A260" s="377"/>
      <c r="B260" s="377"/>
      <c r="C260" s="377"/>
      <c r="D260" s="377"/>
      <c r="E260" s="377"/>
      <c r="F260" s="377"/>
      <c r="G260" s="377"/>
      <c r="H260" s="377"/>
      <c r="I260" s="377"/>
      <c r="J260" s="377"/>
    </row>
    <row r="261" spans="1:10" ht="15.6">
      <c r="A261" s="376" t="s">
        <v>501</v>
      </c>
      <c r="B261" s="377"/>
      <c r="C261" s="377"/>
      <c r="D261" s="377"/>
      <c r="E261" s="377"/>
      <c r="F261" s="377"/>
      <c r="G261" s="377"/>
      <c r="H261" s="377"/>
      <c r="I261" s="377"/>
      <c r="J261" s="377"/>
    </row>
    <row r="262" spans="1:10">
      <c r="A262" s="377"/>
      <c r="B262" s="377"/>
      <c r="C262" s="377"/>
      <c r="D262" s="377"/>
      <c r="E262" s="377"/>
      <c r="F262" s="377"/>
      <c r="G262" s="377"/>
      <c r="H262" s="377"/>
      <c r="I262" s="377"/>
      <c r="J262" s="377"/>
    </row>
    <row r="263" spans="1:10">
      <c r="A263" s="377" t="s">
        <v>469</v>
      </c>
      <c r="B263" s="378" t="s">
        <v>470</v>
      </c>
      <c r="C263" s="378" t="s">
        <v>471</v>
      </c>
      <c r="D263" s="378" t="s">
        <v>472</v>
      </c>
      <c r="E263" s="378" t="s">
        <v>25</v>
      </c>
      <c r="F263" s="378" t="s">
        <v>473</v>
      </c>
      <c r="G263" s="378" t="s">
        <v>20</v>
      </c>
      <c r="H263" s="378" t="s">
        <v>361</v>
      </c>
      <c r="I263" s="378" t="s">
        <v>387</v>
      </c>
      <c r="J263" s="378" t="s">
        <v>23</v>
      </c>
    </row>
    <row r="264" spans="1:10">
      <c r="A264" s="379" t="s">
        <v>474</v>
      </c>
      <c r="B264" s="379"/>
      <c r="C264" s="379"/>
      <c r="D264" s="379"/>
      <c r="E264" s="379">
        <v>22.8</v>
      </c>
      <c r="F264" s="379">
        <v>4.7</v>
      </c>
      <c r="G264" s="379"/>
      <c r="H264" s="379">
        <v>2.7</v>
      </c>
      <c r="I264" s="379"/>
      <c r="J264" s="379">
        <v>30.2</v>
      </c>
    </row>
    <row r="265" spans="1:10">
      <c r="A265" s="377" t="s">
        <v>475</v>
      </c>
      <c r="B265" s="377">
        <v>354.4</v>
      </c>
      <c r="C265" s="377">
        <v>770.1</v>
      </c>
      <c r="D265" s="377"/>
      <c r="E265" s="377"/>
      <c r="F265" s="377"/>
      <c r="G265" s="377"/>
      <c r="H265" s="377"/>
      <c r="I265" s="377"/>
      <c r="J265" s="380">
        <v>1124.5</v>
      </c>
    </row>
    <row r="266" spans="1:10">
      <c r="A266" s="377" t="s">
        <v>476</v>
      </c>
      <c r="B266" s="377"/>
      <c r="C266" s="377">
        <v>-0.1</v>
      </c>
      <c r="D266" s="377"/>
      <c r="E266" s="377"/>
      <c r="F266" s="377"/>
      <c r="G266" s="377"/>
      <c r="H266" s="377"/>
      <c r="I266" s="377"/>
      <c r="J266" s="380">
        <v>-0.1</v>
      </c>
    </row>
    <row r="267" spans="1:10">
      <c r="A267" s="377" t="s">
        <v>477</v>
      </c>
      <c r="B267" s="377"/>
      <c r="C267" s="377">
        <v>-33.4</v>
      </c>
      <c r="D267" s="377"/>
      <c r="E267" s="377"/>
      <c r="F267" s="377"/>
      <c r="G267" s="377"/>
      <c r="H267" s="377"/>
      <c r="I267" s="377"/>
      <c r="J267" s="380">
        <v>-33.4</v>
      </c>
    </row>
    <row r="268" spans="1:10">
      <c r="A268" s="377" t="s">
        <v>478</v>
      </c>
      <c r="B268" s="377">
        <v>-36.200000000000003</v>
      </c>
      <c r="C268" s="377">
        <v>10.9</v>
      </c>
      <c r="D268" s="377">
        <v>0</v>
      </c>
      <c r="E268" s="377"/>
      <c r="F268" s="377"/>
      <c r="G268" s="377"/>
      <c r="H268" s="377"/>
      <c r="I268" s="377"/>
      <c r="J268" s="380">
        <v>-25.3</v>
      </c>
    </row>
    <row r="269" spans="1:10">
      <c r="A269" s="379" t="s">
        <v>33</v>
      </c>
      <c r="B269" s="379">
        <v>318.2</v>
      </c>
      <c r="C269" s="379">
        <v>747.5</v>
      </c>
      <c r="D269" s="379">
        <v>0</v>
      </c>
      <c r="E269" s="379">
        <v>22.8</v>
      </c>
      <c r="F269" s="379">
        <v>4.7</v>
      </c>
      <c r="G269" s="379"/>
      <c r="H269" s="379">
        <v>2.7</v>
      </c>
      <c r="I269" s="379"/>
      <c r="J269" s="379">
        <v>1095.9000000000001</v>
      </c>
    </row>
    <row r="270" spans="1:10">
      <c r="A270" s="377" t="s">
        <v>479</v>
      </c>
      <c r="B270" s="377">
        <v>-162</v>
      </c>
      <c r="C270" s="377">
        <v>-353.6</v>
      </c>
      <c r="D270" s="377"/>
      <c r="E270" s="377">
        <v>-22.8</v>
      </c>
      <c r="F270" s="377">
        <v>-4.7</v>
      </c>
      <c r="G270" s="377">
        <v>183.3</v>
      </c>
      <c r="H270" s="377"/>
      <c r="I270" s="377"/>
      <c r="J270" s="380">
        <v>-359.8</v>
      </c>
    </row>
    <row r="271" spans="1:10">
      <c r="A271" s="377" t="s">
        <v>480</v>
      </c>
      <c r="B271" s="377">
        <v>-26</v>
      </c>
      <c r="C271" s="377">
        <v>19.2</v>
      </c>
      <c r="D271" s="377">
        <v>0</v>
      </c>
      <c r="E271" s="377"/>
      <c r="F271" s="377"/>
      <c r="G271" s="377"/>
      <c r="H271" s="377"/>
      <c r="I271" s="377"/>
      <c r="J271" s="380">
        <v>-6.8</v>
      </c>
    </row>
    <row r="272" spans="1:10">
      <c r="A272" s="377" t="s">
        <v>481</v>
      </c>
      <c r="B272" s="377"/>
      <c r="C272" s="377"/>
      <c r="D272" s="377"/>
      <c r="E272" s="377"/>
      <c r="F272" s="377"/>
      <c r="G272" s="377">
        <v>-5.7</v>
      </c>
      <c r="H272" s="377"/>
      <c r="I272" s="377"/>
      <c r="J272" s="380">
        <v>-5.7</v>
      </c>
    </row>
    <row r="273" spans="1:10">
      <c r="A273" s="379" t="s">
        <v>47</v>
      </c>
      <c r="B273" s="379">
        <v>182.2</v>
      </c>
      <c r="C273" s="379">
        <v>374.7</v>
      </c>
      <c r="D273" s="379"/>
      <c r="E273" s="379"/>
      <c r="F273" s="379"/>
      <c r="G273" s="379">
        <v>177.7</v>
      </c>
      <c r="H273" s="379">
        <v>2.7</v>
      </c>
      <c r="I273" s="379"/>
      <c r="J273" s="379">
        <v>737.2</v>
      </c>
    </row>
    <row r="274" spans="1:10">
      <c r="A274" s="381" t="s">
        <v>482</v>
      </c>
      <c r="B274" s="381">
        <v>96.5</v>
      </c>
      <c r="C274" s="381">
        <v>372.4</v>
      </c>
      <c r="D274" s="381"/>
      <c r="E274" s="381"/>
      <c r="F274" s="381"/>
      <c r="G274" s="381">
        <v>177.7</v>
      </c>
      <c r="H274" s="381">
        <v>2.7</v>
      </c>
      <c r="I274" s="381"/>
      <c r="J274" s="382">
        <v>649.20000000000005</v>
      </c>
    </row>
    <row r="275" spans="1:10">
      <c r="A275" s="377" t="s">
        <v>41</v>
      </c>
      <c r="B275" s="377">
        <v>96.5</v>
      </c>
      <c r="C275" s="377">
        <v>150.6</v>
      </c>
      <c r="D275" s="377"/>
      <c r="E275" s="377"/>
      <c r="F275" s="377"/>
      <c r="G275" s="377">
        <v>128.9</v>
      </c>
      <c r="H275" s="377"/>
      <c r="I275" s="377"/>
      <c r="J275" s="380">
        <v>375.9</v>
      </c>
    </row>
    <row r="276" spans="1:10">
      <c r="A276" s="383" t="s">
        <v>483</v>
      </c>
      <c r="B276" s="383">
        <v>96.5</v>
      </c>
      <c r="C276" s="383">
        <v>93.4</v>
      </c>
      <c r="D276" s="383"/>
      <c r="E276" s="383"/>
      <c r="F276" s="383"/>
      <c r="G276" s="383">
        <v>117.8</v>
      </c>
      <c r="H276" s="383"/>
      <c r="I276" s="383"/>
      <c r="J276" s="384">
        <v>307.7</v>
      </c>
    </row>
    <row r="277" spans="1:10">
      <c r="A277" s="383" t="s">
        <v>484</v>
      </c>
      <c r="B277" s="383"/>
      <c r="C277" s="383">
        <v>44</v>
      </c>
      <c r="D277" s="383"/>
      <c r="E277" s="383"/>
      <c r="F277" s="383"/>
      <c r="G277" s="383">
        <v>3.1</v>
      </c>
      <c r="H277" s="383"/>
      <c r="I277" s="383"/>
      <c r="J277" s="384">
        <v>47.1</v>
      </c>
    </row>
    <row r="278" spans="1:10">
      <c r="A278" s="383" t="s">
        <v>485</v>
      </c>
      <c r="B278" s="383"/>
      <c r="C278" s="383">
        <v>13.2</v>
      </c>
      <c r="D278" s="383"/>
      <c r="E278" s="383"/>
      <c r="F278" s="383"/>
      <c r="G278" s="383">
        <v>7.9</v>
      </c>
      <c r="H278" s="383"/>
      <c r="I278" s="383"/>
      <c r="J278" s="384">
        <v>21.1</v>
      </c>
    </row>
    <row r="279" spans="1:10">
      <c r="A279" s="377" t="s">
        <v>42</v>
      </c>
      <c r="B279" s="377"/>
      <c r="C279" s="377">
        <v>201.8</v>
      </c>
      <c r="D279" s="377"/>
      <c r="E279" s="377"/>
      <c r="F279" s="377"/>
      <c r="G279" s="377"/>
      <c r="H279" s="377"/>
      <c r="I279" s="377"/>
      <c r="J279" s="380">
        <v>201.8</v>
      </c>
    </row>
    <row r="280" spans="1:10">
      <c r="A280" s="383" t="s">
        <v>486</v>
      </c>
      <c r="B280" s="383"/>
      <c r="C280" s="383">
        <v>183.8</v>
      </c>
      <c r="D280" s="383"/>
      <c r="E280" s="383"/>
      <c r="F280" s="383"/>
      <c r="G280" s="383"/>
      <c r="H280" s="383"/>
      <c r="I280" s="383"/>
      <c r="J280" s="384">
        <v>183.8</v>
      </c>
    </row>
    <row r="281" spans="1:10">
      <c r="A281" s="383" t="s">
        <v>487</v>
      </c>
      <c r="B281" s="383"/>
      <c r="C281" s="383">
        <v>4.7</v>
      </c>
      <c r="D281" s="383"/>
      <c r="E281" s="383"/>
      <c r="F281" s="383"/>
      <c r="G281" s="383"/>
      <c r="H281" s="383"/>
      <c r="I281" s="383"/>
      <c r="J281" s="384">
        <v>4.7</v>
      </c>
    </row>
    <row r="282" spans="1:10">
      <c r="A282" s="383" t="s">
        <v>488</v>
      </c>
      <c r="B282" s="383"/>
      <c r="C282" s="383">
        <v>13.4</v>
      </c>
      <c r="D282" s="383"/>
      <c r="E282" s="383"/>
      <c r="F282" s="383"/>
      <c r="G282" s="383"/>
      <c r="H282" s="383"/>
      <c r="I282" s="383"/>
      <c r="J282" s="384">
        <v>13.4</v>
      </c>
    </row>
    <row r="283" spans="1:10">
      <c r="A283" s="377" t="s">
        <v>489</v>
      </c>
      <c r="B283" s="377"/>
      <c r="C283" s="377">
        <v>15.8</v>
      </c>
      <c r="D283" s="377"/>
      <c r="E283" s="377"/>
      <c r="F283" s="377"/>
      <c r="G283" s="377">
        <v>48.8</v>
      </c>
      <c r="H283" s="377">
        <v>2.7</v>
      </c>
      <c r="I283" s="377"/>
      <c r="J283" s="380">
        <v>67.2</v>
      </c>
    </row>
    <row r="284" spans="1:10">
      <c r="A284" s="377" t="s">
        <v>490</v>
      </c>
      <c r="B284" s="377"/>
      <c r="C284" s="377">
        <v>4.2</v>
      </c>
      <c r="D284" s="377"/>
      <c r="E284" s="377"/>
      <c r="F284" s="377"/>
      <c r="G284" s="377"/>
      <c r="H284" s="377"/>
      <c r="I284" s="377"/>
      <c r="J284" s="380">
        <v>4.2</v>
      </c>
    </row>
    <row r="285" spans="1:10">
      <c r="A285" s="381" t="s">
        <v>491</v>
      </c>
      <c r="B285" s="381">
        <v>85.7</v>
      </c>
      <c r="C285" s="381">
        <v>2.2999999999999998</v>
      </c>
      <c r="D285" s="381"/>
      <c r="E285" s="381"/>
      <c r="F285" s="381"/>
      <c r="G285" s="381"/>
      <c r="H285" s="381"/>
      <c r="I285" s="381"/>
      <c r="J285" s="382">
        <v>88</v>
      </c>
    </row>
    <row r="286" spans="1:10">
      <c r="A286" s="377"/>
      <c r="B286" s="377"/>
      <c r="C286" s="377"/>
      <c r="D286" s="377"/>
      <c r="E286" s="377"/>
      <c r="F286" s="377"/>
      <c r="G286" s="377"/>
      <c r="H286" s="377"/>
      <c r="I286" s="377"/>
      <c r="J286" s="377"/>
    </row>
    <row r="287" spans="1:10">
      <c r="A287" s="377"/>
      <c r="B287" s="377"/>
      <c r="C287" s="377"/>
      <c r="D287" s="377"/>
      <c r="E287" s="377"/>
      <c r="F287" s="377"/>
      <c r="G287" s="377"/>
      <c r="H287" s="377"/>
      <c r="I287" s="377"/>
      <c r="J287" s="377"/>
    </row>
    <row r="288" spans="1:10">
      <c r="A288" s="377"/>
      <c r="B288" s="377"/>
      <c r="C288" s="377"/>
      <c r="D288" s="377"/>
      <c r="E288" s="377"/>
      <c r="F288" s="377"/>
      <c r="G288" s="377"/>
      <c r="H288" s="377"/>
      <c r="I288" s="377"/>
      <c r="J288" s="377"/>
    </row>
    <row r="289" spans="1:10">
      <c r="A289" s="377" t="s">
        <v>502</v>
      </c>
      <c r="B289" s="377"/>
      <c r="C289" s="377"/>
      <c r="D289" s="377"/>
      <c r="E289" s="377"/>
      <c r="F289" s="377"/>
      <c r="G289" s="377"/>
      <c r="H289" s="377"/>
      <c r="I289" s="377"/>
      <c r="J289" s="377"/>
    </row>
    <row r="290" spans="1:10">
      <c r="A290" s="377" t="s">
        <v>503</v>
      </c>
      <c r="B290" s="377"/>
      <c r="C290" s="377"/>
      <c r="D290" s="377"/>
      <c r="E290" s="377"/>
      <c r="F290" s="377"/>
      <c r="G290" s="377"/>
      <c r="H290" s="377"/>
      <c r="I290" s="377"/>
      <c r="J290" s="37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4:S5"/>
  <sheetViews>
    <sheetView topLeftCell="H1" workbookViewId="0">
      <selection activeCell="S14" sqref="S14"/>
    </sheetView>
  </sheetViews>
  <sheetFormatPr baseColWidth="10" defaultRowHeight="14.4"/>
  <sheetData>
    <row r="4" spans="2:19">
      <c r="B4" s="30">
        <v>2010</v>
      </c>
      <c r="C4" s="30">
        <v>2011</v>
      </c>
      <c r="D4" s="30">
        <v>2012</v>
      </c>
      <c r="E4" s="30">
        <v>2013</v>
      </c>
      <c r="F4" s="30">
        <v>2014</v>
      </c>
      <c r="G4" s="30">
        <v>2015</v>
      </c>
      <c r="H4" s="30">
        <v>2016</v>
      </c>
      <c r="I4" s="30">
        <v>2017</v>
      </c>
      <c r="J4" s="30">
        <v>2018</v>
      </c>
      <c r="K4" s="30">
        <v>2019</v>
      </c>
      <c r="L4" s="30">
        <v>2020</v>
      </c>
      <c r="M4" s="30">
        <v>2021</v>
      </c>
      <c r="N4" s="256">
        <v>2025</v>
      </c>
      <c r="O4" s="256">
        <v>2030</v>
      </c>
      <c r="P4" s="256">
        <v>2035</v>
      </c>
      <c r="Q4" s="256">
        <v>2040</v>
      </c>
      <c r="R4" s="256">
        <v>2045</v>
      </c>
      <c r="S4" s="256">
        <v>2050</v>
      </c>
    </row>
    <row r="5" spans="2:19">
      <c r="B5" s="32">
        <v>821136</v>
      </c>
      <c r="C5" s="32">
        <v>828581</v>
      </c>
      <c r="D5" s="32">
        <v>833944</v>
      </c>
      <c r="E5" s="32">
        <v>835103</v>
      </c>
      <c r="F5" s="32">
        <v>842767</v>
      </c>
      <c r="G5" s="32">
        <v>850727</v>
      </c>
      <c r="H5" s="32">
        <v>852924</v>
      </c>
      <c r="I5" s="32">
        <v>853659</v>
      </c>
      <c r="J5" s="32">
        <v>855961</v>
      </c>
      <c r="K5" s="32">
        <v>861210</v>
      </c>
      <c r="L5" s="32">
        <v>863197</v>
      </c>
      <c r="M5" s="332">
        <v>866000</v>
      </c>
      <c r="N5" s="256">
        <f>0.879*1000000</f>
        <v>879000</v>
      </c>
      <c r="O5" s="256">
        <f>0.893*1000000</f>
        <v>893000</v>
      </c>
      <c r="P5" s="256">
        <f>0.904*1000000</f>
        <v>904000</v>
      </c>
      <c r="Q5" s="256">
        <f>0.913*1000000</f>
        <v>913000</v>
      </c>
      <c r="R5" s="256">
        <f>0.917*1000000</f>
        <v>917000</v>
      </c>
      <c r="S5" s="256">
        <f>0.918*1000000</f>
        <v>918000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25"/>
  <sheetViews>
    <sheetView topLeftCell="I1" workbookViewId="0">
      <selection activeCell="AE7" sqref="AE7:AF14"/>
    </sheetView>
  </sheetViews>
  <sheetFormatPr baseColWidth="10" defaultColWidth="11.44140625" defaultRowHeight="14.4"/>
  <cols>
    <col min="1" max="1" width="3" style="486" customWidth="1"/>
    <col min="2" max="2" width="54" style="486" customWidth="1"/>
    <col min="3" max="16" width="5.6640625" style="486" customWidth="1"/>
    <col min="17" max="32" width="6" style="486" customWidth="1"/>
    <col min="33" max="33" width="5.6640625" style="486" customWidth="1"/>
    <col min="34" max="34" width="43.33203125" style="486" customWidth="1"/>
    <col min="35" max="36" width="10.33203125" style="486" customWidth="1"/>
    <col min="37" max="16384" width="11.44140625" style="486"/>
  </cols>
  <sheetData>
    <row r="1" spans="1:36" s="485" customFormat="1" ht="25.8">
      <c r="A1" s="482"/>
      <c r="B1" s="483" t="s">
        <v>647</v>
      </c>
      <c r="C1" s="484" t="s">
        <v>648</v>
      </c>
      <c r="D1" s="482"/>
      <c r="E1" s="482"/>
      <c r="F1" s="482"/>
      <c r="G1" s="482"/>
      <c r="H1" s="482"/>
      <c r="I1" s="482"/>
      <c r="J1" s="482"/>
      <c r="K1" s="482"/>
      <c r="L1" s="482"/>
      <c r="M1" s="482"/>
      <c r="N1" s="482"/>
      <c r="O1" s="482"/>
      <c r="P1" s="482"/>
      <c r="Q1" s="482"/>
      <c r="R1" s="482"/>
      <c r="S1" s="482"/>
      <c r="T1" s="482"/>
      <c r="U1" s="482"/>
      <c r="V1" s="482"/>
      <c r="W1" s="482"/>
      <c r="X1" s="482"/>
      <c r="Y1" s="482"/>
      <c r="Z1" s="482"/>
      <c r="AA1" s="482"/>
      <c r="AB1" s="482"/>
      <c r="AC1" s="482"/>
      <c r="AD1" s="482"/>
      <c r="AE1" s="482"/>
      <c r="AF1" s="482"/>
      <c r="AG1" s="482"/>
      <c r="AH1" s="482"/>
      <c r="AI1" s="482"/>
      <c r="AJ1" s="482"/>
    </row>
    <row r="2" spans="1:36" ht="15">
      <c r="B2" s="607" t="s">
        <v>649</v>
      </c>
      <c r="C2" s="608"/>
      <c r="D2" s="608"/>
      <c r="E2" s="608"/>
      <c r="F2" s="608"/>
      <c r="G2" s="608"/>
      <c r="H2" s="608"/>
      <c r="I2" s="608"/>
      <c r="J2" s="608"/>
      <c r="K2" s="608"/>
      <c r="L2" s="608"/>
      <c r="M2" s="608"/>
      <c r="N2" s="608"/>
      <c r="O2" s="608"/>
      <c r="P2" s="608"/>
      <c r="Q2" s="608"/>
      <c r="R2" s="608"/>
      <c r="S2" s="608"/>
      <c r="T2" s="608"/>
      <c r="U2" s="608"/>
      <c r="V2" s="608"/>
      <c r="W2" s="608"/>
      <c r="X2" s="608"/>
      <c r="Y2" s="608"/>
      <c r="Z2" s="608"/>
      <c r="AA2" s="608"/>
      <c r="AB2" s="608"/>
      <c r="AC2" s="608"/>
      <c r="AD2" s="608"/>
      <c r="AE2" s="487"/>
      <c r="AF2" s="487"/>
    </row>
    <row r="3" spans="1:36" ht="15">
      <c r="B3" s="488" t="s">
        <v>104</v>
      </c>
      <c r="C3" s="487"/>
      <c r="D3" s="487"/>
      <c r="E3" s="487"/>
      <c r="F3" s="487"/>
      <c r="G3" s="487"/>
      <c r="H3" s="487"/>
      <c r="I3" s="487"/>
      <c r="J3" s="487"/>
      <c r="K3" s="487"/>
      <c r="L3" s="487"/>
      <c r="M3" s="487"/>
      <c r="N3" s="487"/>
      <c r="O3" s="487"/>
      <c r="P3" s="487"/>
      <c r="Q3" s="487"/>
      <c r="R3" s="487"/>
      <c r="S3" s="487"/>
      <c r="T3" s="487"/>
      <c r="U3" s="487"/>
      <c r="V3" s="487"/>
      <c r="W3" s="487"/>
      <c r="X3" s="487"/>
      <c r="Y3" s="487"/>
      <c r="Z3" s="487"/>
      <c r="AA3" s="487"/>
      <c r="AB3" s="487"/>
      <c r="AC3" s="487"/>
      <c r="AD3" s="487"/>
      <c r="AE3" s="487"/>
      <c r="AF3" s="487"/>
    </row>
    <row r="4" spans="1:36" ht="22.2">
      <c r="B4" s="489"/>
      <c r="C4" s="490"/>
      <c r="D4" s="490"/>
      <c r="E4" s="490"/>
      <c r="F4" s="490"/>
      <c r="G4" s="490"/>
      <c r="H4" s="490"/>
      <c r="I4" s="490"/>
      <c r="J4" s="490"/>
      <c r="K4" s="490"/>
      <c r="L4" s="490"/>
      <c r="M4" s="490"/>
      <c r="N4" s="490"/>
      <c r="O4" s="490"/>
      <c r="P4" s="490"/>
      <c r="Q4" s="490"/>
      <c r="R4" s="490"/>
      <c r="S4" s="490"/>
      <c r="T4" s="490"/>
      <c r="U4" s="490"/>
      <c r="V4" s="490"/>
      <c r="W4" s="490"/>
      <c r="X4" s="490"/>
      <c r="Y4" s="490"/>
      <c r="Z4" s="490"/>
      <c r="AA4" s="490"/>
      <c r="AB4" s="490"/>
      <c r="AC4" s="490"/>
      <c r="AD4" s="490"/>
      <c r="AE4" s="490"/>
      <c r="AF4" s="490"/>
    </row>
    <row r="5" spans="1:36" ht="18">
      <c r="A5" s="491"/>
      <c r="B5" s="492" t="s">
        <v>85</v>
      </c>
      <c r="C5" s="491"/>
      <c r="D5" s="491"/>
      <c r="E5" s="491"/>
      <c r="F5" s="491"/>
      <c r="G5" s="491"/>
      <c r="H5" s="491"/>
      <c r="I5" s="491"/>
      <c r="J5" s="491"/>
      <c r="K5" s="491"/>
      <c r="L5" s="491"/>
      <c r="M5" s="491"/>
      <c r="N5" s="491"/>
      <c r="O5" s="491"/>
      <c r="P5" s="491"/>
      <c r="Q5" s="491"/>
      <c r="R5" s="491"/>
      <c r="S5" s="491"/>
      <c r="T5" s="491"/>
      <c r="U5" s="491"/>
      <c r="V5" s="491"/>
      <c r="W5" s="491"/>
      <c r="X5" s="491"/>
      <c r="Y5" s="491"/>
      <c r="Z5" s="491"/>
      <c r="AA5" s="491"/>
      <c r="AB5" s="491"/>
      <c r="AC5" s="491"/>
      <c r="AD5" s="491"/>
      <c r="AE5" s="491"/>
      <c r="AF5" s="491"/>
      <c r="AG5" s="491"/>
      <c r="AH5" s="491"/>
      <c r="AI5" s="491"/>
      <c r="AJ5" s="491"/>
    </row>
    <row r="6" spans="1:36" s="493" customFormat="1" ht="28.8">
      <c r="B6" s="494" t="s">
        <v>650</v>
      </c>
      <c r="C6" s="495">
        <v>1990</v>
      </c>
      <c r="D6" s="495">
        <v>1991</v>
      </c>
      <c r="E6" s="495">
        <v>1992</v>
      </c>
      <c r="F6" s="495">
        <v>1993</v>
      </c>
      <c r="G6" s="495">
        <v>1994</v>
      </c>
      <c r="H6" s="495">
        <v>1995</v>
      </c>
      <c r="I6" s="495">
        <v>1996</v>
      </c>
      <c r="J6" s="495">
        <v>1997</v>
      </c>
      <c r="K6" s="495">
        <v>1998</v>
      </c>
      <c r="L6" s="495">
        <v>1999</v>
      </c>
      <c r="M6" s="495">
        <v>2000</v>
      </c>
      <c r="N6" s="495">
        <v>2001</v>
      </c>
      <c r="O6" s="495">
        <v>2002</v>
      </c>
      <c r="P6" s="495">
        <v>2003</v>
      </c>
      <c r="Q6" s="495">
        <v>2004</v>
      </c>
      <c r="R6" s="495">
        <v>2005</v>
      </c>
      <c r="S6" s="495">
        <v>2006</v>
      </c>
      <c r="T6" s="495">
        <v>2007</v>
      </c>
      <c r="U6" s="495">
        <v>2008</v>
      </c>
      <c r="V6" s="495">
        <v>2009</v>
      </c>
      <c r="W6" s="495">
        <v>2010</v>
      </c>
      <c r="X6" s="495">
        <v>2011</v>
      </c>
      <c r="Y6" s="495">
        <v>2012</v>
      </c>
      <c r="Z6" s="495">
        <v>2013</v>
      </c>
      <c r="AA6" s="495">
        <v>2014</v>
      </c>
      <c r="AB6" s="495">
        <v>2015</v>
      </c>
      <c r="AC6" s="495">
        <v>2016</v>
      </c>
      <c r="AD6" s="495">
        <v>2017</v>
      </c>
      <c r="AE6" s="495">
        <v>2018</v>
      </c>
      <c r="AF6" s="495">
        <v>2019</v>
      </c>
      <c r="AH6" s="496" t="s">
        <v>647</v>
      </c>
      <c r="AI6" s="497" t="s">
        <v>88</v>
      </c>
      <c r="AJ6" s="497" t="s">
        <v>89</v>
      </c>
    </row>
    <row r="7" spans="1:36" s="501" customFormat="1" ht="13.2">
      <c r="A7" s="498"/>
      <c r="B7" s="499" t="s">
        <v>90</v>
      </c>
      <c r="C7" s="500">
        <v>0</v>
      </c>
      <c r="D7" s="500">
        <v>0</v>
      </c>
      <c r="E7" s="500">
        <v>0</v>
      </c>
      <c r="F7" s="500">
        <v>0</v>
      </c>
      <c r="G7" s="500">
        <v>0</v>
      </c>
      <c r="H7" s="500">
        <v>0.84173203957421494</v>
      </c>
      <c r="I7" s="500">
        <v>3.7998189215064571</v>
      </c>
      <c r="J7" s="500">
        <v>6.7579058034386978</v>
      </c>
      <c r="K7" s="500">
        <v>9.7159926853709386</v>
      </c>
      <c r="L7" s="500">
        <v>12.674079567303183</v>
      </c>
      <c r="M7" s="500">
        <v>15.632166449235424</v>
      </c>
      <c r="N7" s="500">
        <v>20.086131412925269</v>
      </c>
      <c r="O7" s="500">
        <v>24.116825408143509</v>
      </c>
      <c r="P7" s="500">
        <v>27.724248434890143</v>
      </c>
      <c r="Q7" s="500">
        <v>30.427199120781403</v>
      </c>
      <c r="R7" s="500">
        <v>33.494990958174199</v>
      </c>
      <c r="S7" s="500">
        <v>40.323371160280942</v>
      </c>
      <c r="T7" s="500">
        <v>39.049688144966758</v>
      </c>
      <c r="U7" s="500">
        <v>37.436728301927815</v>
      </c>
      <c r="V7" s="500">
        <v>36.252708546394885</v>
      </c>
      <c r="W7" s="500">
        <v>35.270139225935921</v>
      </c>
      <c r="X7" s="500">
        <v>39.36182735300612</v>
      </c>
      <c r="Y7" s="500">
        <v>37.521755897774028</v>
      </c>
      <c r="Z7" s="500">
        <v>35.897781055265099</v>
      </c>
      <c r="AA7" s="500">
        <v>30.515963184032273</v>
      </c>
      <c r="AB7" s="500">
        <v>26.697533181819828</v>
      </c>
      <c r="AC7" s="500">
        <v>24.688779949400196</v>
      </c>
      <c r="AD7" s="500">
        <v>22.351943254130639</v>
      </c>
      <c r="AE7" s="500">
        <v>17.256450092995937</v>
      </c>
      <c r="AF7" s="500">
        <v>13.630204463162929</v>
      </c>
      <c r="AH7" s="498" t="s">
        <v>90</v>
      </c>
      <c r="AI7" s="502">
        <v>0</v>
      </c>
      <c r="AJ7" s="502">
        <v>-0.21013856327871464</v>
      </c>
    </row>
    <row r="8" spans="1:36" s="501" customFormat="1" ht="13.2">
      <c r="A8" s="503"/>
      <c r="B8" s="499" t="s">
        <v>91</v>
      </c>
      <c r="C8" s="500">
        <v>0</v>
      </c>
      <c r="D8" s="500">
        <v>0</v>
      </c>
      <c r="E8" s="500">
        <v>0</v>
      </c>
      <c r="F8" s="500">
        <v>0</v>
      </c>
      <c r="G8" s="500">
        <v>102.99920534401295</v>
      </c>
      <c r="H8" s="500">
        <v>496.29039121521521</v>
      </c>
      <c r="I8" s="500">
        <v>937.625386448359</v>
      </c>
      <c r="J8" s="500">
        <v>1012.8820433308192</v>
      </c>
      <c r="K8" s="500">
        <v>1097.2202513328039</v>
      </c>
      <c r="L8" s="500">
        <v>1176.7290023644337</v>
      </c>
      <c r="M8" s="500">
        <v>1201.1012251690745</v>
      </c>
      <c r="N8" s="500">
        <v>1291.7589930745876</v>
      </c>
      <c r="O8" s="500">
        <v>1415.128270481365</v>
      </c>
      <c r="P8" s="500">
        <v>1727.4588455819435</v>
      </c>
      <c r="Q8" s="500">
        <v>1916.8495573212506</v>
      </c>
      <c r="R8" s="500">
        <v>2087.2703588289487</v>
      </c>
      <c r="S8" s="500">
        <v>2265.5493532647961</v>
      </c>
      <c r="T8" s="500">
        <v>2364.1298238691907</v>
      </c>
      <c r="U8" s="500">
        <v>2293.2178336294546</v>
      </c>
      <c r="V8" s="500">
        <v>2172.0860101752264</v>
      </c>
      <c r="W8" s="500">
        <v>2297.118860282465</v>
      </c>
      <c r="X8" s="500">
        <v>2312.355403228451</v>
      </c>
      <c r="Y8" s="500">
        <v>2147.6352724435478</v>
      </c>
      <c r="Z8" s="500">
        <v>2138.4281577023635</v>
      </c>
      <c r="AA8" s="500">
        <v>2104.4938755149124</v>
      </c>
      <c r="AB8" s="500">
        <v>2021.1235985377457</v>
      </c>
      <c r="AC8" s="500">
        <v>2003.3665142045063</v>
      </c>
      <c r="AD8" s="500">
        <v>1986.2243340809814</v>
      </c>
      <c r="AE8" s="500">
        <v>1285.3327503341898</v>
      </c>
      <c r="AF8" s="500">
        <v>1203.1137921703432</v>
      </c>
      <c r="AH8" s="504" t="s">
        <v>91</v>
      </c>
      <c r="AI8" s="502">
        <v>0</v>
      </c>
      <c r="AJ8" s="502">
        <v>-6.3967060780540597E-2</v>
      </c>
    </row>
    <row r="9" spans="1:36" s="501" customFormat="1" ht="13.2">
      <c r="A9" s="505"/>
      <c r="B9" s="499" t="s">
        <v>92</v>
      </c>
      <c r="C9" s="500">
        <v>0</v>
      </c>
      <c r="D9" s="500">
        <v>0</v>
      </c>
      <c r="E9" s="500">
        <v>0</v>
      </c>
      <c r="F9" s="500">
        <v>0</v>
      </c>
      <c r="G9" s="500">
        <v>0</v>
      </c>
      <c r="H9" s="500">
        <v>0</v>
      </c>
      <c r="I9" s="500">
        <v>0</v>
      </c>
      <c r="J9" s="500">
        <v>0</v>
      </c>
      <c r="K9" s="500">
        <v>0</v>
      </c>
      <c r="L9" s="500">
        <v>0</v>
      </c>
      <c r="M9" s="500">
        <v>0</v>
      </c>
      <c r="N9" s="500">
        <v>0</v>
      </c>
      <c r="O9" s="500">
        <v>0</v>
      </c>
      <c r="P9" s="500">
        <v>0</v>
      </c>
      <c r="Q9" s="500">
        <v>0</v>
      </c>
      <c r="R9" s="500">
        <v>0</v>
      </c>
      <c r="S9" s="500">
        <v>0</v>
      </c>
      <c r="T9" s="500">
        <v>0</v>
      </c>
      <c r="U9" s="500">
        <v>0</v>
      </c>
      <c r="V9" s="500">
        <v>0</v>
      </c>
      <c r="W9" s="500">
        <v>0</v>
      </c>
      <c r="X9" s="500">
        <v>0</v>
      </c>
      <c r="Y9" s="500">
        <v>0</v>
      </c>
      <c r="Z9" s="500">
        <v>0</v>
      </c>
      <c r="AA9" s="500">
        <v>0</v>
      </c>
      <c r="AB9" s="500">
        <v>0</v>
      </c>
      <c r="AC9" s="500">
        <v>0</v>
      </c>
      <c r="AD9" s="500">
        <v>0</v>
      </c>
      <c r="AE9" s="500">
        <v>0</v>
      </c>
      <c r="AF9" s="500">
        <v>0</v>
      </c>
      <c r="AH9" s="505" t="s">
        <v>92</v>
      </c>
      <c r="AI9" s="502">
        <v>0</v>
      </c>
      <c r="AJ9" s="502">
        <v>0</v>
      </c>
    </row>
    <row r="10" spans="1:36" s="501" customFormat="1" ht="13.2">
      <c r="A10" s="506"/>
      <c r="B10" s="499" t="s">
        <v>93</v>
      </c>
      <c r="C10" s="500">
        <v>0</v>
      </c>
      <c r="D10" s="500">
        <v>0</v>
      </c>
      <c r="E10" s="500">
        <v>0</v>
      </c>
      <c r="F10" s="500">
        <v>0</v>
      </c>
      <c r="G10" s="507">
        <v>400.60231633509932</v>
      </c>
      <c r="H10" s="507">
        <v>2667.885606096283</v>
      </c>
      <c r="I10" s="507">
        <v>5008.4668489382202</v>
      </c>
      <c r="J10" s="507">
        <v>5128.0320252595284</v>
      </c>
      <c r="K10" s="507">
        <v>5268.1101737002809</v>
      </c>
      <c r="L10" s="507">
        <v>5402.3605383006279</v>
      </c>
      <c r="M10" s="507">
        <v>5110.5272304438586</v>
      </c>
      <c r="N10" s="507">
        <v>5301.9752178047474</v>
      </c>
      <c r="O10" s="507">
        <v>5333.7166033292351</v>
      </c>
      <c r="P10" s="507">
        <v>6803.0987304583768</v>
      </c>
      <c r="Q10" s="507">
        <v>7489.3036912367334</v>
      </c>
      <c r="R10" s="507">
        <v>7818.5534796200254</v>
      </c>
      <c r="S10" s="507">
        <v>8174.5183292492247</v>
      </c>
      <c r="T10" s="507">
        <v>8853.8891034888366</v>
      </c>
      <c r="U10" s="507">
        <v>9705.5603739949129</v>
      </c>
      <c r="V10" s="507">
        <v>9625.290785623507</v>
      </c>
      <c r="W10" s="507">
        <v>11184.585298263797</v>
      </c>
      <c r="X10" s="507">
        <v>12023.674856966105</v>
      </c>
      <c r="Y10" s="507">
        <v>12260.091598115703</v>
      </c>
      <c r="Z10" s="507">
        <v>12967.360349938259</v>
      </c>
      <c r="AA10" s="507">
        <v>13905.395677622742</v>
      </c>
      <c r="AB10" s="507">
        <v>14605.848279137155</v>
      </c>
      <c r="AC10" s="507">
        <v>15461.084576160576</v>
      </c>
      <c r="AD10" s="507">
        <v>16629.422494155977</v>
      </c>
      <c r="AE10" s="507">
        <v>12504.732059129919</v>
      </c>
      <c r="AF10" s="507">
        <v>12261.371400198737</v>
      </c>
      <c r="AH10" s="506" t="s">
        <v>94</v>
      </c>
      <c r="AI10" s="502">
        <v>0</v>
      </c>
      <c r="AJ10" s="502">
        <v>-1.9461485282565517E-2</v>
      </c>
    </row>
    <row r="11" spans="1:36" s="501" customFormat="1" ht="13.2">
      <c r="A11" s="508"/>
      <c r="B11" s="499" t="s">
        <v>4</v>
      </c>
      <c r="C11" s="500">
        <v>0</v>
      </c>
      <c r="D11" s="500">
        <v>0</v>
      </c>
      <c r="E11" s="500">
        <v>0</v>
      </c>
      <c r="F11" s="500">
        <v>0</v>
      </c>
      <c r="G11" s="500">
        <v>0</v>
      </c>
      <c r="H11" s="500">
        <v>0</v>
      </c>
      <c r="I11" s="500">
        <v>0</v>
      </c>
      <c r="J11" s="500">
        <v>0</v>
      </c>
      <c r="K11" s="500">
        <v>0.97182060801340298</v>
      </c>
      <c r="L11" s="500">
        <v>5.7524874015091676</v>
      </c>
      <c r="M11" s="500">
        <v>9.2161506247912932</v>
      </c>
      <c r="N11" s="500">
        <v>14.025510059877053</v>
      </c>
      <c r="O11" s="500">
        <v>18.112226475031786</v>
      </c>
      <c r="P11" s="500">
        <v>24.249988581269648</v>
      </c>
      <c r="Q11" s="500">
        <v>32.286509245496163</v>
      </c>
      <c r="R11" s="500">
        <v>43.297443579282941</v>
      </c>
      <c r="S11" s="500">
        <v>51.143621044300261</v>
      </c>
      <c r="T11" s="500">
        <v>57.765826225648411</v>
      </c>
      <c r="U11" s="500">
        <v>54.867474451007112</v>
      </c>
      <c r="V11" s="500">
        <v>61.68725451007154</v>
      </c>
      <c r="W11" s="500">
        <v>62.072834798780761</v>
      </c>
      <c r="X11" s="500">
        <v>57.81442076070924</v>
      </c>
      <c r="Y11" s="500">
        <v>58.934180830106385</v>
      </c>
      <c r="Z11" s="500">
        <v>60.353617015746742</v>
      </c>
      <c r="AA11" s="500">
        <v>60.212158370912263</v>
      </c>
      <c r="AB11" s="500">
        <v>55.863265083675451</v>
      </c>
      <c r="AC11" s="500">
        <v>54.674004165524359</v>
      </c>
      <c r="AD11" s="500">
        <v>59.723775625009267</v>
      </c>
      <c r="AE11" s="500">
        <v>59.723775625009267</v>
      </c>
      <c r="AF11" s="500">
        <v>59.723775625009267</v>
      </c>
      <c r="AH11" s="508" t="s">
        <v>4</v>
      </c>
      <c r="AI11" s="502">
        <v>0</v>
      </c>
      <c r="AJ11" s="502">
        <v>0</v>
      </c>
    </row>
    <row r="12" spans="1:36" s="501" customFormat="1" ht="13.2">
      <c r="A12" s="509"/>
      <c r="B12" s="499" t="s">
        <v>95</v>
      </c>
      <c r="C12" s="500">
        <v>0</v>
      </c>
      <c r="D12" s="500">
        <v>0</v>
      </c>
      <c r="E12" s="500">
        <v>0</v>
      </c>
      <c r="F12" s="500">
        <v>0</v>
      </c>
      <c r="G12" s="500">
        <v>5.8663344212752389</v>
      </c>
      <c r="H12" s="500">
        <v>39.03703279578901</v>
      </c>
      <c r="I12" s="500">
        <v>88.410976848420574</v>
      </c>
      <c r="J12" s="500">
        <v>140.70234668898343</v>
      </c>
      <c r="K12" s="500">
        <v>370.96635402412397</v>
      </c>
      <c r="L12" s="500">
        <v>819.26846332545301</v>
      </c>
      <c r="M12" s="500">
        <v>1624.7834635584895</v>
      </c>
      <c r="N12" s="500">
        <v>2643.5173639757068</v>
      </c>
      <c r="O12" s="500">
        <v>3820.8463080184129</v>
      </c>
      <c r="P12" s="500">
        <v>5572.6534982641469</v>
      </c>
      <c r="Q12" s="500">
        <v>7015.2771872088888</v>
      </c>
      <c r="R12" s="500">
        <v>8967.6598685859281</v>
      </c>
      <c r="S12" s="500">
        <v>9497.3057507830526</v>
      </c>
      <c r="T12" s="500">
        <v>12361.039853592434</v>
      </c>
      <c r="U12" s="500">
        <v>12544.912701731218</v>
      </c>
      <c r="V12" s="500">
        <v>10429.801809994991</v>
      </c>
      <c r="W12" s="500">
        <v>10324.931150957398</v>
      </c>
      <c r="X12" s="500">
        <v>10618.907902929428</v>
      </c>
      <c r="Y12" s="500">
        <v>10120.113973556065</v>
      </c>
      <c r="Z12" s="500">
        <v>10144.698489046337</v>
      </c>
      <c r="AA12" s="500">
        <v>10384.662140438935</v>
      </c>
      <c r="AB12" s="500">
        <v>10472.4941509131</v>
      </c>
      <c r="AC12" s="500">
        <v>11123.311899940034</v>
      </c>
      <c r="AD12" s="500">
        <v>11838.775937321818</v>
      </c>
      <c r="AE12" s="500">
        <v>11778.299435577044</v>
      </c>
      <c r="AF12" s="500">
        <v>11774.302408974059</v>
      </c>
      <c r="AH12" s="510" t="s">
        <v>95</v>
      </c>
      <c r="AI12" s="502">
        <v>0</v>
      </c>
      <c r="AJ12" s="502">
        <v>-3.3935515265571658E-4</v>
      </c>
    </row>
    <row r="13" spans="1:36" s="514" customFormat="1" ht="13.2">
      <c r="A13" s="511"/>
      <c r="B13" s="512" t="s">
        <v>96</v>
      </c>
      <c r="C13" s="513">
        <v>0</v>
      </c>
      <c r="D13" s="513">
        <v>0</v>
      </c>
      <c r="E13" s="513">
        <v>0</v>
      </c>
      <c r="F13" s="513">
        <v>0</v>
      </c>
      <c r="G13" s="513">
        <v>33.864961973389093</v>
      </c>
      <c r="H13" s="513">
        <v>225.35156304572908</v>
      </c>
      <c r="I13" s="513">
        <v>422.53015766229538</v>
      </c>
      <c r="J13" s="513">
        <v>429.57784746519957</v>
      </c>
      <c r="K13" s="513">
        <v>436.38503805673571</v>
      </c>
      <c r="L13" s="513">
        <v>442.63150019369056</v>
      </c>
      <c r="M13" s="513">
        <v>410.82717307973195</v>
      </c>
      <c r="N13" s="513">
        <v>415.81110846670725</v>
      </c>
      <c r="O13" s="513">
        <v>401.69955927790784</v>
      </c>
      <c r="P13" s="513">
        <v>464.78920826301595</v>
      </c>
      <c r="Q13" s="513">
        <v>464.81056879934897</v>
      </c>
      <c r="R13" s="513">
        <v>464.7884947305069</v>
      </c>
      <c r="S13" s="513">
        <v>464.13829359046872</v>
      </c>
      <c r="T13" s="513">
        <v>462.51858287288763</v>
      </c>
      <c r="U13" s="513">
        <v>461.53912110312751</v>
      </c>
      <c r="V13" s="513">
        <v>419.0353256675628</v>
      </c>
      <c r="W13" s="513">
        <v>488.01219653960703</v>
      </c>
      <c r="X13" s="513">
        <v>459.29364407530778</v>
      </c>
      <c r="Y13" s="513">
        <v>391.25222601569652</v>
      </c>
      <c r="Z13" s="513">
        <v>395.42615442901348</v>
      </c>
      <c r="AA13" s="513">
        <v>409.38798069304801</v>
      </c>
      <c r="AB13" s="513">
        <v>401.34135830802614</v>
      </c>
      <c r="AC13" s="513">
        <v>396.5058343107172</v>
      </c>
      <c r="AD13" s="513">
        <v>396.32388017092035</v>
      </c>
      <c r="AE13" s="513">
        <v>47.226962378012651</v>
      </c>
      <c r="AF13" s="513">
        <v>24.17274795445751</v>
      </c>
      <c r="AH13" s="511" t="s">
        <v>96</v>
      </c>
      <c r="AI13" s="515">
        <v>0</v>
      </c>
      <c r="AJ13" s="515">
        <v>-0.48815789249846903</v>
      </c>
    </row>
    <row r="14" spans="1:36" s="501" customFormat="1" ht="13.2">
      <c r="A14" s="516"/>
      <c r="B14" s="517" t="s">
        <v>97</v>
      </c>
      <c r="C14" s="518">
        <v>0</v>
      </c>
      <c r="D14" s="518">
        <v>0</v>
      </c>
      <c r="E14" s="518">
        <v>0</v>
      </c>
      <c r="F14" s="518">
        <v>0</v>
      </c>
      <c r="G14" s="518">
        <v>509.46785610038745</v>
      </c>
      <c r="H14" s="518">
        <v>3204.0547621468613</v>
      </c>
      <c r="I14" s="518">
        <v>6038.3030311565062</v>
      </c>
      <c r="J14" s="518">
        <v>6288.3743210827697</v>
      </c>
      <c r="K14" s="518">
        <v>6746.9845923505927</v>
      </c>
      <c r="L14" s="518">
        <v>7416.7845709593266</v>
      </c>
      <c r="M14" s="518">
        <v>7961.2602362454491</v>
      </c>
      <c r="N14" s="518">
        <v>9271.3632163278435</v>
      </c>
      <c r="O14" s="518">
        <v>10611.92023371219</v>
      </c>
      <c r="P14" s="518">
        <v>14155.185311320627</v>
      </c>
      <c r="Q14" s="518">
        <v>16484.144144133148</v>
      </c>
      <c r="R14" s="518">
        <v>18950.276141572358</v>
      </c>
      <c r="S14" s="518">
        <v>20028.840425501658</v>
      </c>
      <c r="T14" s="518">
        <v>23675.874295321075</v>
      </c>
      <c r="U14" s="518">
        <v>24635.995112108518</v>
      </c>
      <c r="V14" s="518">
        <v>22325.118568850194</v>
      </c>
      <c r="W14" s="518">
        <v>23903.978283528377</v>
      </c>
      <c r="X14" s="518">
        <v>25052.114411237701</v>
      </c>
      <c r="Y14" s="518">
        <v>24624.296780843197</v>
      </c>
      <c r="Z14" s="518">
        <v>25346.738394757973</v>
      </c>
      <c r="AA14" s="518">
        <v>26485.279815131536</v>
      </c>
      <c r="AB14" s="518">
        <v>27182.0268268535</v>
      </c>
      <c r="AC14" s="518">
        <v>28667.125774420041</v>
      </c>
      <c r="AD14" s="518">
        <v>30536.498484437918</v>
      </c>
      <c r="AE14" s="518">
        <v>25645.344470759159</v>
      </c>
      <c r="AF14" s="518">
        <v>25312.141581431311</v>
      </c>
      <c r="AH14" s="519" t="s">
        <v>97</v>
      </c>
      <c r="AI14" s="520">
        <v>0</v>
      </c>
      <c r="AJ14" s="520">
        <v>-1.299272426259533E-2</v>
      </c>
    </row>
    <row r="15" spans="1:36" s="501" customFormat="1" ht="13.2">
      <c r="A15" s="521"/>
      <c r="B15" s="499" t="s">
        <v>98</v>
      </c>
      <c r="C15" s="500">
        <v>0</v>
      </c>
      <c r="D15" s="500">
        <v>0</v>
      </c>
      <c r="E15" s="500">
        <v>0</v>
      </c>
      <c r="F15" s="500">
        <v>0</v>
      </c>
      <c r="G15" s="500">
        <v>0</v>
      </c>
      <c r="H15" s="500">
        <v>0</v>
      </c>
      <c r="I15" s="500">
        <v>0</v>
      </c>
      <c r="J15" s="500">
        <v>0</v>
      </c>
      <c r="K15" s="500">
        <v>0</v>
      </c>
      <c r="L15" s="500">
        <v>0</v>
      </c>
      <c r="M15" s="500">
        <v>0</v>
      </c>
      <c r="N15" s="500">
        <v>0</v>
      </c>
      <c r="O15" s="500">
        <v>0</v>
      </c>
      <c r="P15" s="500">
        <v>0</v>
      </c>
      <c r="Q15" s="500">
        <v>0</v>
      </c>
      <c r="R15" s="500">
        <v>0</v>
      </c>
      <c r="S15" s="500">
        <v>0</v>
      </c>
      <c r="T15" s="500">
        <v>0</v>
      </c>
      <c r="U15" s="500">
        <v>0</v>
      </c>
      <c r="V15" s="500">
        <v>0</v>
      </c>
      <c r="W15" s="500">
        <v>0</v>
      </c>
      <c r="X15" s="500">
        <v>0</v>
      </c>
      <c r="Y15" s="500">
        <v>0</v>
      </c>
      <c r="Z15" s="500">
        <v>0</v>
      </c>
      <c r="AA15" s="500">
        <v>0</v>
      </c>
      <c r="AB15" s="500">
        <v>0</v>
      </c>
      <c r="AC15" s="500">
        <v>0</v>
      </c>
      <c r="AD15" s="500">
        <v>0</v>
      </c>
      <c r="AE15" s="500">
        <v>0</v>
      </c>
      <c r="AF15" s="500">
        <v>0</v>
      </c>
      <c r="AH15" s="521" t="s">
        <v>98</v>
      </c>
      <c r="AI15" s="502">
        <v>0</v>
      </c>
      <c r="AJ15" s="502">
        <v>0</v>
      </c>
    </row>
    <row r="16" spans="1:36" s="514" customFormat="1" ht="13.2">
      <c r="A16" s="511"/>
      <c r="B16" s="512" t="s">
        <v>99</v>
      </c>
      <c r="C16" s="513">
        <v>0</v>
      </c>
      <c r="D16" s="513">
        <v>0</v>
      </c>
      <c r="E16" s="513">
        <v>0</v>
      </c>
      <c r="F16" s="513">
        <v>0</v>
      </c>
      <c r="G16" s="513">
        <v>0</v>
      </c>
      <c r="H16" s="513">
        <v>0</v>
      </c>
      <c r="I16" s="513">
        <v>0</v>
      </c>
      <c r="J16" s="513">
        <v>0</v>
      </c>
      <c r="K16" s="513">
        <v>0</v>
      </c>
      <c r="L16" s="513">
        <v>0</v>
      </c>
      <c r="M16" s="513">
        <v>0</v>
      </c>
      <c r="N16" s="513">
        <v>0</v>
      </c>
      <c r="O16" s="513">
        <v>0</v>
      </c>
      <c r="P16" s="513">
        <v>0</v>
      </c>
      <c r="Q16" s="513">
        <v>0</v>
      </c>
      <c r="R16" s="513">
        <v>0</v>
      </c>
      <c r="S16" s="513">
        <v>0</v>
      </c>
      <c r="T16" s="513">
        <v>0</v>
      </c>
      <c r="U16" s="513">
        <v>0</v>
      </c>
      <c r="V16" s="513">
        <v>0</v>
      </c>
      <c r="W16" s="513">
        <v>0</v>
      </c>
      <c r="X16" s="513">
        <v>0</v>
      </c>
      <c r="Y16" s="513">
        <v>0</v>
      </c>
      <c r="Z16" s="513">
        <v>0</v>
      </c>
      <c r="AA16" s="513">
        <v>0</v>
      </c>
      <c r="AB16" s="513">
        <v>0</v>
      </c>
      <c r="AC16" s="513">
        <v>0</v>
      </c>
      <c r="AD16" s="513">
        <v>0</v>
      </c>
      <c r="AE16" s="513">
        <v>0</v>
      </c>
      <c r="AF16" s="513">
        <v>0</v>
      </c>
      <c r="AH16" s="511" t="s">
        <v>99</v>
      </c>
      <c r="AI16" s="515">
        <v>0</v>
      </c>
      <c r="AJ16" s="515">
        <v>0</v>
      </c>
    </row>
    <row r="17" spans="1:36" s="514" customFormat="1" ht="13.2">
      <c r="A17" s="511"/>
      <c r="B17" s="512" t="s">
        <v>100</v>
      </c>
      <c r="C17" s="513">
        <v>0</v>
      </c>
      <c r="D17" s="513">
        <v>0</v>
      </c>
      <c r="E17" s="513">
        <v>0</v>
      </c>
      <c r="F17" s="513">
        <v>0</v>
      </c>
      <c r="G17" s="513">
        <v>0</v>
      </c>
      <c r="H17" s="513">
        <v>0</v>
      </c>
      <c r="I17" s="513">
        <v>0</v>
      </c>
      <c r="J17" s="513">
        <v>0</v>
      </c>
      <c r="K17" s="513">
        <v>0</v>
      </c>
      <c r="L17" s="513">
        <v>0</v>
      </c>
      <c r="M17" s="513">
        <v>0</v>
      </c>
      <c r="N17" s="513">
        <v>0</v>
      </c>
      <c r="O17" s="513">
        <v>0</v>
      </c>
      <c r="P17" s="513">
        <v>0</v>
      </c>
      <c r="Q17" s="513">
        <v>0</v>
      </c>
      <c r="R17" s="513">
        <v>0</v>
      </c>
      <c r="S17" s="513">
        <v>0</v>
      </c>
      <c r="T17" s="513">
        <v>0</v>
      </c>
      <c r="U17" s="513">
        <v>0</v>
      </c>
      <c r="V17" s="513">
        <v>0</v>
      </c>
      <c r="W17" s="513">
        <v>0</v>
      </c>
      <c r="X17" s="513">
        <v>0</v>
      </c>
      <c r="Y17" s="513">
        <v>0</v>
      </c>
      <c r="Z17" s="513">
        <v>0</v>
      </c>
      <c r="AA17" s="513">
        <v>0</v>
      </c>
      <c r="AB17" s="513">
        <v>0</v>
      </c>
      <c r="AC17" s="513">
        <v>0</v>
      </c>
      <c r="AD17" s="513">
        <v>0</v>
      </c>
      <c r="AE17" s="513">
        <v>0</v>
      </c>
      <c r="AF17" s="513">
        <v>0</v>
      </c>
      <c r="AH17" s="511" t="s">
        <v>100</v>
      </c>
      <c r="AI17" s="515">
        <v>0</v>
      </c>
      <c r="AJ17" s="515">
        <v>0</v>
      </c>
    </row>
    <row r="18" spans="1:36" s="523" customFormat="1" ht="13.2">
      <c r="A18" s="522"/>
      <c r="B18" s="517" t="s">
        <v>101</v>
      </c>
      <c r="C18" s="518">
        <v>0</v>
      </c>
      <c r="D18" s="518">
        <v>0</v>
      </c>
      <c r="E18" s="518">
        <v>0</v>
      </c>
      <c r="F18" s="518">
        <v>0</v>
      </c>
      <c r="G18" s="518">
        <v>509.46785610038745</v>
      </c>
      <c r="H18" s="518">
        <v>3204.0547621468613</v>
      </c>
      <c r="I18" s="518">
        <v>6038.3030311565062</v>
      </c>
      <c r="J18" s="518">
        <v>6288.3743210827697</v>
      </c>
      <c r="K18" s="518">
        <v>6746.9845923505927</v>
      </c>
      <c r="L18" s="518">
        <v>7416.7845709593266</v>
      </c>
      <c r="M18" s="518">
        <v>7961.2602362454491</v>
      </c>
      <c r="N18" s="518">
        <v>9271.3632163278435</v>
      </c>
      <c r="O18" s="518">
        <v>10611.92023371219</v>
      </c>
      <c r="P18" s="518">
        <v>14155.185311320627</v>
      </c>
      <c r="Q18" s="518">
        <v>16484.144144133148</v>
      </c>
      <c r="R18" s="518">
        <v>18950.276141572358</v>
      </c>
      <c r="S18" s="518">
        <v>20028.840425501658</v>
      </c>
      <c r="T18" s="518">
        <v>23675.874295321075</v>
      </c>
      <c r="U18" s="518">
        <v>24635.995112108518</v>
      </c>
      <c r="V18" s="518">
        <v>22325.118568850194</v>
      </c>
      <c r="W18" s="518">
        <v>23903.978283528377</v>
      </c>
      <c r="X18" s="518">
        <v>25052.114411237701</v>
      </c>
      <c r="Y18" s="518">
        <v>24624.296780843197</v>
      </c>
      <c r="Z18" s="518">
        <v>25346.738394757973</v>
      </c>
      <c r="AA18" s="518">
        <v>26485.279815131536</v>
      </c>
      <c r="AB18" s="518">
        <v>27182.0268268535</v>
      </c>
      <c r="AC18" s="518">
        <v>28667.125774420041</v>
      </c>
      <c r="AD18" s="518">
        <v>30536.498484437918</v>
      </c>
      <c r="AE18" s="518">
        <v>25645.344470759159</v>
      </c>
      <c r="AF18" s="518">
        <v>25312.141581431311</v>
      </c>
      <c r="AH18" s="524" t="s">
        <v>101</v>
      </c>
      <c r="AI18" s="520">
        <v>0</v>
      </c>
      <c r="AJ18" s="520">
        <v>-1.299272426259533E-2</v>
      </c>
    </row>
    <row r="19" spans="1:36" s="514" customFormat="1" ht="13.2">
      <c r="A19" s="511"/>
      <c r="B19" s="512" t="s">
        <v>102</v>
      </c>
      <c r="C19" s="513">
        <v>0</v>
      </c>
      <c r="D19" s="513">
        <v>0</v>
      </c>
      <c r="E19" s="513">
        <v>0</v>
      </c>
      <c r="F19" s="513">
        <v>0</v>
      </c>
      <c r="G19" s="513">
        <v>33.864961973389093</v>
      </c>
      <c r="H19" s="513">
        <v>225.35156304572908</v>
      </c>
      <c r="I19" s="513">
        <v>422.53015766229538</v>
      </c>
      <c r="J19" s="513">
        <v>429.57784746519957</v>
      </c>
      <c r="K19" s="513">
        <v>436.38503805673571</v>
      </c>
      <c r="L19" s="513">
        <v>442.63150019369056</v>
      </c>
      <c r="M19" s="513">
        <v>410.82717307973195</v>
      </c>
      <c r="N19" s="513">
        <v>415.81110846670725</v>
      </c>
      <c r="O19" s="513">
        <v>401.69955927790784</v>
      </c>
      <c r="P19" s="513">
        <v>464.78920826301595</v>
      </c>
      <c r="Q19" s="513">
        <v>464.81056879934897</v>
      </c>
      <c r="R19" s="513">
        <v>464.7884947305069</v>
      </c>
      <c r="S19" s="513">
        <v>464.13829359046872</v>
      </c>
      <c r="T19" s="513">
        <v>462.51858287288763</v>
      </c>
      <c r="U19" s="513">
        <v>461.53912110312751</v>
      </c>
      <c r="V19" s="513">
        <v>419.0353256675628</v>
      </c>
      <c r="W19" s="513">
        <v>488.01219653960703</v>
      </c>
      <c r="X19" s="513">
        <v>459.29364407530778</v>
      </c>
      <c r="Y19" s="513">
        <v>391.25222601569652</v>
      </c>
      <c r="Z19" s="513">
        <v>395.42615442901348</v>
      </c>
      <c r="AA19" s="513">
        <v>409.38798069304801</v>
      </c>
      <c r="AB19" s="513">
        <v>401.34135830802614</v>
      </c>
      <c r="AC19" s="513">
        <v>396.5058343107172</v>
      </c>
      <c r="AD19" s="513">
        <v>396.32388017092035</v>
      </c>
      <c r="AE19" s="513">
        <v>47.226962378012651</v>
      </c>
      <c r="AF19" s="513">
        <v>24.17274795445751</v>
      </c>
      <c r="AH19" s="511" t="s">
        <v>102</v>
      </c>
      <c r="AI19" s="515">
        <v>0</v>
      </c>
      <c r="AJ19" s="515">
        <v>-0.48815789249846903</v>
      </c>
    </row>
    <row r="22" spans="1:36" ht="18">
      <c r="A22" s="525"/>
      <c r="C22" s="526" t="s">
        <v>651</v>
      </c>
      <c r="D22" s="525"/>
      <c r="E22" s="525"/>
      <c r="F22" s="525"/>
      <c r="G22" s="525"/>
      <c r="H22" s="525"/>
      <c r="I22" s="525"/>
      <c r="J22" s="525"/>
      <c r="K22" s="525"/>
      <c r="L22" s="525"/>
      <c r="M22" s="525"/>
      <c r="N22" s="525"/>
      <c r="O22" s="525"/>
      <c r="P22" s="525"/>
      <c r="Q22" s="525"/>
      <c r="R22" s="525"/>
      <c r="S22" s="525"/>
      <c r="T22" s="525"/>
      <c r="U22" s="525"/>
      <c r="V22" s="525"/>
      <c r="W22" s="525"/>
      <c r="X22" s="525"/>
      <c r="Y22" s="525"/>
      <c r="Z22" s="525"/>
      <c r="AA22" s="525"/>
      <c r="AB22" s="525"/>
      <c r="AC22" s="525"/>
      <c r="AD22" s="525"/>
      <c r="AE22" s="525"/>
      <c r="AF22" s="525"/>
    </row>
    <row r="23" spans="1:36" ht="18">
      <c r="A23" s="525"/>
      <c r="B23" s="527"/>
      <c r="C23" s="525"/>
      <c r="D23" s="525"/>
      <c r="E23" s="525"/>
      <c r="F23" s="525"/>
      <c r="G23" s="525"/>
      <c r="H23" s="525"/>
      <c r="I23" s="525"/>
      <c r="J23" s="525"/>
      <c r="K23" s="525"/>
      <c r="L23" s="525"/>
      <c r="M23" s="525"/>
      <c r="N23" s="525"/>
      <c r="O23" s="525"/>
      <c r="P23" s="525"/>
      <c r="Q23" s="525"/>
      <c r="R23" s="525"/>
      <c r="S23" s="525"/>
      <c r="T23" s="525"/>
      <c r="U23" s="525"/>
      <c r="V23" s="525"/>
      <c r="W23" s="525"/>
      <c r="X23" s="525"/>
      <c r="Y23" s="525"/>
      <c r="Z23" s="525"/>
      <c r="AA23" s="525"/>
      <c r="AB23" s="525"/>
      <c r="AC23" s="525"/>
      <c r="AD23" s="525"/>
      <c r="AE23" s="525"/>
      <c r="AF23" s="525"/>
    </row>
    <row r="25" spans="1:36" ht="15">
      <c r="O25" s="528" t="s">
        <v>652</v>
      </c>
    </row>
  </sheetData>
  <mergeCells count="1">
    <mergeCell ref="B2:AD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E9" sqref="E9"/>
    </sheetView>
  </sheetViews>
  <sheetFormatPr baseColWidth="10" defaultRowHeight="14.4"/>
  <sheetData>
    <row r="1" spans="1:7">
      <c r="A1" s="542"/>
      <c r="B1" s="542"/>
      <c r="C1" s="542"/>
      <c r="D1" s="542"/>
      <c r="E1" s="542"/>
      <c r="F1" s="542"/>
      <c r="G1" s="542"/>
    </row>
    <row r="2" spans="1:7" ht="18">
      <c r="A2" s="543" t="s">
        <v>459</v>
      </c>
      <c r="B2" s="543"/>
      <c r="C2" s="543"/>
      <c r="D2" s="543"/>
      <c r="E2" s="543"/>
      <c r="F2" s="543"/>
      <c r="G2" s="543"/>
    </row>
    <row r="4" spans="1:7">
      <c r="A4" s="542" t="s">
        <v>460</v>
      </c>
      <c r="B4" s="542"/>
      <c r="C4" s="542"/>
      <c r="D4" s="542"/>
      <c r="E4" s="542"/>
      <c r="F4" s="542"/>
      <c r="G4" s="542"/>
    </row>
    <row r="5" spans="1:7">
      <c r="A5" s="542" t="s">
        <v>461</v>
      </c>
      <c r="B5" s="542"/>
      <c r="C5" s="542"/>
      <c r="D5" s="542"/>
      <c r="E5" s="542"/>
      <c r="F5" s="542"/>
      <c r="G5" s="542"/>
    </row>
    <row r="7" spans="1:7">
      <c r="A7" t="s">
        <v>456</v>
      </c>
    </row>
    <row r="8" spans="1:7">
      <c r="A8" s="339"/>
      <c r="B8" t="s">
        <v>428</v>
      </c>
    </row>
    <row r="9" spans="1:7">
      <c r="A9" s="338"/>
      <c r="B9" t="s">
        <v>457</v>
      </c>
    </row>
    <row r="10" spans="1:7">
      <c r="A10" s="340"/>
      <c r="B10" t="s">
        <v>429</v>
      </c>
    </row>
    <row r="11" spans="1:7">
      <c r="A11" s="359"/>
      <c r="B11" t="s">
        <v>458</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3:I24"/>
  <sheetViews>
    <sheetView showGridLines="0" topLeftCell="A46" zoomScale="70" zoomScaleNormal="70" workbookViewId="0">
      <selection activeCell="L23" sqref="L23"/>
    </sheetView>
  </sheetViews>
  <sheetFormatPr baseColWidth="10" defaultRowHeight="14.4"/>
  <sheetData>
    <row r="3" spans="2:9" ht="25.8">
      <c r="B3" s="544" t="s">
        <v>441</v>
      </c>
      <c r="C3" s="544"/>
      <c r="D3" s="544"/>
      <c r="E3" s="544"/>
      <c r="F3" s="544"/>
      <c r="G3" s="544"/>
      <c r="H3" s="544"/>
      <c r="I3" s="544"/>
    </row>
    <row r="24" spans="2:9" ht="25.8">
      <c r="B24" s="544" t="s">
        <v>442</v>
      </c>
      <c r="C24" s="544"/>
      <c r="D24" s="544"/>
      <c r="E24" s="544"/>
      <c r="F24" s="544"/>
      <c r="G24" s="544"/>
      <c r="H24" s="544"/>
      <c r="I24" s="544"/>
    </row>
  </sheetData>
  <mergeCells count="2">
    <mergeCell ref="B3:I3"/>
    <mergeCell ref="B24:I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C4:N14"/>
  <sheetViews>
    <sheetView workbookViewId="0">
      <selection activeCell="N15" sqref="N15"/>
    </sheetView>
  </sheetViews>
  <sheetFormatPr baseColWidth="10" defaultRowHeight="14.4"/>
  <sheetData>
    <row r="4" spans="3:14">
      <c r="C4" t="s">
        <v>622</v>
      </c>
      <c r="D4" t="s">
        <v>623</v>
      </c>
      <c r="E4">
        <v>282.76920000000001</v>
      </c>
      <c r="I4" t="s">
        <v>638</v>
      </c>
      <c r="J4" t="s">
        <v>623</v>
      </c>
      <c r="K4">
        <v>0.77700000000000002</v>
      </c>
    </row>
    <row r="5" spans="3:14">
      <c r="D5" t="s">
        <v>179</v>
      </c>
      <c r="E5">
        <v>270.24119999999999</v>
      </c>
      <c r="J5" t="s">
        <v>637</v>
      </c>
      <c r="K5">
        <v>0.98599999999999999</v>
      </c>
    </row>
    <row r="6" spans="3:14">
      <c r="D6" t="s">
        <v>624</v>
      </c>
      <c r="E6">
        <v>0</v>
      </c>
      <c r="J6" t="s">
        <v>639</v>
      </c>
      <c r="K6">
        <v>0.49399999999999999</v>
      </c>
    </row>
    <row r="7" spans="3:14">
      <c r="D7" t="s">
        <v>637</v>
      </c>
    </row>
    <row r="10" spans="3:14">
      <c r="K10" t="s">
        <v>641</v>
      </c>
      <c r="L10" t="s">
        <v>623</v>
      </c>
      <c r="M10" t="s">
        <v>14</v>
      </c>
      <c r="N10" t="s">
        <v>642</v>
      </c>
    </row>
    <row r="11" spans="3:14">
      <c r="J11">
        <v>2019</v>
      </c>
      <c r="K11">
        <f>'Bilan d''énergie'!H47</f>
        <v>458.22200000000004</v>
      </c>
      <c r="L11">
        <f>'Bilan d''énergie'!E47</f>
        <v>4477.55</v>
      </c>
      <c r="M11">
        <f>'Bilan d''énergie'!C47</f>
        <v>5681.2550000000001</v>
      </c>
      <c r="N11">
        <f>(L11*$K$4*1000+M11*$K$5*1000)/1000</f>
        <v>9080.7737799999995</v>
      </c>
    </row>
    <row r="12" spans="3:14">
      <c r="J12">
        <v>2050</v>
      </c>
      <c r="K12">
        <f>'Bilan d''énergie'!H293</f>
        <v>1103.5417545405016</v>
      </c>
      <c r="L12">
        <f>'Bilan d''énergie'!E293</f>
        <v>4301.3271380801043</v>
      </c>
      <c r="M12">
        <f>'Bilan d''énergie'!C293</f>
        <v>7316.3582178378883</v>
      </c>
      <c r="N12" s="477">
        <f>(L12*$K$4*1000+M12*$K$5*1000)/1000</f>
        <v>10556.0603890764</v>
      </c>
    </row>
    <row r="13" spans="3:14">
      <c r="J13" t="s">
        <v>640</v>
      </c>
    </row>
    <row r="14" spans="3:14">
      <c r="N14">
        <f>N12/N11</f>
        <v>1.1624626540444882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L306"/>
  <sheetViews>
    <sheetView tabSelected="1" topLeftCell="J1" zoomScale="55" zoomScaleNormal="55" workbookViewId="0">
      <selection activeCell="AB25" sqref="AB25:AB26"/>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545" t="s">
        <v>0</v>
      </c>
      <c r="C2" s="545"/>
      <c r="D2" s="545"/>
      <c r="E2" s="248"/>
      <c r="I2" s="248"/>
      <c r="Q2" s="248"/>
      <c r="U2" s="248"/>
    </row>
    <row r="3" spans="2:30" ht="18">
      <c r="B3" s="279"/>
      <c r="C3" s="279"/>
      <c r="D3" s="279"/>
      <c r="E3" s="248"/>
      <c r="I3" s="248"/>
      <c r="Q3" s="248"/>
      <c r="U3" s="248"/>
    </row>
    <row r="4" spans="2:30">
      <c r="B4" t="s">
        <v>1</v>
      </c>
      <c r="E4" s="248"/>
      <c r="I4" s="248"/>
      <c r="Q4" s="248"/>
      <c r="Y4" s="248"/>
      <c r="Z4" t="s">
        <v>2</v>
      </c>
      <c r="AB4" s="248"/>
    </row>
    <row r="5" spans="2:30">
      <c r="B5" t="s">
        <v>3</v>
      </c>
      <c r="C5" s="30">
        <v>2019</v>
      </c>
      <c r="D5" s="30">
        <v>2020</v>
      </c>
      <c r="E5" s="30">
        <v>2025</v>
      </c>
      <c r="F5" s="30">
        <v>2030</v>
      </c>
      <c r="G5" s="30">
        <v>2035</v>
      </c>
      <c r="H5" s="30">
        <v>2040</v>
      </c>
      <c r="I5" s="30">
        <v>2045</v>
      </c>
      <c r="J5" s="30">
        <v>2050</v>
      </c>
      <c r="V5" t="s">
        <v>3</v>
      </c>
      <c r="W5" s="30">
        <v>2019</v>
      </c>
      <c r="X5" s="30">
        <v>2020</v>
      </c>
      <c r="Y5" s="30">
        <v>2025</v>
      </c>
      <c r="Z5" s="30">
        <v>2030</v>
      </c>
      <c r="AA5" s="30">
        <v>2035</v>
      </c>
      <c r="AB5" s="30">
        <v>2040</v>
      </c>
      <c r="AC5" s="30">
        <v>2045</v>
      </c>
      <c r="AD5" s="30">
        <v>2050</v>
      </c>
    </row>
    <row r="6" spans="2:30">
      <c r="B6" s="2" t="s">
        <v>4</v>
      </c>
      <c r="C6" s="2">
        <f t="shared" ref="C6:G6" si="0">C7+C8</f>
        <v>217.55974710170528</v>
      </c>
      <c r="D6" s="2">
        <f t="shared" si="0"/>
        <v>218.49705118817599</v>
      </c>
      <c r="E6" s="2">
        <f t="shared" si="0"/>
        <v>223.16690004259647</v>
      </c>
      <c r="F6" s="2">
        <f t="shared" si="0"/>
        <v>227.80896293379527</v>
      </c>
      <c r="G6" s="2">
        <f t="shared" si="0"/>
        <v>232.42323986177246</v>
      </c>
      <c r="H6" s="2">
        <f>H7+H8</f>
        <v>237.00973082652797</v>
      </c>
      <c r="I6" s="2">
        <f>I7+I8</f>
        <v>241.56843582806184</v>
      </c>
      <c r="J6" s="2">
        <f>J7+J8</f>
        <v>246.09935486637406</v>
      </c>
      <c r="V6" s="2" t="s">
        <v>4</v>
      </c>
      <c r="W6" s="2">
        <f t="shared" ref="W6:AD6" si="1">W7+W8</f>
        <v>217.55974710170528</v>
      </c>
      <c r="X6" s="2">
        <f t="shared" si="1"/>
        <v>217.49818599682465</v>
      </c>
      <c r="Y6" s="2">
        <f t="shared" si="1"/>
        <v>217.02941055223857</v>
      </c>
      <c r="Z6" s="2">
        <f t="shared" si="1"/>
        <v>216.29235190734789</v>
      </c>
      <c r="AA6" s="2">
        <f t="shared" si="1"/>
        <v>215.28701006215255</v>
      </c>
      <c r="AB6" s="2">
        <f t="shared" si="1"/>
        <v>214.01338501665259</v>
      </c>
      <c r="AC6" s="2">
        <f t="shared" si="1"/>
        <v>212.471476770848</v>
      </c>
      <c r="AD6" s="2">
        <f t="shared" si="1"/>
        <v>210.66128532473874</v>
      </c>
    </row>
    <row r="7" spans="2:30">
      <c r="B7" s="2" t="s">
        <v>5</v>
      </c>
      <c r="C7" s="2">
        <f>Agriculture!D19</f>
        <v>71.206161749339302</v>
      </c>
      <c r="D7" s="2">
        <f>Agriculture!G19</f>
        <v>71.435303326040483</v>
      </c>
      <c r="E7" s="2">
        <f>Agriculture!J19</f>
        <v>72.564339631613379</v>
      </c>
      <c r="F7" s="2">
        <f>Agriculture!M19</f>
        <v>73.665589973964629</v>
      </c>
      <c r="G7" s="2">
        <f>Agriculture!P19</f>
        <v>74.739054353094232</v>
      </c>
      <c r="H7" s="2">
        <f>Agriculture!S19</f>
        <v>75.78473276900219</v>
      </c>
      <c r="I7" s="2">
        <f>Agriculture!V19</f>
        <v>76.802625221688515</v>
      </c>
      <c r="J7" s="2">
        <f>Agriculture!Y19</f>
        <v>77.792731711153181</v>
      </c>
      <c r="V7" s="2" t="s">
        <v>5</v>
      </c>
      <c r="W7" s="2">
        <f>Agriculture!D35</f>
        <v>71.206161749339302</v>
      </c>
      <c r="X7" s="2">
        <f>Agriculture!G35</f>
        <v>70.673634502208714</v>
      </c>
      <c r="Y7" s="2">
        <f>Agriculture!J35</f>
        <v>67.884294274265017</v>
      </c>
      <c r="Z7" s="2">
        <f>Agriculture!M35</f>
        <v>64.883780725836829</v>
      </c>
      <c r="AA7" s="2">
        <f>Agriculture!P35</f>
        <v>61.672093856924114</v>
      </c>
      <c r="AB7" s="2">
        <f>Agriculture!S35</f>
        <v>58.249233667526894</v>
      </c>
      <c r="AC7" s="2">
        <f>Agriculture!V35</f>
        <v>54.61520015764517</v>
      </c>
      <c r="AD7" s="2">
        <f>Agriculture!Y35</f>
        <v>50.769993327278918</v>
      </c>
    </row>
    <row r="8" spans="2:30">
      <c r="B8" s="2" t="s">
        <v>6</v>
      </c>
      <c r="C8" s="2">
        <f>Agriculture!D20</f>
        <v>146.353585352366</v>
      </c>
      <c r="D8" s="2">
        <f>Agriculture!G20</f>
        <v>147.06174786213552</v>
      </c>
      <c r="E8" s="2">
        <f>Agriculture!J20</f>
        <v>150.60256041098307</v>
      </c>
      <c r="F8" s="2">
        <f>Agriculture!M20</f>
        <v>154.14337295983063</v>
      </c>
      <c r="G8" s="2">
        <f>Agriculture!P20</f>
        <v>157.68418550867821</v>
      </c>
      <c r="H8" s="2">
        <f>Agriculture!S20</f>
        <v>161.22499805752577</v>
      </c>
      <c r="I8" s="2">
        <f>Agriculture!V20</f>
        <v>164.76581060637332</v>
      </c>
      <c r="J8" s="2">
        <f>Agriculture!Y20</f>
        <v>168.30662315522088</v>
      </c>
      <c r="V8" s="2" t="s">
        <v>6</v>
      </c>
      <c r="W8" s="2">
        <f>Agriculture!D36</f>
        <v>146.353585352366</v>
      </c>
      <c r="X8" s="2">
        <f>Agriculture!G36</f>
        <v>146.82455149461595</v>
      </c>
      <c r="Y8" s="2">
        <f>Agriculture!J36</f>
        <v>149.14511627797356</v>
      </c>
      <c r="Z8" s="2">
        <f>Agriculture!M36</f>
        <v>151.40857118151106</v>
      </c>
      <c r="AA8" s="2">
        <f>Agriculture!P36</f>
        <v>153.61491620522844</v>
      </c>
      <c r="AB8" s="2">
        <f>Agriculture!S36</f>
        <v>155.76415134912568</v>
      </c>
      <c r="AC8" s="2">
        <f>Agriculture!V36</f>
        <v>157.85627661320282</v>
      </c>
      <c r="AD8" s="2">
        <f>Agriculture!Y36</f>
        <v>159.89129199745983</v>
      </c>
    </row>
    <row r="9" spans="2:30">
      <c r="B9" s="2" t="s">
        <v>7</v>
      </c>
      <c r="C9" s="2">
        <f>Déchets!B23</f>
        <v>146.35235840731744</v>
      </c>
      <c r="D9" s="2">
        <f>Déchets!C23</f>
        <v>146.40453250272043</v>
      </c>
      <c r="E9" s="2">
        <f>Déchets!D23</f>
        <v>157.29942256613433</v>
      </c>
      <c r="F9" s="2">
        <f>Déchets!E23</f>
        <v>160.39030997825287</v>
      </c>
      <c r="G9" s="2">
        <f>Déchets!F23</f>
        <v>162.45780544861438</v>
      </c>
      <c r="H9" s="2">
        <f>Déchets!G23</f>
        <v>163.56884351031493</v>
      </c>
      <c r="I9" s="2">
        <f>Déchets!H23</f>
        <v>163.67979781537264</v>
      </c>
      <c r="J9" s="2">
        <f>Déchets!I23</f>
        <v>162.72988873028655</v>
      </c>
      <c r="V9" s="2" t="s">
        <v>7</v>
      </c>
      <c r="W9" s="2">
        <f>Déchets!B36</f>
        <v>146.35235840731744</v>
      </c>
      <c r="X9" s="2">
        <f>Déchets!C36</f>
        <v>144.84097905373341</v>
      </c>
      <c r="Y9" s="2">
        <f>Déchets!D36</f>
        <v>133.46394440597678</v>
      </c>
      <c r="Z9" s="2">
        <f>Déchets!E36</f>
        <v>122.08690975822014</v>
      </c>
      <c r="AA9" s="2">
        <f>Déchets!F36</f>
        <v>110.70987511046353</v>
      </c>
      <c r="AB9" s="2">
        <f>Déchets!G36</f>
        <v>99.332840462706912</v>
      </c>
      <c r="AC9" s="2">
        <f>Déchets!H36</f>
        <v>87.955805814950295</v>
      </c>
      <c r="AD9" s="2">
        <f>Déchets!I36</f>
        <v>76.578771167193679</v>
      </c>
    </row>
    <row r="10" spans="2:30">
      <c r="B10" s="2" t="s">
        <v>8</v>
      </c>
      <c r="C10" s="2">
        <f>UTCATF!B10</f>
        <v>332.7090509407227</v>
      </c>
      <c r="D10" s="2">
        <f>UTCATF!C10</f>
        <v>332.70908155553809</v>
      </c>
      <c r="E10" s="2">
        <f>UTCATF!D10</f>
        <v>332.70923462961508</v>
      </c>
      <c r="F10" s="2">
        <f>UTCATF!E10</f>
        <v>332.70938770369207</v>
      </c>
      <c r="G10" s="2">
        <f>UTCATF!F10</f>
        <v>332.70954077776906</v>
      </c>
      <c r="H10" s="2">
        <f>UTCATF!G10</f>
        <v>332.709693851846</v>
      </c>
      <c r="I10" s="2">
        <f>UTCATF!H10</f>
        <v>332.70984692592299</v>
      </c>
      <c r="J10" s="2">
        <f>UTCATF!I10</f>
        <v>332.71</v>
      </c>
      <c r="V10" s="2" t="s">
        <v>8</v>
      </c>
      <c r="W10" s="2">
        <f>UTCATF!B16</f>
        <v>332.7090509407227</v>
      </c>
      <c r="X10" s="2">
        <f>UTCATF!C16</f>
        <v>321.97650091037679</v>
      </c>
      <c r="Y10" s="2">
        <f>UTCATF!D16</f>
        <v>268.31375075864736</v>
      </c>
      <c r="Z10" s="2">
        <f>UTCATF!E16</f>
        <v>214.65100060691788</v>
      </c>
      <c r="AA10" s="2">
        <f>UTCATF!F16</f>
        <v>160.98825045518839</v>
      </c>
      <c r="AB10" s="2">
        <f>UTCATF!G16</f>
        <v>107.32550030345894</v>
      </c>
      <c r="AC10" s="2">
        <f>UTCATF!H16</f>
        <v>53.662750151729426</v>
      </c>
      <c r="AD10" s="2">
        <f>UTCATF!I16</f>
        <v>0</v>
      </c>
    </row>
    <row r="12" spans="2:30" ht="43.2">
      <c r="I12" s="256"/>
      <c r="J12" s="256" t="s">
        <v>14</v>
      </c>
      <c r="K12" s="256" t="s">
        <v>146</v>
      </c>
      <c r="L12" s="256" t="s">
        <v>589</v>
      </c>
      <c r="M12" s="256" t="s">
        <v>387</v>
      </c>
      <c r="N12" s="256" t="s">
        <v>7</v>
      </c>
      <c r="O12" s="256" t="s">
        <v>590</v>
      </c>
      <c r="P12" s="256" t="s">
        <v>591</v>
      </c>
      <c r="Q12" s="256" t="s">
        <v>147</v>
      </c>
      <c r="T12" s="531"/>
      <c r="U12" s="256"/>
      <c r="V12" s="533" t="s">
        <v>387</v>
      </c>
      <c r="W12" s="533" t="s">
        <v>7</v>
      </c>
      <c r="X12" s="533" t="s">
        <v>360</v>
      </c>
      <c r="Y12" s="533" t="s">
        <v>386</v>
      </c>
      <c r="Z12" s="533" t="s">
        <v>374</v>
      </c>
      <c r="AA12" s="533" t="s">
        <v>375</v>
      </c>
      <c r="AB12" s="531"/>
    </row>
    <row r="13" spans="2:30">
      <c r="I13" s="256" t="s">
        <v>592</v>
      </c>
      <c r="J13" s="361">
        <v>0.32</v>
      </c>
      <c r="K13" s="361">
        <v>0.44</v>
      </c>
      <c r="L13" s="361">
        <v>1</v>
      </c>
      <c r="M13" s="361">
        <v>0.4</v>
      </c>
      <c r="N13" s="361">
        <v>0.4</v>
      </c>
      <c r="O13" s="361">
        <v>0.4</v>
      </c>
      <c r="P13" s="361">
        <v>0.6</v>
      </c>
      <c r="Q13" s="361">
        <v>0.1</v>
      </c>
      <c r="T13" s="531" t="s">
        <v>653</v>
      </c>
      <c r="U13" s="256" t="s">
        <v>41</v>
      </c>
      <c r="V13" s="256">
        <v>47.979711316076482</v>
      </c>
      <c r="W13" s="256">
        <v>0</v>
      </c>
      <c r="X13" s="256">
        <v>0</v>
      </c>
      <c r="Y13" s="256">
        <v>8.0017440220341047</v>
      </c>
      <c r="Z13" s="256">
        <v>0</v>
      </c>
      <c r="AA13" s="256">
        <v>0.1631286599880096</v>
      </c>
      <c r="AB13" s="531" t="s">
        <v>654</v>
      </c>
    </row>
    <row r="14" spans="2:30" ht="18">
      <c r="B14" s="545" t="s">
        <v>363</v>
      </c>
      <c r="C14" s="545"/>
      <c r="D14" s="545"/>
      <c r="T14" s="531"/>
      <c r="U14" s="256" t="s">
        <v>43</v>
      </c>
      <c r="V14" s="256"/>
      <c r="W14" s="256"/>
      <c r="X14" s="256"/>
      <c r="Y14" s="256"/>
      <c r="Z14" s="256"/>
      <c r="AA14" s="256">
        <v>1</v>
      </c>
      <c r="AB14" s="531" t="s">
        <v>655</v>
      </c>
    </row>
    <row r="15" spans="2:30">
      <c r="T15" s="531"/>
      <c r="U15" s="256" t="s">
        <v>44</v>
      </c>
      <c r="V15" s="256"/>
      <c r="W15" s="256"/>
      <c r="X15" s="256"/>
      <c r="Y15" s="256"/>
      <c r="Z15" s="256"/>
      <c r="AA15" s="256">
        <v>1</v>
      </c>
      <c r="AB15" s="531"/>
    </row>
    <row r="16" spans="2:30" ht="43.2">
      <c r="B16" s="249"/>
      <c r="C16" s="250" t="s">
        <v>51</v>
      </c>
      <c r="D16" s="250">
        <v>2019</v>
      </c>
      <c r="E16" s="250">
        <v>2020</v>
      </c>
      <c r="F16" s="250" t="s">
        <v>364</v>
      </c>
      <c r="I16" s="251" t="s">
        <v>365</v>
      </c>
      <c r="J16" s="250">
        <v>2019</v>
      </c>
      <c r="K16" s="250">
        <v>2020</v>
      </c>
      <c r="L16" s="250" t="s">
        <v>364</v>
      </c>
      <c r="O16" s="250" t="s">
        <v>50</v>
      </c>
      <c r="P16" s="250">
        <v>2019</v>
      </c>
      <c r="Q16" s="250">
        <v>2020</v>
      </c>
      <c r="R16" s="250" t="s">
        <v>364</v>
      </c>
      <c r="U16" s="284" t="s">
        <v>389</v>
      </c>
      <c r="V16" s="285" t="s">
        <v>387</v>
      </c>
      <c r="W16" s="285" t="s">
        <v>7</v>
      </c>
      <c r="X16" s="285" t="s">
        <v>388</v>
      </c>
      <c r="Y16" s="285" t="s">
        <v>386</v>
      </c>
      <c r="Z16" s="285" t="s">
        <v>374</v>
      </c>
      <c r="AA16" s="285" t="s">
        <v>375</v>
      </c>
      <c r="AB16" s="285"/>
    </row>
    <row r="17" spans="1:38">
      <c r="B17" s="252"/>
      <c r="C17" s="253" t="s">
        <v>366</v>
      </c>
      <c r="D17" s="254">
        <f>O45/O36</f>
        <v>0</v>
      </c>
      <c r="E17" s="254">
        <v>-1.2872841444270016E-2</v>
      </c>
      <c r="F17" s="254">
        <f>AVERAGE(D17:E17)</f>
        <v>-6.436420722135008E-3</v>
      </c>
      <c r="I17" s="255" t="s">
        <v>367</v>
      </c>
      <c r="J17" s="256">
        <f>SUM(C36:N36)/O36</f>
        <v>-3.2661318451342871</v>
      </c>
      <c r="K17" s="256"/>
      <c r="L17" s="256">
        <f>AVERAGE(J17:K17)</f>
        <v>-3.2661318451342871</v>
      </c>
      <c r="O17" s="253" t="s">
        <v>366</v>
      </c>
      <c r="P17" s="254">
        <v>0</v>
      </c>
      <c r="Q17" s="254">
        <v>0</v>
      </c>
      <c r="R17" s="254">
        <f>AVERAGE(P17:Q17)</f>
        <v>0</v>
      </c>
      <c r="V17" s="262">
        <v>0</v>
      </c>
      <c r="W17" s="262">
        <v>0</v>
      </c>
      <c r="X17" s="262">
        <v>0</v>
      </c>
      <c r="Y17" s="262">
        <v>0</v>
      </c>
      <c r="Z17" s="262">
        <v>0</v>
      </c>
      <c r="AA17" s="262">
        <v>0</v>
      </c>
    </row>
    <row r="18" spans="1:38">
      <c r="B18" s="252"/>
      <c r="C18" s="253" t="s">
        <v>368</v>
      </c>
      <c r="D18" s="286">
        <f>O46/O36</f>
        <v>-1.8137425880711548E-2</v>
      </c>
      <c r="E18" s="254">
        <v>-6.3736263736263732E-2</v>
      </c>
      <c r="F18" s="286">
        <f>AVERAGE(D18:E18)</f>
        <v>-4.0936844808487638E-2</v>
      </c>
      <c r="I18" s="255" t="s">
        <v>50</v>
      </c>
      <c r="J18" s="256">
        <v>0</v>
      </c>
      <c r="K18" s="256"/>
      <c r="L18" s="256">
        <f t="shared" ref="L18:L19" si="2">AVERAGE(J18:K18)</f>
        <v>0</v>
      </c>
      <c r="O18" s="253" t="s">
        <v>368</v>
      </c>
      <c r="P18" s="254">
        <v>0</v>
      </c>
      <c r="Q18" s="254">
        <v>-9.0909090909090912E-2</v>
      </c>
      <c r="R18" s="254">
        <f>AVERAGE(P18:Q18)</f>
        <v>-4.5454545454545456E-2</v>
      </c>
    </row>
    <row r="19" spans="1:38">
      <c r="B19" s="252"/>
      <c r="C19" s="257"/>
      <c r="D19" s="258"/>
      <c r="E19" s="258"/>
      <c r="F19" s="258"/>
      <c r="I19" s="255" t="s">
        <v>369</v>
      </c>
      <c r="J19" s="256">
        <f>(SUM(C36:N36)+SUM(C37:N37))/(O36+P37)</f>
        <v>-3.2661318451342871</v>
      </c>
      <c r="K19" s="256">
        <v>-2.3666206896551722</v>
      </c>
      <c r="L19" s="256">
        <f t="shared" si="2"/>
        <v>-2.8163762673947295</v>
      </c>
    </row>
    <row r="21" spans="1:38" ht="23.4">
      <c r="B21" s="546" t="s">
        <v>10</v>
      </c>
      <c r="C21" s="546"/>
      <c r="D21" s="546"/>
      <c r="E21" s="546"/>
      <c r="F21" s="546"/>
      <c r="G21" s="546"/>
      <c r="H21" s="546"/>
      <c r="I21" s="546"/>
      <c r="J21" s="546"/>
      <c r="K21" s="546"/>
      <c r="L21" s="546"/>
      <c r="M21" s="546"/>
      <c r="N21" s="546"/>
      <c r="O21" s="546"/>
      <c r="P21" s="546"/>
      <c r="Q21" s="546"/>
      <c r="R21" s="546"/>
      <c r="V21" s="546" t="s">
        <v>11</v>
      </c>
      <c r="W21" s="546"/>
      <c r="X21" s="546"/>
      <c r="Y21" s="546"/>
      <c r="Z21" s="546"/>
      <c r="AA21" s="546"/>
      <c r="AB21" s="546"/>
      <c r="AC21" s="546"/>
      <c r="AD21" s="546"/>
      <c r="AE21" s="546"/>
      <c r="AF21" s="546"/>
      <c r="AG21" s="546"/>
      <c r="AH21" s="546"/>
      <c r="AI21" s="546"/>
      <c r="AJ21" s="546"/>
      <c r="AK21" s="546"/>
      <c r="AL21" s="546"/>
    </row>
    <row r="22" spans="1:38">
      <c r="B22" t="s">
        <v>12</v>
      </c>
    </row>
    <row r="23" spans="1:38">
      <c r="B23" t="s">
        <v>13</v>
      </c>
    </row>
    <row r="25" spans="1:38">
      <c r="A25" s="547">
        <v>2019</v>
      </c>
      <c r="B25" s="548" t="s">
        <v>12</v>
      </c>
      <c r="C25" s="549" t="s">
        <v>14</v>
      </c>
      <c r="D25" s="549" t="s">
        <v>15</v>
      </c>
      <c r="E25" s="549" t="s">
        <v>16</v>
      </c>
      <c r="F25" s="549" t="s">
        <v>17</v>
      </c>
      <c r="G25" s="549" t="s">
        <v>370</v>
      </c>
      <c r="H25" s="549" t="s">
        <v>18</v>
      </c>
      <c r="I25" s="549" t="s">
        <v>19</v>
      </c>
      <c r="J25" s="549"/>
      <c r="K25" s="549"/>
      <c r="L25" s="549"/>
      <c r="M25" s="549"/>
      <c r="N25" s="549"/>
      <c r="O25" s="550" t="s">
        <v>371</v>
      </c>
      <c r="P25" s="550" t="s">
        <v>21</v>
      </c>
      <c r="Q25" s="550" t="s">
        <v>372</v>
      </c>
      <c r="R25" s="550" t="s">
        <v>23</v>
      </c>
      <c r="U25" s="547">
        <v>2019</v>
      </c>
      <c r="V25" s="548" t="s">
        <v>12</v>
      </c>
      <c r="W25" s="549" t="s">
        <v>14</v>
      </c>
      <c r="X25" s="549" t="s">
        <v>15</v>
      </c>
      <c r="Y25" s="549" t="s">
        <v>16</v>
      </c>
      <c r="Z25" s="549" t="s">
        <v>17</v>
      </c>
      <c r="AA25" s="549" t="s">
        <v>370</v>
      </c>
      <c r="AB25" s="549" t="s">
        <v>18</v>
      </c>
      <c r="AC25" s="549" t="s">
        <v>19</v>
      </c>
      <c r="AD25" s="549"/>
      <c r="AE25" s="549"/>
      <c r="AF25" s="549"/>
      <c r="AG25" s="549"/>
      <c r="AH25" s="549"/>
      <c r="AI25" s="550" t="s">
        <v>371</v>
      </c>
      <c r="AJ25" s="550" t="s">
        <v>21</v>
      </c>
      <c r="AK25" s="550" t="s">
        <v>372</v>
      </c>
      <c r="AL25" s="550" t="s">
        <v>23</v>
      </c>
    </row>
    <row r="26" spans="1:38" ht="45.6">
      <c r="A26" s="547"/>
      <c r="B26" s="548"/>
      <c r="C26" s="549"/>
      <c r="D26" s="549"/>
      <c r="E26" s="549"/>
      <c r="F26" s="549"/>
      <c r="G26" s="549"/>
      <c r="H26" s="549"/>
      <c r="I26" s="259" t="s">
        <v>359</v>
      </c>
      <c r="J26" s="259" t="s">
        <v>7</v>
      </c>
      <c r="K26" s="259" t="s">
        <v>360</v>
      </c>
      <c r="L26" s="259" t="s">
        <v>373</v>
      </c>
      <c r="M26" s="260" t="s">
        <v>374</v>
      </c>
      <c r="N26" s="259" t="s">
        <v>375</v>
      </c>
      <c r="O26" s="550"/>
      <c r="P26" s="550"/>
      <c r="Q26" s="550"/>
      <c r="R26" s="550"/>
      <c r="U26" s="547"/>
      <c r="V26" s="548"/>
      <c r="W26" s="549"/>
      <c r="X26" s="549"/>
      <c r="Y26" s="549"/>
      <c r="Z26" s="549"/>
      <c r="AA26" s="549"/>
      <c r="AB26" s="549"/>
      <c r="AC26" s="259" t="s">
        <v>359</v>
      </c>
      <c r="AD26" s="259" t="s">
        <v>7</v>
      </c>
      <c r="AE26" s="259" t="s">
        <v>360</v>
      </c>
      <c r="AF26" s="259" t="s">
        <v>373</v>
      </c>
      <c r="AG26" s="260" t="s">
        <v>374</v>
      </c>
      <c r="AH26" s="259" t="s">
        <v>375</v>
      </c>
      <c r="AI26" s="550"/>
      <c r="AJ26" s="550"/>
      <c r="AK26" s="550"/>
      <c r="AL26" s="550"/>
    </row>
    <row r="27" spans="1:38">
      <c r="A27" s="547"/>
      <c r="B27" s="261" t="s">
        <v>24</v>
      </c>
      <c r="C27" s="262">
        <v>0</v>
      </c>
      <c r="D27" s="263">
        <v>0</v>
      </c>
      <c r="E27" s="263">
        <v>0</v>
      </c>
      <c r="F27" s="262">
        <v>0</v>
      </c>
      <c r="G27" s="263">
        <v>0</v>
      </c>
      <c r="H27" s="263">
        <v>458.22200000000004</v>
      </c>
      <c r="I27" s="263">
        <v>0</v>
      </c>
      <c r="J27" s="263">
        <v>0</v>
      </c>
      <c r="K27" s="263">
        <v>0</v>
      </c>
      <c r="L27" s="263">
        <v>0</v>
      </c>
      <c r="M27" s="263">
        <v>0</v>
      </c>
      <c r="N27" s="263">
        <v>39.542000000000002</v>
      </c>
      <c r="O27" s="264">
        <v>0</v>
      </c>
      <c r="P27" s="263">
        <v>0</v>
      </c>
      <c r="Q27" s="263">
        <v>0</v>
      </c>
      <c r="R27" s="265">
        <v>497.76400000000001</v>
      </c>
      <c r="U27" s="547"/>
      <c r="V27" s="261" t="s">
        <v>24</v>
      </c>
      <c r="W27" s="262">
        <v>0</v>
      </c>
      <c r="X27" s="263">
        <v>0</v>
      </c>
      <c r="Y27" s="263">
        <v>0</v>
      </c>
      <c r="Z27" s="262">
        <v>0</v>
      </c>
      <c r="AA27" s="263">
        <v>0</v>
      </c>
      <c r="AB27" s="263">
        <v>458.22200000000004</v>
      </c>
      <c r="AC27" s="263">
        <v>0</v>
      </c>
      <c r="AD27" s="263">
        <v>0</v>
      </c>
      <c r="AE27" s="263">
        <v>0</v>
      </c>
      <c r="AF27" s="263">
        <v>0</v>
      </c>
      <c r="AG27" s="263">
        <v>0</v>
      </c>
      <c r="AH27" s="263">
        <v>39.542000000000002</v>
      </c>
      <c r="AI27" s="264">
        <v>0</v>
      </c>
      <c r="AJ27" s="263">
        <v>0</v>
      </c>
      <c r="AK27" s="263">
        <v>0</v>
      </c>
      <c r="AL27" s="265">
        <v>497.76400000000001</v>
      </c>
    </row>
    <row r="28" spans="1:38">
      <c r="A28" s="547"/>
      <c r="B28" s="261" t="s">
        <v>28</v>
      </c>
      <c r="C28" s="262">
        <v>8372.4369999999999</v>
      </c>
      <c r="D28" s="263">
        <v>0</v>
      </c>
      <c r="E28" s="263">
        <v>10517.009</v>
      </c>
      <c r="F28" s="262">
        <v>0</v>
      </c>
      <c r="G28" s="263">
        <v>0</v>
      </c>
      <c r="H28" s="263">
        <v>0</v>
      </c>
      <c r="I28" s="263">
        <v>0</v>
      </c>
      <c r="J28" s="263">
        <v>0</v>
      </c>
      <c r="K28" s="263">
        <v>0</v>
      </c>
      <c r="L28" s="263">
        <v>0</v>
      </c>
      <c r="M28" s="263">
        <v>0</v>
      </c>
      <c r="N28" s="263">
        <v>0</v>
      </c>
      <c r="O28" s="264">
        <v>0</v>
      </c>
      <c r="P28" s="263">
        <v>0</v>
      </c>
      <c r="Q28" s="263">
        <v>0</v>
      </c>
      <c r="R28" s="265">
        <v>18889.446</v>
      </c>
      <c r="U28" s="547"/>
      <c r="V28" s="261" t="s">
        <v>28</v>
      </c>
      <c r="W28" s="262">
        <v>8372.4369999999999</v>
      </c>
      <c r="X28" s="263">
        <v>0</v>
      </c>
      <c r="Y28" s="263">
        <v>10517.009</v>
      </c>
      <c r="Z28" s="262">
        <v>0</v>
      </c>
      <c r="AA28" s="263">
        <v>0</v>
      </c>
      <c r="AB28" s="263">
        <v>0</v>
      </c>
      <c r="AC28" s="263">
        <v>0</v>
      </c>
      <c r="AD28" s="263">
        <v>0</v>
      </c>
      <c r="AE28" s="263">
        <v>0</v>
      </c>
      <c r="AF28" s="263">
        <v>0</v>
      </c>
      <c r="AG28" s="263">
        <v>0</v>
      </c>
      <c r="AH28" s="263">
        <v>0</v>
      </c>
      <c r="AI28" s="264">
        <v>0</v>
      </c>
      <c r="AJ28" s="263">
        <v>0</v>
      </c>
      <c r="AK28" s="263">
        <v>0</v>
      </c>
      <c r="AL28" s="265">
        <v>18889.446</v>
      </c>
    </row>
    <row r="29" spans="1:38">
      <c r="A29" s="547"/>
      <c r="B29" s="261" t="s">
        <v>29</v>
      </c>
      <c r="C29" s="262">
        <v>0</v>
      </c>
      <c r="D29" s="263">
        <v>0</v>
      </c>
      <c r="E29" s="263">
        <v>0</v>
      </c>
      <c r="F29" s="262">
        <v>0</v>
      </c>
      <c r="G29" s="263">
        <v>0</v>
      </c>
      <c r="H29" s="263">
        <v>0</v>
      </c>
      <c r="I29" s="263">
        <v>0</v>
      </c>
      <c r="J29" s="263">
        <v>0</v>
      </c>
      <c r="K29" s="263">
        <v>0</v>
      </c>
      <c r="L29" s="263">
        <v>0</v>
      </c>
      <c r="M29" s="263">
        <v>0</v>
      </c>
      <c r="N29" s="263">
        <v>0</v>
      </c>
      <c r="O29" s="264">
        <v>0</v>
      </c>
      <c r="P29" s="263">
        <v>0</v>
      </c>
      <c r="Q29" s="263">
        <v>0</v>
      </c>
      <c r="R29" s="265">
        <v>0</v>
      </c>
      <c r="U29" s="547"/>
      <c r="V29" s="261" t="s">
        <v>29</v>
      </c>
      <c r="W29" s="262">
        <v>0</v>
      </c>
      <c r="X29" s="263">
        <v>0</v>
      </c>
      <c r="Y29" s="263">
        <v>0</v>
      </c>
      <c r="Z29" s="262">
        <v>0</v>
      </c>
      <c r="AA29" s="263">
        <v>0</v>
      </c>
      <c r="AB29" s="263">
        <v>0</v>
      </c>
      <c r="AC29" s="263">
        <v>0</v>
      </c>
      <c r="AD29" s="263">
        <v>0</v>
      </c>
      <c r="AE29" s="263">
        <v>0</v>
      </c>
      <c r="AF29" s="263">
        <v>0</v>
      </c>
      <c r="AG29" s="263">
        <v>0</v>
      </c>
      <c r="AH29" s="263">
        <v>0</v>
      </c>
      <c r="AI29" s="264">
        <v>0</v>
      </c>
      <c r="AJ29" s="263">
        <v>0</v>
      </c>
      <c r="AK29" s="263">
        <v>0</v>
      </c>
      <c r="AL29" s="265">
        <v>0</v>
      </c>
    </row>
    <row r="30" spans="1:38">
      <c r="A30" s="547"/>
      <c r="B30" s="261" t="s">
        <v>30</v>
      </c>
      <c r="C30" s="262">
        <v>0</v>
      </c>
      <c r="D30" s="263">
        <v>0</v>
      </c>
      <c r="E30" s="263">
        <v>-271.11377777777784</v>
      </c>
      <c r="F30" s="262">
        <v>0</v>
      </c>
      <c r="G30" s="263">
        <v>0</v>
      </c>
      <c r="H30" s="263">
        <v>0</v>
      </c>
      <c r="I30" s="263">
        <v>0</v>
      </c>
      <c r="J30" s="263">
        <v>0</v>
      </c>
      <c r="K30" s="263">
        <v>0</v>
      </c>
      <c r="L30" s="263">
        <v>0</v>
      </c>
      <c r="M30" s="263">
        <v>0</v>
      </c>
      <c r="N30" s="263">
        <v>0</v>
      </c>
      <c r="O30" s="264">
        <v>0</v>
      </c>
      <c r="P30" s="263">
        <v>0</v>
      </c>
      <c r="Q30" s="263">
        <v>0</v>
      </c>
      <c r="R30" s="265">
        <v>-271.11377777777784</v>
      </c>
      <c r="U30" s="547"/>
      <c r="V30" s="261" t="s">
        <v>30</v>
      </c>
      <c r="W30" s="262">
        <v>0</v>
      </c>
      <c r="X30" s="263">
        <v>0</v>
      </c>
      <c r="Y30" s="263">
        <v>-271.11377777777784</v>
      </c>
      <c r="Z30" s="262">
        <v>0</v>
      </c>
      <c r="AA30" s="263">
        <v>0</v>
      </c>
      <c r="AB30" s="263">
        <v>0</v>
      </c>
      <c r="AC30" s="263">
        <v>0</v>
      </c>
      <c r="AD30" s="263">
        <v>0</v>
      </c>
      <c r="AE30" s="263">
        <v>0</v>
      </c>
      <c r="AF30" s="263">
        <v>0</v>
      </c>
      <c r="AG30" s="263">
        <v>0</v>
      </c>
      <c r="AH30" s="263">
        <v>0</v>
      </c>
      <c r="AI30" s="264">
        <v>0</v>
      </c>
      <c r="AJ30" s="263">
        <v>0</v>
      </c>
      <c r="AK30" s="263">
        <v>0</v>
      </c>
      <c r="AL30" s="265">
        <v>-271.11377777777784</v>
      </c>
    </row>
    <row r="31" spans="1:38">
      <c r="A31" s="547"/>
      <c r="B31" s="261" t="s">
        <v>31</v>
      </c>
      <c r="C31" s="262">
        <v>0</v>
      </c>
      <c r="D31" s="263">
        <v>0</v>
      </c>
      <c r="E31" s="263">
        <v>-173.15222222222224</v>
      </c>
      <c r="F31" s="262">
        <v>0</v>
      </c>
      <c r="G31" s="263">
        <v>0</v>
      </c>
      <c r="H31" s="263">
        <v>0</v>
      </c>
      <c r="I31" s="263">
        <v>0</v>
      </c>
      <c r="J31" s="263">
        <v>0</v>
      </c>
      <c r="K31" s="263">
        <v>0</v>
      </c>
      <c r="L31" s="263">
        <v>0</v>
      </c>
      <c r="M31" s="263">
        <v>0</v>
      </c>
      <c r="N31" s="263">
        <v>0</v>
      </c>
      <c r="O31" s="264">
        <v>0</v>
      </c>
      <c r="P31" s="263">
        <v>0</v>
      </c>
      <c r="Q31" s="263">
        <v>0</v>
      </c>
      <c r="R31" s="265">
        <v>-173.15222222222224</v>
      </c>
      <c r="U31" s="547"/>
      <c r="V31" s="261" t="s">
        <v>31</v>
      </c>
      <c r="W31" s="262">
        <v>0</v>
      </c>
      <c r="X31" s="263">
        <v>0</v>
      </c>
      <c r="Y31" s="263">
        <v>-173.15222222222224</v>
      </c>
      <c r="Z31" s="262">
        <v>0</v>
      </c>
      <c r="AA31" s="263">
        <v>0</v>
      </c>
      <c r="AB31" s="263">
        <v>0</v>
      </c>
      <c r="AC31" s="263">
        <v>0</v>
      </c>
      <c r="AD31" s="263">
        <v>0</v>
      </c>
      <c r="AE31" s="263">
        <v>0</v>
      </c>
      <c r="AF31" s="263">
        <v>0</v>
      </c>
      <c r="AG31" s="263">
        <v>0</v>
      </c>
      <c r="AH31" s="263">
        <v>0</v>
      </c>
      <c r="AI31" s="264">
        <v>0</v>
      </c>
      <c r="AJ31" s="263">
        <v>0</v>
      </c>
      <c r="AK31" s="263">
        <v>0</v>
      </c>
      <c r="AL31" s="265">
        <v>-173.15222222222224</v>
      </c>
    </row>
    <row r="32" spans="1:38">
      <c r="A32" s="547"/>
      <c r="B32" s="261" t="s">
        <v>32</v>
      </c>
      <c r="C32" s="262">
        <v>220.97000000000003</v>
      </c>
      <c r="D32" s="263">
        <v>0</v>
      </c>
      <c r="E32" s="263">
        <v>-30.238000000000003</v>
      </c>
      <c r="F32" s="262">
        <v>0</v>
      </c>
      <c r="G32" s="263">
        <v>0</v>
      </c>
      <c r="H32" s="263">
        <v>0</v>
      </c>
      <c r="I32" s="263">
        <v>0</v>
      </c>
      <c r="J32" s="263">
        <v>0</v>
      </c>
      <c r="K32" s="263">
        <v>0</v>
      </c>
      <c r="L32" s="263">
        <v>0</v>
      </c>
      <c r="M32" s="263">
        <v>0</v>
      </c>
      <c r="N32" s="263">
        <v>0</v>
      </c>
      <c r="O32" s="264">
        <v>0</v>
      </c>
      <c r="P32" s="263">
        <v>0</v>
      </c>
      <c r="Q32" s="263">
        <v>0</v>
      </c>
      <c r="R32" s="265">
        <v>190.73200000000003</v>
      </c>
      <c r="U32" s="547"/>
      <c r="V32" s="261" t="s">
        <v>32</v>
      </c>
      <c r="W32" s="262">
        <v>220.97000000000003</v>
      </c>
      <c r="X32" s="263">
        <v>0</v>
      </c>
      <c r="Y32" s="263">
        <v>-30.238000000000003</v>
      </c>
      <c r="Z32" s="262">
        <v>0</v>
      </c>
      <c r="AA32" s="263">
        <v>0</v>
      </c>
      <c r="AB32" s="263">
        <v>0</v>
      </c>
      <c r="AC32" s="263">
        <v>0</v>
      </c>
      <c r="AD32" s="263">
        <v>0</v>
      </c>
      <c r="AE32" s="263">
        <v>0</v>
      </c>
      <c r="AF32" s="263">
        <v>0</v>
      </c>
      <c r="AG32" s="263">
        <v>0</v>
      </c>
      <c r="AH32" s="263">
        <v>0</v>
      </c>
      <c r="AI32" s="264">
        <v>0</v>
      </c>
      <c r="AJ32" s="263">
        <v>0</v>
      </c>
      <c r="AK32" s="263">
        <v>0</v>
      </c>
      <c r="AL32" s="265">
        <v>190.73200000000003</v>
      </c>
    </row>
    <row r="33" spans="1:38">
      <c r="A33" s="547"/>
      <c r="B33" s="266" t="s">
        <v>376</v>
      </c>
      <c r="C33" s="267">
        <v>8593.4069999999992</v>
      </c>
      <c r="D33" s="267">
        <v>0</v>
      </c>
      <c r="E33" s="267">
        <v>10042.505000000001</v>
      </c>
      <c r="F33" s="267">
        <v>0</v>
      </c>
      <c r="G33" s="267">
        <v>0</v>
      </c>
      <c r="H33" s="267">
        <v>458.22200000000004</v>
      </c>
      <c r="I33" s="267">
        <v>0</v>
      </c>
      <c r="J33" s="267">
        <v>0</v>
      </c>
      <c r="K33" s="267">
        <v>0</v>
      </c>
      <c r="L33" s="267">
        <v>0</v>
      </c>
      <c r="M33" s="267">
        <v>0</v>
      </c>
      <c r="N33" s="267">
        <v>39.542000000000002</v>
      </c>
      <c r="O33" s="267">
        <v>0</v>
      </c>
      <c r="P33" s="267">
        <v>0</v>
      </c>
      <c r="Q33" s="267">
        <v>0</v>
      </c>
      <c r="R33" s="267">
        <v>19133.676000000003</v>
      </c>
      <c r="U33" s="547"/>
      <c r="V33" s="266" t="s">
        <v>376</v>
      </c>
      <c r="W33" s="267">
        <v>8593.4069999999992</v>
      </c>
      <c r="X33" s="267">
        <v>0</v>
      </c>
      <c r="Y33" s="267">
        <v>10042.505000000001</v>
      </c>
      <c r="Z33" s="267">
        <v>0</v>
      </c>
      <c r="AA33" s="267">
        <v>0</v>
      </c>
      <c r="AB33" s="267">
        <v>458.22200000000004</v>
      </c>
      <c r="AC33" s="267">
        <v>0</v>
      </c>
      <c r="AD33" s="267">
        <v>0</v>
      </c>
      <c r="AE33" s="267">
        <v>0</v>
      </c>
      <c r="AF33" s="267">
        <v>0</v>
      </c>
      <c r="AG33" s="267">
        <v>0</v>
      </c>
      <c r="AH33" s="267">
        <v>39.542000000000002</v>
      </c>
      <c r="AI33" s="267">
        <v>0</v>
      </c>
      <c r="AJ33" s="267">
        <v>0</v>
      </c>
      <c r="AK33" s="267">
        <v>0</v>
      </c>
      <c r="AL33" s="267">
        <v>19133.676000000003</v>
      </c>
    </row>
    <row r="34" spans="1:38">
      <c r="A34" s="547"/>
      <c r="B34" s="268"/>
      <c r="C34" s="269"/>
      <c r="D34" s="237"/>
      <c r="E34" s="270"/>
      <c r="F34" s="269"/>
      <c r="G34" s="269"/>
      <c r="H34" s="269"/>
      <c r="I34" s="269"/>
      <c r="J34" s="269"/>
      <c r="K34" s="269"/>
      <c r="L34" s="269"/>
      <c r="M34" s="269"/>
      <c r="N34" s="269"/>
      <c r="O34" s="269"/>
      <c r="P34" s="269"/>
      <c r="Q34" s="269"/>
      <c r="R34" s="269"/>
      <c r="U34" s="547"/>
      <c r="V34" s="268"/>
      <c r="W34" s="269"/>
      <c r="X34" s="237"/>
      <c r="Y34" s="270"/>
      <c r="Z34" s="269"/>
      <c r="AA34" s="269"/>
      <c r="AB34" s="269"/>
      <c r="AC34" s="269"/>
      <c r="AD34" s="269"/>
      <c r="AE34" s="269"/>
      <c r="AF34" s="269"/>
      <c r="AG34" s="269"/>
      <c r="AH34" s="269"/>
      <c r="AI34" s="278"/>
      <c r="AJ34" s="269"/>
      <c r="AK34" s="269"/>
      <c r="AL34" s="269"/>
    </row>
    <row r="35" spans="1:38">
      <c r="A35" s="547"/>
      <c r="B35" s="271" t="s">
        <v>377</v>
      </c>
      <c r="C35" s="262">
        <v>-211.666</v>
      </c>
      <c r="D35" s="272">
        <v>0</v>
      </c>
      <c r="E35" s="272">
        <v>-61.639000000000003</v>
      </c>
      <c r="F35" s="262">
        <v>0</v>
      </c>
      <c r="G35" s="262">
        <v>0</v>
      </c>
      <c r="H35" s="262">
        <v>0</v>
      </c>
      <c r="I35" s="262">
        <v>0</v>
      </c>
      <c r="J35" s="262">
        <v>0</v>
      </c>
      <c r="K35" s="262">
        <v>0</v>
      </c>
      <c r="L35" s="262">
        <v>0</v>
      </c>
      <c r="M35" s="262">
        <v>0</v>
      </c>
      <c r="N35" s="262">
        <v>0</v>
      </c>
      <c r="O35" s="262">
        <v>0</v>
      </c>
      <c r="P35" s="262">
        <v>0</v>
      </c>
      <c r="Q35" s="262">
        <v>0</v>
      </c>
      <c r="R35" s="273">
        <v>-273.30500000000001</v>
      </c>
      <c r="U35" s="547"/>
      <c r="V35" s="271" t="s">
        <v>377</v>
      </c>
      <c r="W35" s="262">
        <v>-211.666</v>
      </c>
      <c r="X35" s="272">
        <v>0</v>
      </c>
      <c r="Y35" s="272">
        <v>-61.639000000000003</v>
      </c>
      <c r="Z35" s="262">
        <v>0</v>
      </c>
      <c r="AA35" s="262">
        <v>0</v>
      </c>
      <c r="AB35" s="262">
        <v>0</v>
      </c>
      <c r="AC35" s="262">
        <v>0</v>
      </c>
      <c r="AD35" s="262">
        <v>0</v>
      </c>
      <c r="AE35" s="262">
        <v>0</v>
      </c>
      <c r="AF35" s="262">
        <v>0</v>
      </c>
      <c r="AG35" s="262">
        <v>0</v>
      </c>
      <c r="AH35" s="262">
        <v>0</v>
      </c>
      <c r="AI35" s="262">
        <v>0</v>
      </c>
      <c r="AJ35" s="262">
        <v>0</v>
      </c>
      <c r="AK35" s="262">
        <v>0</v>
      </c>
      <c r="AL35" s="273">
        <v>-273.30500000000001</v>
      </c>
    </row>
    <row r="36" spans="1:38">
      <c r="A36" s="547"/>
      <c r="B36" s="271" t="s">
        <v>378</v>
      </c>
      <c r="C36" s="262">
        <v>5892.9210000000003</v>
      </c>
      <c r="D36" s="262">
        <v>0</v>
      </c>
      <c r="E36" s="262">
        <v>4539.1890000000003</v>
      </c>
      <c r="F36" s="262">
        <v>0</v>
      </c>
      <c r="G36" s="262">
        <v>0</v>
      </c>
      <c r="H36" s="262">
        <v>458.22200000000004</v>
      </c>
      <c r="I36" s="274">
        <v>0</v>
      </c>
      <c r="J36" s="274">
        <v>0</v>
      </c>
      <c r="K36" s="274">
        <v>0</v>
      </c>
      <c r="L36" s="274">
        <v>0</v>
      </c>
      <c r="M36" s="274">
        <v>0</v>
      </c>
      <c r="N36" s="274">
        <v>0</v>
      </c>
      <c r="O36" s="262">
        <v>-3334.3209999999999</v>
      </c>
      <c r="P36" s="262">
        <v>0</v>
      </c>
      <c r="Q36" s="262">
        <v>0</v>
      </c>
      <c r="R36" s="273">
        <v>7556.0110000000004</v>
      </c>
      <c r="U36" s="547"/>
      <c r="V36" s="271" t="s">
        <v>378</v>
      </c>
      <c r="W36" s="262">
        <v>5892.9210000000003</v>
      </c>
      <c r="X36" s="262">
        <v>0</v>
      </c>
      <c r="Y36" s="262">
        <v>4539.1890000000003</v>
      </c>
      <c r="Z36" s="262">
        <v>0</v>
      </c>
      <c r="AA36" s="262">
        <v>0</v>
      </c>
      <c r="AB36" s="262">
        <v>458.22200000000004</v>
      </c>
      <c r="AC36" s="274">
        <v>0</v>
      </c>
      <c r="AD36" s="274">
        <v>0</v>
      </c>
      <c r="AE36" s="274">
        <v>0</v>
      </c>
      <c r="AF36" s="274">
        <v>0</v>
      </c>
      <c r="AG36" s="274">
        <v>0</v>
      </c>
      <c r="AH36" s="274">
        <v>0</v>
      </c>
      <c r="AI36" s="262">
        <v>-3334.3209999999999</v>
      </c>
      <c r="AJ36" s="262">
        <v>0</v>
      </c>
      <c r="AK36" s="262">
        <v>0</v>
      </c>
      <c r="AL36" s="273">
        <v>7556.0110000000004</v>
      </c>
    </row>
    <row r="37" spans="1:38">
      <c r="A37" s="547"/>
      <c r="B37" s="271" t="s">
        <v>379</v>
      </c>
      <c r="C37" s="262">
        <v>0</v>
      </c>
      <c r="D37" s="262">
        <v>0</v>
      </c>
      <c r="E37" s="262">
        <v>0</v>
      </c>
      <c r="F37" s="262">
        <v>0</v>
      </c>
      <c r="G37" s="262">
        <v>0</v>
      </c>
      <c r="H37" s="262">
        <v>0</v>
      </c>
      <c r="I37" s="274">
        <v>0</v>
      </c>
      <c r="J37" s="274">
        <v>0</v>
      </c>
      <c r="K37" s="274">
        <v>0</v>
      </c>
      <c r="L37" s="274">
        <v>0</v>
      </c>
      <c r="M37" s="274">
        <v>0</v>
      </c>
      <c r="N37" s="274">
        <v>0</v>
      </c>
      <c r="O37" s="262">
        <v>0</v>
      </c>
      <c r="P37" s="262">
        <v>0</v>
      </c>
      <c r="Q37" s="262">
        <v>0</v>
      </c>
      <c r="R37" s="273">
        <v>0</v>
      </c>
      <c r="U37" s="547"/>
      <c r="V37" s="271" t="s">
        <v>379</v>
      </c>
      <c r="W37" s="262">
        <v>0</v>
      </c>
      <c r="X37" s="262">
        <v>0</v>
      </c>
      <c r="Y37" s="262">
        <v>0</v>
      </c>
      <c r="Z37" s="262">
        <v>0</v>
      </c>
      <c r="AA37" s="262">
        <v>0</v>
      </c>
      <c r="AB37" s="262">
        <v>0</v>
      </c>
      <c r="AC37" s="274">
        <v>0</v>
      </c>
      <c r="AD37" s="274">
        <v>0</v>
      </c>
      <c r="AE37" s="274">
        <v>0</v>
      </c>
      <c r="AF37" s="274">
        <v>0</v>
      </c>
      <c r="AG37" s="274">
        <v>0</v>
      </c>
      <c r="AH37" s="274">
        <v>0</v>
      </c>
      <c r="AI37" s="262">
        <v>0</v>
      </c>
      <c r="AJ37" s="262">
        <v>0</v>
      </c>
      <c r="AK37" s="262">
        <v>0</v>
      </c>
      <c r="AL37" s="273">
        <v>0</v>
      </c>
    </row>
    <row r="38" spans="1:38">
      <c r="A38" s="547"/>
      <c r="B38" s="271" t="s">
        <v>380</v>
      </c>
      <c r="C38" s="262">
        <v>0</v>
      </c>
      <c r="D38" s="262">
        <v>0</v>
      </c>
      <c r="E38" s="262">
        <v>0</v>
      </c>
      <c r="F38" s="262">
        <v>0</v>
      </c>
      <c r="G38" s="262">
        <v>0</v>
      </c>
      <c r="H38" s="262">
        <v>0</v>
      </c>
      <c r="I38" s="275">
        <v>0</v>
      </c>
      <c r="J38" s="275">
        <v>0</v>
      </c>
      <c r="K38" s="275">
        <v>0</v>
      </c>
      <c r="L38" s="275">
        <v>0</v>
      </c>
      <c r="M38" s="275">
        <v>0</v>
      </c>
      <c r="N38" s="275">
        <v>0</v>
      </c>
      <c r="O38" s="262">
        <v>0</v>
      </c>
      <c r="P38" s="262">
        <v>0</v>
      </c>
      <c r="Q38" s="262">
        <v>0</v>
      </c>
      <c r="R38" s="273">
        <v>0</v>
      </c>
      <c r="U38" s="547"/>
      <c r="V38" s="271" t="s">
        <v>380</v>
      </c>
      <c r="W38" s="262">
        <v>0</v>
      </c>
      <c r="X38" s="262">
        <v>0</v>
      </c>
      <c r="Y38" s="262">
        <v>0</v>
      </c>
      <c r="Z38" s="262">
        <v>0</v>
      </c>
      <c r="AA38" s="262">
        <v>0</v>
      </c>
      <c r="AB38" s="262">
        <v>0</v>
      </c>
      <c r="AC38" s="275">
        <v>0</v>
      </c>
      <c r="AD38" s="275">
        <v>0</v>
      </c>
      <c r="AE38" s="275">
        <v>0</v>
      </c>
      <c r="AF38" s="275">
        <v>0</v>
      </c>
      <c r="AG38" s="275">
        <v>0</v>
      </c>
      <c r="AH38" s="275">
        <v>0</v>
      </c>
      <c r="AI38" s="262">
        <v>0</v>
      </c>
      <c r="AJ38" s="262">
        <v>0</v>
      </c>
      <c r="AK38" s="262">
        <v>0</v>
      </c>
      <c r="AL38" s="273">
        <v>0</v>
      </c>
    </row>
    <row r="39" spans="1:38">
      <c r="A39" s="547"/>
      <c r="B39" s="271" t="s">
        <v>381</v>
      </c>
      <c r="C39" s="262">
        <v>0</v>
      </c>
      <c r="D39" s="262">
        <v>0</v>
      </c>
      <c r="E39" s="262">
        <v>0</v>
      </c>
      <c r="F39" s="262">
        <v>0</v>
      </c>
      <c r="G39" s="262">
        <v>0</v>
      </c>
      <c r="H39" s="262">
        <v>0</v>
      </c>
      <c r="I39" s="262">
        <v>0</v>
      </c>
      <c r="J39" s="262">
        <v>0</v>
      </c>
      <c r="K39" s="262">
        <v>0</v>
      </c>
      <c r="L39" s="262">
        <v>0</v>
      </c>
      <c r="M39" s="262">
        <v>0</v>
      </c>
      <c r="N39" s="262">
        <v>0</v>
      </c>
      <c r="O39" s="262">
        <v>0</v>
      </c>
      <c r="P39" s="262">
        <v>0</v>
      </c>
      <c r="Q39" s="262">
        <v>0</v>
      </c>
      <c r="R39" s="273">
        <v>0</v>
      </c>
      <c r="U39" s="547"/>
      <c r="V39" s="271" t="s">
        <v>381</v>
      </c>
      <c r="W39" s="262">
        <v>0</v>
      </c>
      <c r="X39" s="262">
        <v>0</v>
      </c>
      <c r="Y39" s="262">
        <v>0</v>
      </c>
      <c r="Z39" s="262">
        <v>0</v>
      </c>
      <c r="AA39" s="262">
        <v>0</v>
      </c>
      <c r="AB39" s="262">
        <v>0</v>
      </c>
      <c r="AC39" s="262">
        <v>0</v>
      </c>
      <c r="AD39" s="262">
        <v>0</v>
      </c>
      <c r="AE39" s="262">
        <v>0</v>
      </c>
      <c r="AF39" s="262">
        <v>0</v>
      </c>
      <c r="AG39" s="262">
        <v>0</v>
      </c>
      <c r="AH39" s="262">
        <v>0</v>
      </c>
      <c r="AI39" s="262">
        <v>0</v>
      </c>
      <c r="AJ39" s="262">
        <v>0</v>
      </c>
      <c r="AK39" s="262">
        <v>0</v>
      </c>
      <c r="AL39" s="273">
        <v>0</v>
      </c>
    </row>
    <row r="40" spans="1:38">
      <c r="A40" s="547"/>
      <c r="B40" s="271" t="s">
        <v>36</v>
      </c>
      <c r="C40" s="262">
        <v>0</v>
      </c>
      <c r="D40" s="262">
        <v>0</v>
      </c>
      <c r="E40" s="262">
        <v>0</v>
      </c>
      <c r="F40" s="262">
        <v>0</v>
      </c>
      <c r="G40" s="262">
        <v>0</v>
      </c>
      <c r="H40" s="262">
        <v>0</v>
      </c>
      <c r="I40" s="262">
        <v>0</v>
      </c>
      <c r="J40" s="262">
        <v>0</v>
      </c>
      <c r="K40" s="262">
        <v>0</v>
      </c>
      <c r="L40" s="262">
        <v>0</v>
      </c>
      <c r="M40" s="262">
        <v>0</v>
      </c>
      <c r="N40" s="262">
        <v>0</v>
      </c>
      <c r="O40" s="262">
        <v>0</v>
      </c>
      <c r="P40" s="262">
        <v>0</v>
      </c>
      <c r="Q40" s="262">
        <v>0</v>
      </c>
      <c r="R40" s="273">
        <v>0</v>
      </c>
      <c r="U40" s="547"/>
      <c r="V40" s="271" t="s">
        <v>36</v>
      </c>
      <c r="W40" s="262">
        <v>0</v>
      </c>
      <c r="X40" s="262">
        <v>0</v>
      </c>
      <c r="Y40" s="262">
        <v>0</v>
      </c>
      <c r="Z40" s="262">
        <v>0</v>
      </c>
      <c r="AA40" s="262">
        <v>0</v>
      </c>
      <c r="AB40" s="262">
        <v>0</v>
      </c>
      <c r="AC40" s="262">
        <v>0</v>
      </c>
      <c r="AD40" s="262">
        <v>0</v>
      </c>
      <c r="AE40" s="262">
        <v>0</v>
      </c>
      <c r="AF40" s="262">
        <v>0</v>
      </c>
      <c r="AG40" s="262">
        <v>0</v>
      </c>
      <c r="AH40" s="262">
        <v>0</v>
      </c>
      <c r="AI40" s="262">
        <v>0</v>
      </c>
      <c r="AJ40" s="262">
        <v>0</v>
      </c>
      <c r="AK40" s="262">
        <v>0</v>
      </c>
      <c r="AL40" s="273">
        <v>0</v>
      </c>
    </row>
    <row r="41" spans="1:38">
      <c r="A41" s="547"/>
      <c r="B41" s="271" t="s">
        <v>382</v>
      </c>
      <c r="C41" s="262">
        <v>0</v>
      </c>
      <c r="D41" s="262">
        <v>0</v>
      </c>
      <c r="E41" s="262">
        <v>0</v>
      </c>
      <c r="F41" s="262">
        <v>0</v>
      </c>
      <c r="G41" s="262">
        <v>0</v>
      </c>
      <c r="H41" s="262">
        <v>0</v>
      </c>
      <c r="I41" s="262">
        <v>0</v>
      </c>
      <c r="J41" s="262">
        <v>0</v>
      </c>
      <c r="K41" s="262">
        <v>0</v>
      </c>
      <c r="L41" s="262">
        <v>0</v>
      </c>
      <c r="M41" s="262">
        <v>0</v>
      </c>
      <c r="N41" s="262">
        <v>0</v>
      </c>
      <c r="O41" s="262">
        <v>0</v>
      </c>
      <c r="P41" s="262">
        <v>0</v>
      </c>
      <c r="Q41" s="262">
        <v>0</v>
      </c>
      <c r="R41" s="273">
        <v>0</v>
      </c>
      <c r="U41" s="547"/>
      <c r="V41" s="271" t="s">
        <v>382</v>
      </c>
      <c r="W41" s="262">
        <v>0</v>
      </c>
      <c r="X41" s="262">
        <v>0</v>
      </c>
      <c r="Y41" s="262">
        <v>0</v>
      </c>
      <c r="Z41" s="262">
        <v>0</v>
      </c>
      <c r="AA41" s="262">
        <v>0</v>
      </c>
      <c r="AB41" s="262">
        <v>0</v>
      </c>
      <c r="AC41" s="262">
        <v>0</v>
      </c>
      <c r="AD41" s="262">
        <v>0</v>
      </c>
      <c r="AE41" s="262">
        <v>0</v>
      </c>
      <c r="AF41" s="262">
        <v>0</v>
      </c>
      <c r="AG41" s="262">
        <v>0</v>
      </c>
      <c r="AH41" s="262">
        <v>0</v>
      </c>
      <c r="AI41" s="262">
        <v>0</v>
      </c>
      <c r="AJ41" s="262">
        <v>0</v>
      </c>
      <c r="AK41" s="262">
        <v>0</v>
      </c>
      <c r="AL41" s="273">
        <v>0</v>
      </c>
    </row>
    <row r="42" spans="1:38">
      <c r="A42" s="547"/>
      <c r="B42" s="271" t="s">
        <v>383</v>
      </c>
      <c r="C42" s="262">
        <v>0</v>
      </c>
      <c r="D42" s="262">
        <v>0</v>
      </c>
      <c r="E42" s="262">
        <v>0</v>
      </c>
      <c r="F42" s="262">
        <v>0</v>
      </c>
      <c r="G42" s="262">
        <v>0</v>
      </c>
      <c r="H42" s="262">
        <v>0</v>
      </c>
      <c r="I42" s="262">
        <v>0</v>
      </c>
      <c r="J42" s="262">
        <v>0</v>
      </c>
      <c r="K42" s="262">
        <v>0</v>
      </c>
      <c r="L42" s="262">
        <v>0</v>
      </c>
      <c r="M42" s="262">
        <v>0</v>
      </c>
      <c r="N42" s="262">
        <v>0</v>
      </c>
      <c r="O42" s="262">
        <v>0</v>
      </c>
      <c r="P42" s="262">
        <v>0</v>
      </c>
      <c r="Q42" s="262">
        <v>0</v>
      </c>
      <c r="R42" s="273">
        <v>0</v>
      </c>
      <c r="U42" s="547"/>
      <c r="V42" s="271" t="s">
        <v>383</v>
      </c>
      <c r="W42" s="262">
        <v>0</v>
      </c>
      <c r="X42" s="262">
        <v>0</v>
      </c>
      <c r="Y42" s="262">
        <v>0</v>
      </c>
      <c r="Z42" s="262">
        <v>0</v>
      </c>
      <c r="AA42" s="262">
        <v>0</v>
      </c>
      <c r="AB42" s="262">
        <v>0</v>
      </c>
      <c r="AC42" s="262">
        <v>0</v>
      </c>
      <c r="AD42" s="262">
        <v>0</v>
      </c>
      <c r="AE42" s="262">
        <v>0</v>
      </c>
      <c r="AF42" s="262">
        <v>0</v>
      </c>
      <c r="AG42" s="262">
        <v>0</v>
      </c>
      <c r="AH42" s="262">
        <v>0</v>
      </c>
      <c r="AI42" s="262">
        <v>0</v>
      </c>
      <c r="AJ42" s="262">
        <v>0</v>
      </c>
      <c r="AK42" s="262">
        <v>0</v>
      </c>
      <c r="AL42" s="273">
        <v>0</v>
      </c>
    </row>
    <row r="43" spans="1:38">
      <c r="A43" s="547"/>
      <c r="B43" s="271" t="s">
        <v>384</v>
      </c>
      <c r="C43" s="262">
        <v>0</v>
      </c>
      <c r="D43" s="262">
        <v>0</v>
      </c>
      <c r="E43" s="262">
        <v>0</v>
      </c>
      <c r="F43" s="262">
        <v>0</v>
      </c>
      <c r="G43" s="262">
        <v>0</v>
      </c>
      <c r="H43" s="262">
        <v>0</v>
      </c>
      <c r="I43" s="262">
        <v>0</v>
      </c>
      <c r="J43" s="262">
        <v>0</v>
      </c>
      <c r="K43" s="262">
        <v>0</v>
      </c>
      <c r="L43" s="262">
        <v>0</v>
      </c>
      <c r="M43" s="262">
        <v>0</v>
      </c>
      <c r="N43" s="262">
        <v>0</v>
      </c>
      <c r="O43" s="262">
        <v>0</v>
      </c>
      <c r="P43" s="262">
        <v>0</v>
      </c>
      <c r="Q43" s="262">
        <v>0</v>
      </c>
      <c r="R43" s="273">
        <v>0</v>
      </c>
      <c r="U43" s="547"/>
      <c r="V43" s="271" t="s">
        <v>384</v>
      </c>
      <c r="W43" s="262">
        <v>0</v>
      </c>
      <c r="X43" s="262">
        <v>0</v>
      </c>
      <c r="Y43" s="262">
        <v>0</v>
      </c>
      <c r="Z43" s="262">
        <v>0</v>
      </c>
      <c r="AA43" s="262">
        <v>0</v>
      </c>
      <c r="AB43" s="262">
        <v>0</v>
      </c>
      <c r="AC43" s="262">
        <v>0</v>
      </c>
      <c r="AD43" s="262">
        <v>0</v>
      </c>
      <c r="AE43" s="262">
        <v>0</v>
      </c>
      <c r="AF43" s="262">
        <v>0</v>
      </c>
      <c r="AG43" s="262">
        <v>0</v>
      </c>
      <c r="AH43" s="262">
        <v>0</v>
      </c>
      <c r="AI43" s="262">
        <v>0</v>
      </c>
      <c r="AJ43" s="262">
        <v>0</v>
      </c>
      <c r="AK43" s="262">
        <v>0</v>
      </c>
      <c r="AL43" s="273">
        <v>0</v>
      </c>
    </row>
    <row r="44" spans="1:38">
      <c r="A44" s="547"/>
      <c r="B44" s="271" t="s">
        <v>37</v>
      </c>
      <c r="C44" s="262">
        <v>0</v>
      </c>
      <c r="D44" s="262">
        <v>0</v>
      </c>
      <c r="E44" s="262">
        <v>0</v>
      </c>
      <c r="F44" s="262">
        <v>0</v>
      </c>
      <c r="G44" s="262">
        <v>0</v>
      </c>
      <c r="H44" s="262">
        <v>0</v>
      </c>
      <c r="I44" s="262">
        <v>0</v>
      </c>
      <c r="J44" s="262">
        <v>0</v>
      </c>
      <c r="K44" s="262">
        <v>0</v>
      </c>
      <c r="L44" s="262">
        <v>0</v>
      </c>
      <c r="M44" s="262">
        <v>0</v>
      </c>
      <c r="N44" s="262">
        <v>0</v>
      </c>
      <c r="O44" s="262">
        <v>0</v>
      </c>
      <c r="P44" s="262">
        <v>0</v>
      </c>
      <c r="Q44" s="262">
        <v>0</v>
      </c>
      <c r="R44" s="273">
        <v>0</v>
      </c>
      <c r="U44" s="547"/>
      <c r="V44" s="271" t="s">
        <v>37</v>
      </c>
      <c r="W44" s="262">
        <v>0</v>
      </c>
      <c r="X44" s="262">
        <v>0</v>
      </c>
      <c r="Y44" s="262">
        <v>0</v>
      </c>
      <c r="Z44" s="262">
        <v>0</v>
      </c>
      <c r="AA44" s="262">
        <v>0</v>
      </c>
      <c r="AB44" s="262">
        <v>0</v>
      </c>
      <c r="AC44" s="262">
        <v>0</v>
      </c>
      <c r="AD44" s="262">
        <v>0</v>
      </c>
      <c r="AE44" s="262">
        <v>0</v>
      </c>
      <c r="AF44" s="262">
        <v>0</v>
      </c>
      <c r="AG44" s="262">
        <v>0</v>
      </c>
      <c r="AH44" s="262">
        <v>0</v>
      </c>
      <c r="AI44" s="262">
        <v>0</v>
      </c>
      <c r="AJ44" s="262">
        <v>0</v>
      </c>
      <c r="AK44" s="262">
        <v>0</v>
      </c>
      <c r="AL44" s="273">
        <v>0</v>
      </c>
    </row>
    <row r="45" spans="1:38">
      <c r="A45" s="547"/>
      <c r="B45" s="271" t="s">
        <v>38</v>
      </c>
      <c r="C45" s="262">
        <v>0</v>
      </c>
      <c r="D45" s="262">
        <v>0</v>
      </c>
      <c r="E45" s="262">
        <v>0</v>
      </c>
      <c r="F45" s="262">
        <v>0</v>
      </c>
      <c r="G45" s="262">
        <v>0</v>
      </c>
      <c r="H45" s="262">
        <v>0</v>
      </c>
      <c r="I45" s="262">
        <v>0</v>
      </c>
      <c r="J45" s="262">
        <v>0</v>
      </c>
      <c r="K45" s="262">
        <v>0</v>
      </c>
      <c r="L45" s="262">
        <v>0</v>
      </c>
      <c r="M45" s="262">
        <v>0</v>
      </c>
      <c r="N45" s="262">
        <v>0</v>
      </c>
      <c r="O45" s="262">
        <v>0</v>
      </c>
      <c r="P45" s="262">
        <v>0</v>
      </c>
      <c r="Q45" s="262">
        <v>0</v>
      </c>
      <c r="R45" s="273">
        <v>0</v>
      </c>
      <c r="U45" s="547"/>
      <c r="V45" s="271" t="s">
        <v>38</v>
      </c>
      <c r="W45" s="262">
        <v>0</v>
      </c>
      <c r="X45" s="262">
        <v>0</v>
      </c>
      <c r="Y45" s="262">
        <v>0</v>
      </c>
      <c r="Z45" s="262">
        <v>0</v>
      </c>
      <c r="AA45" s="262">
        <v>0</v>
      </c>
      <c r="AB45" s="262">
        <v>0</v>
      </c>
      <c r="AC45" s="262">
        <v>0</v>
      </c>
      <c r="AD45" s="262">
        <v>0</v>
      </c>
      <c r="AE45" s="262">
        <v>0</v>
      </c>
      <c r="AF45" s="262">
        <v>0</v>
      </c>
      <c r="AG45" s="262">
        <v>0</v>
      </c>
      <c r="AH45" s="262">
        <v>0</v>
      </c>
      <c r="AI45" s="262">
        <v>0</v>
      </c>
      <c r="AJ45" s="262">
        <v>0</v>
      </c>
      <c r="AK45" s="262">
        <v>0</v>
      </c>
      <c r="AL45" s="273">
        <v>0</v>
      </c>
    </row>
    <row r="46" spans="1:38">
      <c r="A46" s="547"/>
      <c r="B46" s="271" t="s">
        <v>39</v>
      </c>
      <c r="C46" s="262">
        <v>0</v>
      </c>
      <c r="D46" s="262">
        <v>0</v>
      </c>
      <c r="E46" s="262">
        <v>0</v>
      </c>
      <c r="F46" s="262">
        <v>0</v>
      </c>
      <c r="G46" s="262">
        <v>0</v>
      </c>
      <c r="H46" s="262">
        <v>0</v>
      </c>
      <c r="I46" s="262">
        <v>0</v>
      </c>
      <c r="J46" s="262">
        <v>0</v>
      </c>
      <c r="K46" s="262">
        <v>0</v>
      </c>
      <c r="L46" s="262">
        <v>0</v>
      </c>
      <c r="M46" s="262">
        <v>0</v>
      </c>
      <c r="N46" s="262">
        <v>0</v>
      </c>
      <c r="O46" s="262">
        <v>60.476000000000006</v>
      </c>
      <c r="P46" s="262">
        <v>0</v>
      </c>
      <c r="Q46" s="262">
        <v>0</v>
      </c>
      <c r="R46" s="273">
        <v>60.476000000000006</v>
      </c>
      <c r="U46" s="547"/>
      <c r="V46" s="271" t="s">
        <v>39</v>
      </c>
      <c r="W46" s="262">
        <v>0</v>
      </c>
      <c r="X46" s="262">
        <v>0</v>
      </c>
      <c r="Y46" s="262">
        <v>0</v>
      </c>
      <c r="Z46" s="262">
        <v>0</v>
      </c>
      <c r="AA46" s="262">
        <v>0</v>
      </c>
      <c r="AB46" s="262">
        <v>0</v>
      </c>
      <c r="AC46" s="262">
        <v>0</v>
      </c>
      <c r="AD46" s="262">
        <v>0</v>
      </c>
      <c r="AE46" s="262">
        <v>0</v>
      </c>
      <c r="AF46" s="262">
        <v>0</v>
      </c>
      <c r="AG46" s="262">
        <v>0</v>
      </c>
      <c r="AH46" s="262">
        <v>0</v>
      </c>
      <c r="AI46" s="262">
        <v>60.476000000000006</v>
      </c>
      <c r="AJ46" s="262">
        <v>0</v>
      </c>
      <c r="AK46" s="262">
        <v>0</v>
      </c>
      <c r="AL46" s="273">
        <v>60.476000000000006</v>
      </c>
    </row>
    <row r="47" spans="1:38">
      <c r="A47" s="547"/>
      <c r="B47" s="266" t="s">
        <v>40</v>
      </c>
      <c r="C47" s="267">
        <v>5681.2550000000001</v>
      </c>
      <c r="D47" s="267">
        <v>0</v>
      </c>
      <c r="E47" s="267">
        <v>4477.55</v>
      </c>
      <c r="F47" s="267">
        <v>0</v>
      </c>
      <c r="G47" s="267">
        <v>0</v>
      </c>
      <c r="H47" s="267">
        <v>458.22200000000004</v>
      </c>
      <c r="I47" s="267">
        <v>0</v>
      </c>
      <c r="J47" s="267">
        <v>0</v>
      </c>
      <c r="K47" s="267">
        <v>0</v>
      </c>
      <c r="L47" s="267">
        <v>0</v>
      </c>
      <c r="M47" s="267">
        <v>0</v>
      </c>
      <c r="N47" s="267">
        <v>0</v>
      </c>
      <c r="O47" s="267">
        <v>-3273.8449999999998</v>
      </c>
      <c r="P47" s="267">
        <v>0</v>
      </c>
      <c r="Q47" s="267">
        <v>0</v>
      </c>
      <c r="R47" s="267">
        <v>7343.1819999999998</v>
      </c>
      <c r="U47" s="547"/>
      <c r="V47" s="266" t="s">
        <v>40</v>
      </c>
      <c r="W47" s="267">
        <v>5681.2550000000001</v>
      </c>
      <c r="X47" s="267">
        <v>0</v>
      </c>
      <c r="Y47" s="267">
        <v>4477.55</v>
      </c>
      <c r="Z47" s="267">
        <v>0</v>
      </c>
      <c r="AA47" s="267">
        <v>0</v>
      </c>
      <c r="AB47" s="267">
        <v>458.22200000000004</v>
      </c>
      <c r="AC47" s="267">
        <v>0</v>
      </c>
      <c r="AD47" s="267">
        <v>0</v>
      </c>
      <c r="AE47" s="267">
        <v>0</v>
      </c>
      <c r="AF47" s="267">
        <v>0</v>
      </c>
      <c r="AG47" s="267">
        <v>0</v>
      </c>
      <c r="AH47" s="267">
        <v>0</v>
      </c>
      <c r="AI47" s="267">
        <v>-3273.8449999999998</v>
      </c>
      <c r="AJ47" s="267">
        <v>0</v>
      </c>
      <c r="AK47" s="267">
        <v>0</v>
      </c>
      <c r="AL47" s="267">
        <v>7343.1819999999998</v>
      </c>
    </row>
    <row r="48" spans="1:38">
      <c r="A48" s="547"/>
      <c r="B48" s="268"/>
      <c r="C48" s="269"/>
      <c r="D48" s="269"/>
      <c r="E48" s="276"/>
      <c r="F48" s="269"/>
      <c r="G48" s="269"/>
      <c r="H48" s="269"/>
      <c r="I48" s="276"/>
      <c r="J48" s="269"/>
      <c r="K48" s="269"/>
      <c r="L48" s="269"/>
      <c r="M48" s="277"/>
      <c r="N48" s="269"/>
      <c r="O48" s="269"/>
      <c r="P48" s="269"/>
      <c r="Q48" s="269"/>
      <c r="R48" s="269"/>
      <c r="U48" s="547"/>
      <c r="V48" s="268"/>
      <c r="W48" s="269"/>
      <c r="X48" s="269"/>
      <c r="Y48" s="276"/>
      <c r="Z48" s="269"/>
      <c r="AA48" s="269"/>
      <c r="AB48" s="269"/>
      <c r="AC48" s="276"/>
      <c r="AD48" s="269"/>
      <c r="AE48" s="269"/>
      <c r="AF48" s="269"/>
      <c r="AG48" s="277"/>
      <c r="AH48" s="269"/>
      <c r="AI48" s="269"/>
      <c r="AJ48" s="269"/>
      <c r="AK48" s="269"/>
      <c r="AL48" s="269"/>
    </row>
    <row r="49" spans="1:38">
      <c r="A49" s="547"/>
      <c r="B49" s="271" t="s">
        <v>41</v>
      </c>
      <c r="C49" s="262">
        <v>1168.8150000000001</v>
      </c>
      <c r="D49" s="262">
        <v>0</v>
      </c>
      <c r="E49" s="262">
        <v>2672.5740000000005</v>
      </c>
      <c r="F49" s="262">
        <v>0</v>
      </c>
      <c r="G49" s="262">
        <v>0</v>
      </c>
      <c r="H49" s="262">
        <v>0</v>
      </c>
      <c r="I49" s="262">
        <v>0</v>
      </c>
      <c r="J49" s="262">
        <v>0</v>
      </c>
      <c r="K49" s="262">
        <v>0</v>
      </c>
      <c r="L49" s="262">
        <v>0</v>
      </c>
      <c r="M49" s="262">
        <v>0</v>
      </c>
      <c r="N49" s="262">
        <v>0</v>
      </c>
      <c r="O49" s="262">
        <v>2603.9570000000003</v>
      </c>
      <c r="P49" s="262">
        <v>0</v>
      </c>
      <c r="Q49" s="262">
        <v>0</v>
      </c>
      <c r="R49" s="273">
        <v>6445.3460000000014</v>
      </c>
      <c r="U49" s="547"/>
      <c r="V49" s="271" t="s">
        <v>41</v>
      </c>
      <c r="W49" s="262">
        <v>1168.8150000000001</v>
      </c>
      <c r="X49" s="262">
        <v>0</v>
      </c>
      <c r="Y49" s="262">
        <v>2672.5740000000005</v>
      </c>
      <c r="Z49" s="262">
        <v>0</v>
      </c>
      <c r="AA49" s="262">
        <v>0</v>
      </c>
      <c r="AB49" s="262">
        <v>0</v>
      </c>
      <c r="AC49" s="262">
        <v>0</v>
      </c>
      <c r="AD49" s="262">
        <v>0</v>
      </c>
      <c r="AE49" s="262">
        <v>0</v>
      </c>
      <c r="AF49" s="262">
        <v>0</v>
      </c>
      <c r="AG49" s="262">
        <v>0</v>
      </c>
      <c r="AH49" s="262">
        <v>0</v>
      </c>
      <c r="AI49" s="262">
        <v>2603.9570000000003</v>
      </c>
      <c r="AJ49" s="262">
        <v>0</v>
      </c>
      <c r="AK49" s="262">
        <v>0</v>
      </c>
      <c r="AL49" s="273">
        <v>6445.3460000000014</v>
      </c>
    </row>
    <row r="50" spans="1:38">
      <c r="A50" s="547"/>
      <c r="B50" s="271" t="s">
        <v>42</v>
      </c>
      <c r="C50" s="262">
        <v>0</v>
      </c>
      <c r="D50" s="262">
        <v>0</v>
      </c>
      <c r="E50" s="262">
        <v>2505.1020000000003</v>
      </c>
      <c r="F50" s="262">
        <v>0</v>
      </c>
      <c r="G50" s="262">
        <v>0</v>
      </c>
      <c r="H50" s="262">
        <v>0</v>
      </c>
      <c r="I50" s="262">
        <v>0</v>
      </c>
      <c r="J50" s="262">
        <v>0</v>
      </c>
      <c r="K50" s="262">
        <v>0</v>
      </c>
      <c r="L50" s="262">
        <v>0</v>
      </c>
      <c r="M50" s="262">
        <v>0</v>
      </c>
      <c r="N50" s="262">
        <v>0</v>
      </c>
      <c r="O50" s="262">
        <v>0</v>
      </c>
      <c r="P50" s="262">
        <v>0</v>
      </c>
      <c r="Q50" s="262">
        <v>0</v>
      </c>
      <c r="R50" s="273">
        <v>2505.1020000000003</v>
      </c>
      <c r="U50" s="547"/>
      <c r="V50" s="271" t="s">
        <v>42</v>
      </c>
      <c r="W50" s="262">
        <v>0</v>
      </c>
      <c r="X50" s="262">
        <v>0</v>
      </c>
      <c r="Y50" s="262">
        <v>2505.1020000000003</v>
      </c>
      <c r="Z50" s="262">
        <v>0</v>
      </c>
      <c r="AA50" s="262">
        <v>0</v>
      </c>
      <c r="AB50" s="262">
        <v>0</v>
      </c>
      <c r="AC50" s="262">
        <v>0</v>
      </c>
      <c r="AD50" s="262">
        <v>0</v>
      </c>
      <c r="AE50" s="262">
        <v>0</v>
      </c>
      <c r="AF50" s="262">
        <v>0</v>
      </c>
      <c r="AG50" s="262">
        <v>0</v>
      </c>
      <c r="AH50" s="262">
        <v>0</v>
      </c>
      <c r="AI50" s="262">
        <v>0</v>
      </c>
      <c r="AJ50" s="262">
        <v>0</v>
      </c>
      <c r="AK50" s="262">
        <v>0</v>
      </c>
      <c r="AL50" s="273">
        <v>2505.1020000000003</v>
      </c>
    </row>
    <row r="51" spans="1:38">
      <c r="A51" s="547"/>
      <c r="B51" s="271" t="s">
        <v>43</v>
      </c>
      <c r="C51" s="262">
        <v>0</v>
      </c>
      <c r="D51" s="262">
        <v>0</v>
      </c>
      <c r="E51" s="262">
        <v>145.375</v>
      </c>
      <c r="F51" s="262">
        <v>0</v>
      </c>
      <c r="G51" s="262">
        <v>0</v>
      </c>
      <c r="H51" s="262">
        <v>0</v>
      </c>
      <c r="I51" s="262">
        <v>0</v>
      </c>
      <c r="J51" s="262">
        <v>0</v>
      </c>
      <c r="K51" s="262">
        <v>0</v>
      </c>
      <c r="L51" s="262">
        <v>0</v>
      </c>
      <c r="M51" s="262">
        <v>0</v>
      </c>
      <c r="N51" s="262">
        <v>39.542000000000002</v>
      </c>
      <c r="O51" s="262">
        <v>295.7</v>
      </c>
      <c r="P51" s="262">
        <v>0</v>
      </c>
      <c r="Q51" s="262">
        <v>0</v>
      </c>
      <c r="R51" s="273">
        <v>480.61699999999996</v>
      </c>
      <c r="U51" s="547"/>
      <c r="V51" s="271" t="s">
        <v>43</v>
      </c>
      <c r="W51" s="262">
        <v>0</v>
      </c>
      <c r="X51" s="262">
        <v>0</v>
      </c>
      <c r="Y51" s="262">
        <v>145.375</v>
      </c>
      <c r="Z51" s="262">
        <v>0</v>
      </c>
      <c r="AA51" s="262">
        <v>0</v>
      </c>
      <c r="AB51" s="262">
        <v>0</v>
      </c>
      <c r="AC51" s="262">
        <v>0</v>
      </c>
      <c r="AD51" s="262">
        <v>0</v>
      </c>
      <c r="AE51" s="262">
        <v>0</v>
      </c>
      <c r="AF51" s="262">
        <v>0</v>
      </c>
      <c r="AG51" s="262">
        <v>0</v>
      </c>
      <c r="AH51" s="262">
        <v>39.542000000000002</v>
      </c>
      <c r="AI51" s="262">
        <v>295.7</v>
      </c>
      <c r="AJ51" s="262">
        <v>0</v>
      </c>
      <c r="AK51" s="262">
        <v>0</v>
      </c>
      <c r="AL51" s="273">
        <v>480.61699999999996</v>
      </c>
    </row>
    <row r="52" spans="1:38">
      <c r="A52" s="547"/>
      <c r="B52" s="271" t="s">
        <v>44</v>
      </c>
      <c r="C52" s="262">
        <v>0</v>
      </c>
      <c r="D52" s="262">
        <v>0</v>
      </c>
      <c r="E52" s="262">
        <v>0</v>
      </c>
      <c r="F52" s="262">
        <v>0</v>
      </c>
      <c r="G52" s="262">
        <v>0</v>
      </c>
      <c r="H52" s="262">
        <v>0</v>
      </c>
      <c r="I52" s="262">
        <v>0</v>
      </c>
      <c r="J52" s="262">
        <v>0</v>
      </c>
      <c r="K52" s="262">
        <v>0</v>
      </c>
      <c r="L52" s="262">
        <v>0</v>
      </c>
      <c r="M52" s="262">
        <v>0</v>
      </c>
      <c r="N52" s="262">
        <v>0</v>
      </c>
      <c r="O52" s="262">
        <v>373.00000000000006</v>
      </c>
      <c r="P52" s="262">
        <v>0</v>
      </c>
      <c r="Q52" s="262">
        <v>0</v>
      </c>
      <c r="R52" s="273">
        <v>373.00000000000006</v>
      </c>
      <c r="U52" s="547"/>
      <c r="V52" s="271" t="s">
        <v>44</v>
      </c>
      <c r="W52" s="262">
        <v>0</v>
      </c>
      <c r="X52" s="262">
        <v>0</v>
      </c>
      <c r="Y52" s="262">
        <v>0</v>
      </c>
      <c r="Z52" s="262">
        <v>0</v>
      </c>
      <c r="AA52" s="262">
        <v>0</v>
      </c>
      <c r="AB52" s="262">
        <v>0</v>
      </c>
      <c r="AC52" s="262">
        <v>0</v>
      </c>
      <c r="AD52" s="262">
        <v>0</v>
      </c>
      <c r="AE52" s="262">
        <v>0</v>
      </c>
      <c r="AF52" s="262">
        <v>0</v>
      </c>
      <c r="AG52" s="262">
        <v>0</v>
      </c>
      <c r="AH52" s="262">
        <v>0</v>
      </c>
      <c r="AI52" s="262">
        <v>373.00000000000006</v>
      </c>
      <c r="AJ52" s="262">
        <v>0</v>
      </c>
      <c r="AK52" s="262">
        <v>0</v>
      </c>
      <c r="AL52" s="273">
        <v>373.00000000000006</v>
      </c>
    </row>
    <row r="53" spans="1:38">
      <c r="A53" s="547"/>
      <c r="B53" s="271" t="s">
        <v>4</v>
      </c>
      <c r="C53" s="262">
        <v>0</v>
      </c>
      <c r="D53" s="262">
        <v>0</v>
      </c>
      <c r="E53" s="262">
        <v>62.802000000000007</v>
      </c>
      <c r="F53" s="262">
        <v>0</v>
      </c>
      <c r="G53" s="262">
        <v>0</v>
      </c>
      <c r="H53" s="262">
        <v>0</v>
      </c>
      <c r="I53" s="262">
        <v>0</v>
      </c>
      <c r="J53" s="262">
        <v>0</v>
      </c>
      <c r="K53" s="262">
        <v>0</v>
      </c>
      <c r="L53" s="262">
        <v>0</v>
      </c>
      <c r="M53" s="262">
        <v>0</v>
      </c>
      <c r="N53" s="262">
        <v>0</v>
      </c>
      <c r="O53" s="262">
        <v>0</v>
      </c>
      <c r="P53" s="262">
        <v>0</v>
      </c>
      <c r="Q53" s="262">
        <v>0</v>
      </c>
      <c r="R53" s="273">
        <v>62.802000000000007</v>
      </c>
      <c r="U53" s="547"/>
      <c r="V53" s="271" t="s">
        <v>4</v>
      </c>
      <c r="W53" s="262">
        <v>0</v>
      </c>
      <c r="X53" s="262">
        <v>0</v>
      </c>
      <c r="Y53" s="262">
        <v>62.802000000000007</v>
      </c>
      <c r="Z53" s="262">
        <v>0</v>
      </c>
      <c r="AA53" s="262">
        <v>0</v>
      </c>
      <c r="AB53" s="262">
        <v>0</v>
      </c>
      <c r="AC53" s="262">
        <v>0</v>
      </c>
      <c r="AD53" s="262">
        <v>0</v>
      </c>
      <c r="AE53" s="262">
        <v>0</v>
      </c>
      <c r="AF53" s="262">
        <v>0</v>
      </c>
      <c r="AG53" s="262">
        <v>0</v>
      </c>
      <c r="AH53" s="262">
        <v>0</v>
      </c>
      <c r="AI53" s="262">
        <v>0</v>
      </c>
      <c r="AJ53" s="262">
        <v>0</v>
      </c>
      <c r="AK53" s="262">
        <v>0</v>
      </c>
      <c r="AL53" s="273">
        <v>62.802000000000007</v>
      </c>
    </row>
    <row r="54" spans="1:38">
      <c r="A54" s="547"/>
      <c r="B54" s="271" t="s">
        <v>385</v>
      </c>
      <c r="C54" s="262">
        <v>0</v>
      </c>
      <c r="D54" s="262">
        <v>0</v>
      </c>
      <c r="E54" s="262">
        <v>0</v>
      </c>
      <c r="F54" s="262">
        <v>0</v>
      </c>
      <c r="G54" s="262">
        <v>0</v>
      </c>
      <c r="H54" s="262">
        <v>0</v>
      </c>
      <c r="I54" s="262">
        <v>0</v>
      </c>
      <c r="J54" s="262">
        <v>0</v>
      </c>
      <c r="K54" s="262">
        <v>0</v>
      </c>
      <c r="L54" s="262">
        <v>0</v>
      </c>
      <c r="M54" s="262">
        <v>0</v>
      </c>
      <c r="N54" s="262">
        <v>0</v>
      </c>
      <c r="O54" s="262">
        <v>0</v>
      </c>
      <c r="P54" s="262">
        <v>0</v>
      </c>
      <c r="Q54" s="262">
        <v>0</v>
      </c>
      <c r="R54" s="273">
        <v>0</v>
      </c>
      <c r="U54" s="547"/>
      <c r="V54" s="271" t="s">
        <v>385</v>
      </c>
      <c r="W54" s="262">
        <v>0</v>
      </c>
      <c r="X54" s="262">
        <v>0</v>
      </c>
      <c r="Y54" s="262">
        <v>0</v>
      </c>
      <c r="Z54" s="262">
        <v>0</v>
      </c>
      <c r="AA54" s="262">
        <v>0</v>
      </c>
      <c r="AB54" s="262">
        <v>0</v>
      </c>
      <c r="AC54" s="262">
        <v>0</v>
      </c>
      <c r="AD54" s="262">
        <v>0</v>
      </c>
      <c r="AE54" s="262">
        <v>0</v>
      </c>
      <c r="AF54" s="262">
        <v>0</v>
      </c>
      <c r="AG54" s="262">
        <v>0</v>
      </c>
      <c r="AH54" s="262">
        <v>0</v>
      </c>
      <c r="AI54" s="262">
        <v>0</v>
      </c>
      <c r="AJ54" s="262">
        <v>0</v>
      </c>
      <c r="AK54" s="262">
        <v>0</v>
      </c>
      <c r="AL54" s="273">
        <v>0</v>
      </c>
    </row>
    <row r="55" spans="1:38">
      <c r="A55" s="547"/>
      <c r="B55" s="266" t="s">
        <v>45</v>
      </c>
      <c r="C55" s="267">
        <v>1168.8150000000001</v>
      </c>
      <c r="D55" s="267">
        <v>0</v>
      </c>
      <c r="E55" s="267">
        <v>5385.853000000001</v>
      </c>
      <c r="F55" s="267">
        <v>0</v>
      </c>
      <c r="G55" s="267">
        <v>0</v>
      </c>
      <c r="H55" s="267">
        <v>0</v>
      </c>
      <c r="I55" s="267">
        <v>0</v>
      </c>
      <c r="J55" s="267">
        <v>0</v>
      </c>
      <c r="K55" s="267">
        <v>0</v>
      </c>
      <c r="L55" s="267">
        <v>0</v>
      </c>
      <c r="M55" s="267">
        <v>0</v>
      </c>
      <c r="N55" s="267">
        <v>39.542000000000002</v>
      </c>
      <c r="O55" s="267">
        <v>3272.6570000000002</v>
      </c>
      <c r="P55" s="267">
        <v>0</v>
      </c>
      <c r="Q55" s="267">
        <v>0</v>
      </c>
      <c r="R55" s="267">
        <v>9866.867000000002</v>
      </c>
      <c r="U55" s="547"/>
      <c r="V55" s="266" t="s">
        <v>45</v>
      </c>
      <c r="W55" s="267">
        <v>1168.8150000000001</v>
      </c>
      <c r="X55" s="267">
        <v>0</v>
      </c>
      <c r="Y55" s="267">
        <v>5385.853000000001</v>
      </c>
      <c r="Z55" s="267">
        <v>0</v>
      </c>
      <c r="AA55" s="267">
        <v>0</v>
      </c>
      <c r="AB55" s="267">
        <v>0</v>
      </c>
      <c r="AC55" s="267">
        <v>0</v>
      </c>
      <c r="AD55" s="267">
        <v>0</v>
      </c>
      <c r="AE55" s="267">
        <v>0</v>
      </c>
      <c r="AF55" s="267">
        <v>0</v>
      </c>
      <c r="AG55" s="267">
        <v>0</v>
      </c>
      <c r="AH55" s="267">
        <v>39.542000000000002</v>
      </c>
      <c r="AI55" s="267">
        <v>3272.6570000000002</v>
      </c>
      <c r="AJ55" s="267">
        <v>0</v>
      </c>
      <c r="AK55" s="267">
        <v>0</v>
      </c>
      <c r="AL55" s="267">
        <v>9866.867000000002</v>
      </c>
    </row>
    <row r="56" spans="1:38">
      <c r="A56" s="547"/>
      <c r="B56" s="261" t="s">
        <v>46</v>
      </c>
      <c r="C56" s="262">
        <v>1743.3370000000002</v>
      </c>
      <c r="D56" s="262">
        <v>0</v>
      </c>
      <c r="E56" s="262">
        <v>180.26500000000001</v>
      </c>
      <c r="F56" s="262">
        <v>0</v>
      </c>
      <c r="G56" s="262">
        <v>0</v>
      </c>
      <c r="H56" s="262">
        <v>0</v>
      </c>
      <c r="I56" s="262">
        <v>0</v>
      </c>
      <c r="J56" s="262">
        <v>0</v>
      </c>
      <c r="K56" s="262">
        <v>0</v>
      </c>
      <c r="L56" s="262">
        <v>0</v>
      </c>
      <c r="M56" s="262">
        <v>0</v>
      </c>
      <c r="N56" s="262">
        <v>0</v>
      </c>
      <c r="O56" s="262">
        <v>0</v>
      </c>
      <c r="P56" s="262">
        <v>0</v>
      </c>
      <c r="Q56" s="262">
        <v>0</v>
      </c>
      <c r="R56" s="273">
        <v>1923.6020000000003</v>
      </c>
      <c r="U56" s="547"/>
      <c r="V56" s="261" t="s">
        <v>46</v>
      </c>
      <c r="W56" s="262">
        <v>1743.3370000000002</v>
      </c>
      <c r="X56" s="262">
        <v>0</v>
      </c>
      <c r="Y56" s="262">
        <v>180.26500000000001</v>
      </c>
      <c r="Z56" s="262">
        <v>0</v>
      </c>
      <c r="AA56" s="262">
        <v>0</v>
      </c>
      <c r="AB56" s="262">
        <v>0</v>
      </c>
      <c r="AC56" s="262">
        <v>0</v>
      </c>
      <c r="AD56" s="262">
        <v>0</v>
      </c>
      <c r="AE56" s="262">
        <v>0</v>
      </c>
      <c r="AF56" s="262">
        <v>0</v>
      </c>
      <c r="AG56" s="262">
        <v>0</v>
      </c>
      <c r="AH56" s="262">
        <v>0</v>
      </c>
      <c r="AI56" s="262">
        <v>0</v>
      </c>
      <c r="AJ56" s="262">
        <v>0</v>
      </c>
      <c r="AK56" s="262">
        <v>0</v>
      </c>
      <c r="AL56" s="273">
        <v>1923.6020000000003</v>
      </c>
    </row>
    <row r="57" spans="1:38">
      <c r="A57" s="547"/>
      <c r="B57" s="266" t="s">
        <v>47</v>
      </c>
      <c r="C57" s="267">
        <v>2912.152</v>
      </c>
      <c r="D57" s="267">
        <v>0</v>
      </c>
      <c r="E57" s="267">
        <v>5566.1180000000013</v>
      </c>
      <c r="F57" s="267">
        <v>0</v>
      </c>
      <c r="G57" s="267">
        <v>0</v>
      </c>
      <c r="H57" s="267">
        <v>0</v>
      </c>
      <c r="I57" s="267">
        <v>0</v>
      </c>
      <c r="J57" s="267">
        <v>0</v>
      </c>
      <c r="K57" s="267">
        <v>0</v>
      </c>
      <c r="L57" s="267">
        <v>0</v>
      </c>
      <c r="M57" s="267">
        <v>0</v>
      </c>
      <c r="N57" s="267">
        <v>39.542000000000002</v>
      </c>
      <c r="O57" s="267">
        <v>3272.6570000000002</v>
      </c>
      <c r="P57" s="267">
        <v>0</v>
      </c>
      <c r="Q57" s="267">
        <v>0</v>
      </c>
      <c r="R57" s="267">
        <v>11790.469000000001</v>
      </c>
      <c r="U57" s="547"/>
      <c r="V57" s="266" t="s">
        <v>47</v>
      </c>
      <c r="W57" s="267">
        <v>2912.152</v>
      </c>
      <c r="X57" s="267">
        <v>0</v>
      </c>
      <c r="Y57" s="267">
        <v>5566.1180000000013</v>
      </c>
      <c r="Z57" s="267">
        <v>0</v>
      </c>
      <c r="AA57" s="267">
        <v>0</v>
      </c>
      <c r="AB57" s="267">
        <v>0</v>
      </c>
      <c r="AC57" s="267">
        <v>0</v>
      </c>
      <c r="AD57" s="267">
        <v>0</v>
      </c>
      <c r="AE57" s="267">
        <v>0</v>
      </c>
      <c r="AF57" s="267">
        <v>0</v>
      </c>
      <c r="AG57" s="267">
        <v>0</v>
      </c>
      <c r="AH57" s="267">
        <v>39.542000000000002</v>
      </c>
      <c r="AI57" s="267">
        <v>3272.6570000000002</v>
      </c>
      <c r="AJ57" s="267">
        <v>0</v>
      </c>
      <c r="AK57" s="267">
        <v>0</v>
      </c>
      <c r="AL57" s="267">
        <v>11790.469000000001</v>
      </c>
    </row>
    <row r="61" spans="1:38">
      <c r="K61" s="278"/>
    </row>
    <row r="62" spans="1:38">
      <c r="L62" s="278"/>
    </row>
    <row r="64" spans="1:38">
      <c r="I64" s="278"/>
    </row>
    <row r="66" spans="1:38" ht="14.4" customHeight="1">
      <c r="A66" s="547">
        <v>2025</v>
      </c>
      <c r="B66" s="548" t="s">
        <v>12</v>
      </c>
      <c r="C66" s="549" t="s">
        <v>14</v>
      </c>
      <c r="D66" s="549" t="s">
        <v>15</v>
      </c>
      <c r="E66" s="549" t="s">
        <v>16</v>
      </c>
      <c r="F66" s="549" t="s">
        <v>17</v>
      </c>
      <c r="G66" s="549" t="s">
        <v>370</v>
      </c>
      <c r="H66" s="549" t="s">
        <v>18</v>
      </c>
      <c r="I66" s="549" t="s">
        <v>19</v>
      </c>
      <c r="J66" s="549"/>
      <c r="K66" s="549"/>
      <c r="L66" s="549"/>
      <c r="M66" s="549"/>
      <c r="N66" s="549"/>
      <c r="O66" s="550" t="s">
        <v>371</v>
      </c>
      <c r="P66" s="550" t="s">
        <v>21</v>
      </c>
      <c r="Q66" s="550" t="s">
        <v>372</v>
      </c>
      <c r="R66" s="550" t="s">
        <v>23</v>
      </c>
      <c r="U66" s="547">
        <v>2025</v>
      </c>
      <c r="V66" s="555" t="s">
        <v>12</v>
      </c>
      <c r="W66" s="550" t="s">
        <v>14</v>
      </c>
      <c r="X66" s="550" t="s">
        <v>15</v>
      </c>
      <c r="Y66" s="550" t="s">
        <v>16</v>
      </c>
      <c r="Z66" s="550" t="s">
        <v>17</v>
      </c>
      <c r="AA66" s="550" t="s">
        <v>370</v>
      </c>
      <c r="AB66" s="550" t="s">
        <v>18</v>
      </c>
      <c r="AC66" s="552" t="s">
        <v>19</v>
      </c>
      <c r="AD66" s="553"/>
      <c r="AE66" s="553"/>
      <c r="AF66" s="553"/>
      <c r="AG66" s="553"/>
      <c r="AH66" s="554"/>
      <c r="AI66" s="550" t="s">
        <v>371</v>
      </c>
      <c r="AJ66" s="550" t="s">
        <v>21</v>
      </c>
      <c r="AK66" s="550" t="s">
        <v>372</v>
      </c>
      <c r="AL66" s="550" t="s">
        <v>23</v>
      </c>
    </row>
    <row r="67" spans="1:38" ht="45.6">
      <c r="A67" s="547"/>
      <c r="B67" s="548"/>
      <c r="C67" s="549"/>
      <c r="D67" s="549"/>
      <c r="E67" s="549"/>
      <c r="F67" s="549"/>
      <c r="G67" s="549"/>
      <c r="H67" s="549"/>
      <c r="I67" s="259" t="s">
        <v>359</v>
      </c>
      <c r="J67" s="259" t="s">
        <v>7</v>
      </c>
      <c r="K67" s="259" t="s">
        <v>360</v>
      </c>
      <c r="L67" s="259" t="s">
        <v>373</v>
      </c>
      <c r="M67" s="260" t="s">
        <v>374</v>
      </c>
      <c r="N67" s="259" t="s">
        <v>375</v>
      </c>
      <c r="O67" s="550"/>
      <c r="P67" s="550"/>
      <c r="Q67" s="550"/>
      <c r="R67" s="550"/>
      <c r="U67" s="547"/>
      <c r="V67" s="556"/>
      <c r="W67" s="551"/>
      <c r="X67" s="551"/>
      <c r="Y67" s="551"/>
      <c r="Z67" s="551"/>
      <c r="AA67" s="551"/>
      <c r="AB67" s="551"/>
      <c r="AC67" s="259" t="s">
        <v>359</v>
      </c>
      <c r="AD67" s="259" t="s">
        <v>7</v>
      </c>
      <c r="AE67" s="259" t="s">
        <v>360</v>
      </c>
      <c r="AF67" s="259" t="s">
        <v>373</v>
      </c>
      <c r="AG67" s="260" t="s">
        <v>374</v>
      </c>
      <c r="AH67" s="259" t="s">
        <v>375</v>
      </c>
      <c r="AI67" s="551"/>
      <c r="AJ67" s="551"/>
      <c r="AK67" s="551"/>
      <c r="AL67" s="551"/>
    </row>
    <row r="68" spans="1:38" ht="14.4" customHeight="1">
      <c r="A68" s="547"/>
      <c r="B68" s="261" t="s">
        <v>24</v>
      </c>
      <c r="C68" s="262">
        <v>0</v>
      </c>
      <c r="D68" s="263">
        <v>0</v>
      </c>
      <c r="E68" s="263">
        <v>0</v>
      </c>
      <c r="F68" s="262">
        <v>0</v>
      </c>
      <c r="G68" s="263">
        <v>0</v>
      </c>
      <c r="H68" s="263">
        <f>H74</f>
        <v>1053.8967082079603</v>
      </c>
      <c r="I68" s="263">
        <f>I74</f>
        <v>9.4683876469620021</v>
      </c>
      <c r="J68" s="263">
        <v>0</v>
      </c>
      <c r="K68" s="263">
        <v>0</v>
      </c>
      <c r="L68" s="263">
        <f>L74</f>
        <v>0</v>
      </c>
      <c r="M68" s="263">
        <v>0</v>
      </c>
      <c r="N68" s="263">
        <f>N74</f>
        <v>43.354112366220541</v>
      </c>
      <c r="O68" s="264">
        <v>0</v>
      </c>
      <c r="P68" s="263">
        <v>0</v>
      </c>
      <c r="Q68" s="263">
        <v>0</v>
      </c>
      <c r="R68" s="265">
        <f>SUM(C68:Q68)</f>
        <v>1106.7192082211427</v>
      </c>
      <c r="U68" s="547"/>
      <c r="V68" s="261" t="s">
        <v>24</v>
      </c>
      <c r="W68" s="262">
        <v>0</v>
      </c>
      <c r="X68" s="263">
        <v>0</v>
      </c>
      <c r="Y68" s="263">
        <v>0</v>
      </c>
      <c r="Z68" s="262">
        <v>0</v>
      </c>
      <c r="AA68" s="263">
        <v>0</v>
      </c>
      <c r="AB68" s="263">
        <f>AB74</f>
        <v>1010.3803733639241</v>
      </c>
      <c r="AC68" s="471">
        <f>IF((AC74-$AC$27)&gt;0,$AC$27+(AC74-$AC$27)*0.5,AC74)</f>
        <v>119.40958292384926</v>
      </c>
      <c r="AD68" s="263">
        <f>AD74</f>
        <v>0</v>
      </c>
      <c r="AE68" s="263">
        <f>IF((AE74-$AE$27)&gt;0,$AE$27+(AE74-AE71-AE72-$AE$27)*0.5,AE74-AE71-AE$72)</f>
        <v>5.5611277077274739</v>
      </c>
      <c r="AF68" s="263">
        <f>AF74</f>
        <v>36.705049408773462</v>
      </c>
      <c r="AG68" s="263">
        <v>0</v>
      </c>
      <c r="AH68" s="263">
        <f>AH74</f>
        <v>87.475145404275992</v>
      </c>
      <c r="AI68" s="264">
        <v>0</v>
      </c>
      <c r="AJ68" s="263">
        <v>0</v>
      </c>
      <c r="AK68" s="263">
        <v>0</v>
      </c>
      <c r="AL68" s="265">
        <f>SUM(W68:AK68)</f>
        <v>1259.5312788085503</v>
      </c>
    </row>
    <row r="69" spans="1:38" ht="14.4" customHeight="1">
      <c r="A69" s="547"/>
      <c r="B69" s="261" t="s">
        <v>28</v>
      </c>
      <c r="C69" s="262">
        <f>C88+C98</f>
        <v>9050.3949454444719</v>
      </c>
      <c r="D69" s="263">
        <f>D74</f>
        <v>0</v>
      </c>
      <c r="E69" s="263">
        <f>E74-E71-E72</f>
        <v>9895.8993786656756</v>
      </c>
      <c r="F69" s="262">
        <v>0</v>
      </c>
      <c r="G69" s="263">
        <v>0</v>
      </c>
      <c r="H69" s="263">
        <v>0</v>
      </c>
      <c r="I69" s="263">
        <v>0</v>
      </c>
      <c r="J69" s="263">
        <v>0</v>
      </c>
      <c r="K69" s="263">
        <f>K74</f>
        <v>0</v>
      </c>
      <c r="L69" s="263">
        <v>0</v>
      </c>
      <c r="M69" s="263">
        <v>0</v>
      </c>
      <c r="N69" s="263">
        <v>0</v>
      </c>
      <c r="O69" s="264">
        <v>0</v>
      </c>
      <c r="P69" s="263">
        <v>0</v>
      </c>
      <c r="Q69" s="263">
        <v>0</v>
      </c>
      <c r="R69" s="265">
        <f t="shared" ref="R69:R74" si="3">SUM(C69:Q69)</f>
        <v>18946.294324110146</v>
      </c>
      <c r="U69" s="547"/>
      <c r="V69" s="261" t="s">
        <v>28</v>
      </c>
      <c r="W69" s="262">
        <f>W74</f>
        <v>6373.6362422167549</v>
      </c>
      <c r="X69" s="263">
        <f>X74</f>
        <v>0</v>
      </c>
      <c r="Y69" s="263">
        <f>Y74-Y71-Y72</f>
        <v>8713.1299006375975</v>
      </c>
      <c r="Z69" s="262">
        <v>0</v>
      </c>
      <c r="AA69" s="263">
        <v>0</v>
      </c>
      <c r="AB69" s="263">
        <v>0</v>
      </c>
      <c r="AC69" s="471">
        <f>IF((AC74-$AC$27)&gt;0,(AC74-$AC$27)*0.5,0)</f>
        <v>119.40958292384926</v>
      </c>
      <c r="AD69" s="263">
        <v>0</v>
      </c>
      <c r="AE69" s="263">
        <f>IF((AE74-AE71-AE72-$AE$27)&gt;0,(AE74-AE71-AE72-$AE$27)*0.5,0)</f>
        <v>5.5611277077274739</v>
      </c>
      <c r="AF69" s="263">
        <v>0</v>
      </c>
      <c r="AG69" s="263">
        <v>0</v>
      </c>
      <c r="AH69" s="263">
        <v>0</v>
      </c>
      <c r="AI69" s="264">
        <v>0</v>
      </c>
      <c r="AJ69" s="263">
        <v>0</v>
      </c>
      <c r="AK69" s="263">
        <v>0</v>
      </c>
      <c r="AL69" s="265">
        <f t="shared" ref="AL69:AL74" si="4">SUM(W69:AK69)</f>
        <v>15211.736853485929</v>
      </c>
    </row>
    <row r="70" spans="1:38" ht="14.4" customHeight="1">
      <c r="A70" s="547"/>
      <c r="B70" s="261" t="s">
        <v>29</v>
      </c>
      <c r="C70" s="262">
        <v>0</v>
      </c>
      <c r="D70" s="263">
        <v>0</v>
      </c>
      <c r="E70" s="263">
        <v>0</v>
      </c>
      <c r="F70" s="262">
        <v>0</v>
      </c>
      <c r="G70" s="263">
        <v>0</v>
      </c>
      <c r="H70" s="263">
        <v>0</v>
      </c>
      <c r="I70" s="263">
        <v>0</v>
      </c>
      <c r="J70" s="263">
        <v>0</v>
      </c>
      <c r="K70" s="263">
        <v>0</v>
      </c>
      <c r="L70" s="263">
        <v>0</v>
      </c>
      <c r="M70" s="263">
        <v>0</v>
      </c>
      <c r="N70" s="263">
        <v>0</v>
      </c>
      <c r="O70" s="264">
        <v>0</v>
      </c>
      <c r="P70" s="263">
        <v>0</v>
      </c>
      <c r="Q70" s="263">
        <v>0</v>
      </c>
      <c r="R70" s="265">
        <f t="shared" si="3"/>
        <v>0</v>
      </c>
      <c r="U70" s="547"/>
      <c r="V70" s="261" t="s">
        <v>29</v>
      </c>
      <c r="W70" s="262">
        <v>0</v>
      </c>
      <c r="X70" s="263">
        <v>0</v>
      </c>
      <c r="Y70" s="263">
        <v>0</v>
      </c>
      <c r="Z70" s="262">
        <v>0</v>
      </c>
      <c r="AA70" s="263">
        <v>0</v>
      </c>
      <c r="AB70" s="263">
        <v>0</v>
      </c>
      <c r="AC70" s="263">
        <v>0</v>
      </c>
      <c r="AD70" s="263">
        <v>0</v>
      </c>
      <c r="AE70" s="263">
        <v>0</v>
      </c>
      <c r="AF70" s="263">
        <v>0</v>
      </c>
      <c r="AG70" s="263">
        <v>0</v>
      </c>
      <c r="AH70" s="263">
        <v>0</v>
      </c>
      <c r="AI70" s="264">
        <v>0</v>
      </c>
      <c r="AJ70" s="263">
        <v>0</v>
      </c>
      <c r="AK70" s="263">
        <v>0</v>
      </c>
      <c r="AL70" s="265">
        <f t="shared" si="4"/>
        <v>0</v>
      </c>
    </row>
    <row r="71" spans="1:38" ht="14.4" customHeight="1">
      <c r="A71" s="547"/>
      <c r="B71" s="261" t="s">
        <v>30</v>
      </c>
      <c r="C71" s="262">
        <v>0</v>
      </c>
      <c r="D71" s="263">
        <v>0</v>
      </c>
      <c r="E71" s="263">
        <f>-Transports!D125</f>
        <v>-247.64984999999999</v>
      </c>
      <c r="F71" s="262">
        <v>0</v>
      </c>
      <c r="G71" s="263">
        <v>0</v>
      </c>
      <c r="H71" s="263">
        <v>0</v>
      </c>
      <c r="I71" s="263">
        <v>0</v>
      </c>
      <c r="J71" s="263">
        <v>0</v>
      </c>
      <c r="K71" s="263">
        <v>0</v>
      </c>
      <c r="L71" s="263">
        <v>0</v>
      </c>
      <c r="M71" s="263">
        <v>0</v>
      </c>
      <c r="N71" s="263">
        <v>0</v>
      </c>
      <c r="O71" s="264">
        <v>0</v>
      </c>
      <c r="P71" s="263">
        <v>0</v>
      </c>
      <c r="Q71" s="263">
        <v>0</v>
      </c>
      <c r="R71" s="265">
        <f t="shared" si="3"/>
        <v>-247.64984999999999</v>
      </c>
      <c r="U71" s="547"/>
      <c r="V71" s="261" t="s">
        <v>30</v>
      </c>
      <c r="W71" s="262">
        <v>0</v>
      </c>
      <c r="X71" s="263">
        <v>0</v>
      </c>
      <c r="Y71" s="263">
        <f>-Transports!$D$172-Transports!$D$171</f>
        <v>-247.64984999999999</v>
      </c>
      <c r="Z71" s="262">
        <v>0</v>
      </c>
      <c r="AA71" s="263">
        <v>0</v>
      </c>
      <c r="AB71" s="263">
        <v>0</v>
      </c>
      <c r="AC71" s="263">
        <v>0</v>
      </c>
      <c r="AD71" s="263">
        <v>0</v>
      </c>
      <c r="AE71" s="263">
        <f>-Transports!$D$170</f>
        <v>0</v>
      </c>
      <c r="AF71" s="263">
        <v>0</v>
      </c>
      <c r="AG71" s="263">
        <v>0</v>
      </c>
      <c r="AH71" s="263">
        <v>0</v>
      </c>
      <c r="AI71" s="264">
        <v>0</v>
      </c>
      <c r="AJ71" s="263">
        <v>0</v>
      </c>
      <c r="AK71" s="263">
        <v>0</v>
      </c>
      <c r="AL71" s="265">
        <f t="shared" si="4"/>
        <v>-247.64984999999999</v>
      </c>
    </row>
    <row r="72" spans="1:38" ht="14.4" customHeight="1">
      <c r="A72" s="547"/>
      <c r="B72" s="261" t="s">
        <v>31</v>
      </c>
      <c r="C72" s="262">
        <v>0</v>
      </c>
      <c r="D72" s="263">
        <v>0</v>
      </c>
      <c r="E72" s="263">
        <f>-Transports!$D$202</f>
        <v>-180.65595843392833</v>
      </c>
      <c r="F72" s="262">
        <v>0</v>
      </c>
      <c r="G72" s="263">
        <v>0</v>
      </c>
      <c r="H72" s="263">
        <v>0</v>
      </c>
      <c r="I72" s="263">
        <v>0</v>
      </c>
      <c r="J72" s="263">
        <v>0</v>
      </c>
      <c r="K72" s="263">
        <v>0</v>
      </c>
      <c r="L72" s="263">
        <v>0</v>
      </c>
      <c r="M72" s="263">
        <v>0</v>
      </c>
      <c r="N72" s="263">
        <v>0</v>
      </c>
      <c r="O72" s="264">
        <v>0</v>
      </c>
      <c r="P72" s="263">
        <v>0</v>
      </c>
      <c r="Q72" s="263">
        <v>0</v>
      </c>
      <c r="R72" s="265">
        <f t="shared" si="3"/>
        <v>-180.65595843392833</v>
      </c>
      <c r="U72" s="547"/>
      <c r="V72" s="261" t="s">
        <v>31</v>
      </c>
      <c r="W72" s="262">
        <v>0</v>
      </c>
      <c r="X72" s="263">
        <v>0</v>
      </c>
      <c r="Y72" s="263">
        <f>-Transports!$D$234</f>
        <v>-175.11914929277631</v>
      </c>
      <c r="Z72" s="262">
        <v>0</v>
      </c>
      <c r="AA72" s="263">
        <v>0</v>
      </c>
      <c r="AB72" s="263">
        <v>0</v>
      </c>
      <c r="AC72" s="263">
        <v>0</v>
      </c>
      <c r="AD72" s="263">
        <v>0</v>
      </c>
      <c r="AE72" s="263">
        <f>-Transports!$D$233-Transports!$D$232</f>
        <v>-3.5738601896484972</v>
      </c>
      <c r="AF72" s="263">
        <v>0</v>
      </c>
      <c r="AG72" s="263">
        <v>0</v>
      </c>
      <c r="AH72" s="263">
        <v>0</v>
      </c>
      <c r="AI72" s="264">
        <v>0</v>
      </c>
      <c r="AJ72" s="263">
        <v>0</v>
      </c>
      <c r="AK72" s="263">
        <v>0</v>
      </c>
      <c r="AL72" s="265">
        <f t="shared" si="4"/>
        <v>-178.6930094824248</v>
      </c>
    </row>
    <row r="73" spans="1:38" ht="14.4" customHeight="1">
      <c r="A73" s="547"/>
      <c r="B73" s="261" t="s">
        <v>32</v>
      </c>
      <c r="C73" s="262">
        <v>0</v>
      </c>
      <c r="D73" s="263">
        <v>0</v>
      </c>
      <c r="E73" s="263">
        <v>0</v>
      </c>
      <c r="F73" s="262">
        <v>0</v>
      </c>
      <c r="G73" s="263">
        <v>0</v>
      </c>
      <c r="H73" s="263">
        <v>0</v>
      </c>
      <c r="I73" s="263">
        <v>0</v>
      </c>
      <c r="J73" s="263">
        <v>0</v>
      </c>
      <c r="K73" s="263">
        <v>0</v>
      </c>
      <c r="L73" s="263">
        <v>0</v>
      </c>
      <c r="M73" s="263">
        <v>0</v>
      </c>
      <c r="N73" s="263">
        <v>0</v>
      </c>
      <c r="O73" s="264">
        <v>0</v>
      </c>
      <c r="P73" s="263">
        <v>0</v>
      </c>
      <c r="Q73" s="263">
        <v>0</v>
      </c>
      <c r="R73" s="265">
        <f t="shared" si="3"/>
        <v>0</v>
      </c>
      <c r="U73" s="547"/>
      <c r="V73" s="261" t="s">
        <v>32</v>
      </c>
      <c r="W73" s="262">
        <v>0</v>
      </c>
      <c r="X73" s="263">
        <v>0</v>
      </c>
      <c r="Y73" s="263">
        <v>0</v>
      </c>
      <c r="Z73" s="262">
        <v>0</v>
      </c>
      <c r="AA73" s="263">
        <v>0</v>
      </c>
      <c r="AB73" s="263">
        <v>0</v>
      </c>
      <c r="AC73" s="263">
        <v>0</v>
      </c>
      <c r="AD73" s="263">
        <v>0</v>
      </c>
      <c r="AE73" s="263">
        <v>0</v>
      </c>
      <c r="AF73" s="263">
        <v>0</v>
      </c>
      <c r="AG73" s="263">
        <v>0</v>
      </c>
      <c r="AH73" s="263">
        <v>0</v>
      </c>
      <c r="AI73" s="264">
        <v>0</v>
      </c>
      <c r="AJ73" s="263">
        <v>0</v>
      </c>
      <c r="AK73" s="263">
        <v>0</v>
      </c>
      <c r="AL73" s="265">
        <f t="shared" si="4"/>
        <v>0</v>
      </c>
    </row>
    <row r="74" spans="1:38" ht="14.4" customHeight="1">
      <c r="A74" s="547"/>
      <c r="B74" s="266" t="s">
        <v>376</v>
      </c>
      <c r="C74" s="267">
        <f>C88+C98</f>
        <v>9050.3949454444719</v>
      </c>
      <c r="D74" s="267">
        <f>D88+D98</f>
        <v>0</v>
      </c>
      <c r="E74" s="267">
        <f>E88+E98</f>
        <v>9467.5935702317474</v>
      </c>
      <c r="F74" s="267">
        <f t="shared" ref="F74:Q74" si="5">SUM(F68:F73)</f>
        <v>0</v>
      </c>
      <c r="G74" s="267">
        <f t="shared" si="5"/>
        <v>0</v>
      </c>
      <c r="H74" s="267">
        <f>H88</f>
        <v>1053.8967082079603</v>
      </c>
      <c r="I74" s="267">
        <f>I88+I96</f>
        <v>9.4683876469620021</v>
      </c>
      <c r="J74" s="267">
        <f t="shared" si="5"/>
        <v>0</v>
      </c>
      <c r="K74" s="267">
        <f>K88+K98</f>
        <v>0</v>
      </c>
      <c r="L74" s="267">
        <f>L88+L98</f>
        <v>0</v>
      </c>
      <c r="M74" s="267">
        <f t="shared" si="5"/>
        <v>0</v>
      </c>
      <c r="N74" s="267">
        <f>N88+N98</f>
        <v>43.354112366220541</v>
      </c>
      <c r="O74" s="267">
        <f t="shared" si="5"/>
        <v>0</v>
      </c>
      <c r="P74" s="267">
        <f t="shared" si="5"/>
        <v>0</v>
      </c>
      <c r="Q74" s="267">
        <f t="shared" si="5"/>
        <v>0</v>
      </c>
      <c r="R74" s="267">
        <f t="shared" si="3"/>
        <v>19624.707723897362</v>
      </c>
      <c r="U74" s="547"/>
      <c r="V74" s="266" t="s">
        <v>376</v>
      </c>
      <c r="W74" s="267">
        <f>W98+W88</f>
        <v>6373.6362422167549</v>
      </c>
      <c r="X74" s="267">
        <f>X88+X98</f>
        <v>0</v>
      </c>
      <c r="Y74" s="267">
        <f>Y88+Y98</f>
        <v>8290.3609013448222</v>
      </c>
      <c r="Z74" s="267">
        <f t="shared" ref="Z74" si="6">SUM(Z68:Z73)</f>
        <v>0</v>
      </c>
      <c r="AA74" s="267">
        <f t="shared" ref="AA74" si="7">SUM(AA68:AA73)</f>
        <v>0</v>
      </c>
      <c r="AB74" s="267">
        <f>AB88</f>
        <v>1010.3803733639241</v>
      </c>
      <c r="AC74" s="267">
        <f>AC88+AC98</f>
        <v>238.81916584769851</v>
      </c>
      <c r="AD74" s="267">
        <f>AD88</f>
        <v>0</v>
      </c>
      <c r="AE74" s="267">
        <f>AE88+AE98</f>
        <v>7.5483952258064511</v>
      </c>
      <c r="AF74" s="267">
        <f>AF88+AF98</f>
        <v>36.705049408773462</v>
      </c>
      <c r="AG74" s="267">
        <f t="shared" ref="AG74" si="8">SUM(AG68:AG73)</f>
        <v>0</v>
      </c>
      <c r="AH74" s="267">
        <f>AH88+AH98</f>
        <v>87.475145404275992</v>
      </c>
      <c r="AI74" s="267">
        <f t="shared" ref="AI74" si="9">SUM(AI68:AI73)</f>
        <v>0</v>
      </c>
      <c r="AJ74" s="267">
        <f t="shared" ref="AJ74" si="10">SUM(AJ68:AJ73)</f>
        <v>0</v>
      </c>
      <c r="AK74" s="267">
        <f t="shared" ref="AK74" si="11">SUM(AK68:AK73)</f>
        <v>0</v>
      </c>
      <c r="AL74" s="267">
        <f t="shared" si="4"/>
        <v>16044.925272812057</v>
      </c>
    </row>
    <row r="75" spans="1:38" ht="14.4" customHeight="1">
      <c r="A75" s="547"/>
      <c r="B75" s="268"/>
      <c r="C75" s="269"/>
      <c r="D75" s="237"/>
      <c r="E75" s="270"/>
      <c r="F75" s="269"/>
      <c r="G75" s="269"/>
      <c r="H75" s="269"/>
      <c r="I75" s="269"/>
      <c r="J75" s="269"/>
      <c r="K75" s="269"/>
      <c r="L75" s="269"/>
      <c r="M75" s="269"/>
      <c r="N75" s="269"/>
      <c r="O75" s="278"/>
      <c r="P75" s="269"/>
      <c r="Q75" s="269"/>
      <c r="R75" s="269"/>
      <c r="U75" s="547"/>
      <c r="V75" s="268"/>
      <c r="W75" s="269" t="s">
        <v>674</v>
      </c>
      <c r="X75" s="237"/>
      <c r="Y75" s="270"/>
      <c r="Z75" s="269"/>
      <c r="AA75" s="269"/>
      <c r="AB75" s="269"/>
      <c r="AC75" s="269"/>
      <c r="AD75" s="269"/>
      <c r="AE75" s="269"/>
      <c r="AF75" s="269"/>
      <c r="AG75" s="269"/>
      <c r="AH75" s="269"/>
      <c r="AI75" s="278"/>
      <c r="AJ75" s="269"/>
      <c r="AK75" s="269"/>
      <c r="AL75" s="269"/>
    </row>
    <row r="76" spans="1:38" ht="14.4" customHeight="1">
      <c r="A76" s="547"/>
      <c r="B76" s="271" t="s">
        <v>377</v>
      </c>
      <c r="C76" s="262">
        <v>0</v>
      </c>
      <c r="D76" s="272">
        <v>0</v>
      </c>
      <c r="E76" s="272">
        <v>0</v>
      </c>
      <c r="F76" s="262">
        <v>0</v>
      </c>
      <c r="G76" s="262">
        <v>0</v>
      </c>
      <c r="H76" s="262">
        <v>0</v>
      </c>
      <c r="I76" s="262">
        <v>0</v>
      </c>
      <c r="J76" s="262">
        <v>0</v>
      </c>
      <c r="K76" s="262">
        <v>0</v>
      </c>
      <c r="L76" s="262">
        <v>0</v>
      </c>
      <c r="M76" s="262">
        <v>0</v>
      </c>
      <c r="N76" s="262">
        <v>0</v>
      </c>
      <c r="O76" s="262">
        <v>0</v>
      </c>
      <c r="P76" s="262">
        <v>0</v>
      </c>
      <c r="Q76" s="262">
        <v>0</v>
      </c>
      <c r="R76" s="273">
        <f>SUM(C76:Q76)</f>
        <v>0</v>
      </c>
      <c r="U76" s="547"/>
      <c r="V76" s="271" t="s">
        <v>377</v>
      </c>
      <c r="W76" s="262">
        <v>0</v>
      </c>
      <c r="X76" s="272">
        <v>0</v>
      </c>
      <c r="Y76" s="272">
        <v>0</v>
      </c>
      <c r="Z76" s="262">
        <v>0</v>
      </c>
      <c r="AA76" s="262">
        <v>0</v>
      </c>
      <c r="AB76" s="262">
        <v>0</v>
      </c>
      <c r="AC76" s="262">
        <v>0</v>
      </c>
      <c r="AD76" s="262">
        <v>0</v>
      </c>
      <c r="AE76" s="262">
        <v>0</v>
      </c>
      <c r="AF76" s="262">
        <v>0</v>
      </c>
      <c r="AG76" s="262">
        <v>0</v>
      </c>
      <c r="AH76" s="262">
        <v>0</v>
      </c>
      <c r="AI76" s="262">
        <v>0</v>
      </c>
      <c r="AJ76" s="262">
        <v>0</v>
      </c>
      <c r="AK76" s="262">
        <v>0</v>
      </c>
      <c r="AL76" s="273">
        <f>SUM(W76:AK76)</f>
        <v>0</v>
      </c>
    </row>
    <row r="77" spans="1:38" ht="14.4" customHeight="1">
      <c r="A77" s="547"/>
      <c r="B77" s="271" t="s">
        <v>378</v>
      </c>
      <c r="C77" s="262">
        <f>$O$77*'Prod Energie'!$D$37/(-$J$13)</f>
        <v>5317.4439455764041</v>
      </c>
      <c r="D77" s="262">
        <v>0</v>
      </c>
      <c r="E77" s="262">
        <f>O77*'Prod Energie'!$D$38/(-$K$13)</f>
        <v>3126.1544702067126</v>
      </c>
      <c r="F77" s="262">
        <v>0</v>
      </c>
      <c r="G77" s="262">
        <v>0</v>
      </c>
      <c r="H77" s="262">
        <f>(O77)*('Prod Energie'!$D$39+'Prod Energie'!$D$44+'Prod Energie'!$D$45)/(-$L$13)</f>
        <v>1053.8967082079603</v>
      </c>
      <c r="I77" s="274">
        <f>(O77)*('Prod Energie'!$D$43)/(-$M$13)</f>
        <v>9.4683876469620021</v>
      </c>
      <c r="J77" s="274">
        <f>(O77)*$L$17*('Prod Energie'!$D$41)</f>
        <v>0</v>
      </c>
      <c r="K77" s="274">
        <f>(O77)*$L$17*('Prod Energie'!$D$42)</f>
        <v>0</v>
      </c>
      <c r="L77" s="274">
        <f>(O77)*$L$17*('Prod Energie'!$D$46)</f>
        <v>0</v>
      </c>
      <c r="M77" s="274">
        <v>0</v>
      </c>
      <c r="N77" s="274">
        <f>0</f>
        <v>0</v>
      </c>
      <c r="O77" s="262">
        <f>O88/(1+$F$17+$F$18)</f>
        <v>-4292.189173421767</v>
      </c>
      <c r="P77" s="262">
        <v>0</v>
      </c>
      <c r="Q77" s="262">
        <v>0</v>
      </c>
      <c r="R77" s="273">
        <f t="shared" ref="R77:R88" si="12">SUM(C77:Q77)</f>
        <v>5214.7743382162726</v>
      </c>
      <c r="U77" s="547"/>
      <c r="V77" s="271" t="s">
        <v>378</v>
      </c>
      <c r="W77" s="262">
        <f>AI77*'Prod Energie'!$D$59/(-$J$13)</f>
        <v>5569.4921673332701</v>
      </c>
      <c r="X77" s="262">
        <v>0</v>
      </c>
      <c r="Y77" s="262">
        <f>AI77*'Prod Energie'!$D$60/(-$K$13)</f>
        <v>2997.0727645327142</v>
      </c>
      <c r="Z77" s="262">
        <v>0</v>
      </c>
      <c r="AA77" s="262">
        <v>0</v>
      </c>
      <c r="AB77" s="262">
        <f>(AI77)*('Prod Energie'!$D$61+'Prod Energie'!$D$66+'Prod Energie'!$D$67)/(-$L$13)</f>
        <v>1010.3803733639241</v>
      </c>
      <c r="AC77" s="274">
        <f>(AI77)*'Prod Energie'!$D$65/(-$M$13)</f>
        <v>9.0774294780358016</v>
      </c>
      <c r="AD77" s="274">
        <f>(AI77)*('Prod Energie'!$D$63)/(-$N$13)</f>
        <v>0</v>
      </c>
      <c r="AE77" s="274">
        <f>(AI77)*('Prod Energie'!$D$64)/(-$M$13)</f>
        <v>0</v>
      </c>
      <c r="AF77" s="274">
        <f>(AI77)*('Prod Energie'!$D$68)/(-$P$13)</f>
        <v>0</v>
      </c>
      <c r="AG77" s="274">
        <v>0</v>
      </c>
      <c r="AH77" s="274">
        <f>(AI77)*'Prod Energie'!$D$62/(-$Q$13)</f>
        <v>0</v>
      </c>
      <c r="AI77" s="262">
        <f>AI88/(1+$F$17+$F$18)</f>
        <v>-4114.9608550961802</v>
      </c>
      <c r="AJ77" s="262">
        <v>0</v>
      </c>
      <c r="AK77" s="262">
        <v>0</v>
      </c>
      <c r="AL77" s="273">
        <f t="shared" ref="AL77:AL88" si="13">SUM(W77:AK77)</f>
        <v>5471.0618796117633</v>
      </c>
    </row>
    <row r="78" spans="1:38" ht="14.4" customHeight="1">
      <c r="A78" s="547"/>
      <c r="B78" s="271" t="s">
        <v>379</v>
      </c>
      <c r="C78" s="262">
        <v>0</v>
      </c>
      <c r="D78" s="262">
        <v>0</v>
      </c>
      <c r="E78" s="262">
        <v>0</v>
      </c>
      <c r="F78" s="262">
        <v>0</v>
      </c>
      <c r="G78" s="262">
        <v>0</v>
      </c>
      <c r="H78" s="262">
        <v>0</v>
      </c>
      <c r="I78" s="274">
        <f>$P$78*$L$18*V$17</f>
        <v>0</v>
      </c>
      <c r="J78" s="274">
        <f t="shared" ref="J78:N78" si="14">$P$78*$L$18*W$17</f>
        <v>0</v>
      </c>
      <c r="K78" s="274">
        <f t="shared" si="14"/>
        <v>0</v>
      </c>
      <c r="L78" s="274">
        <f t="shared" si="14"/>
        <v>0</v>
      </c>
      <c r="M78" s="274">
        <f t="shared" si="14"/>
        <v>0</v>
      </c>
      <c r="N78" s="274">
        <f t="shared" si="14"/>
        <v>0</v>
      </c>
      <c r="O78" s="262">
        <v>0</v>
      </c>
      <c r="P78" s="262">
        <f>P88/(1+$R$18)</f>
        <v>0</v>
      </c>
      <c r="Q78" s="262">
        <v>0</v>
      </c>
      <c r="R78" s="273">
        <f t="shared" si="12"/>
        <v>0</v>
      </c>
      <c r="U78" s="547"/>
      <c r="V78" s="271" t="s">
        <v>379</v>
      </c>
      <c r="W78" s="262">
        <v>0</v>
      </c>
      <c r="X78" s="262">
        <v>0</v>
      </c>
      <c r="Y78" s="262">
        <v>0</v>
      </c>
      <c r="Z78" s="262">
        <v>0</v>
      </c>
      <c r="AA78" s="262">
        <v>0</v>
      </c>
      <c r="AB78" s="262">
        <v>0</v>
      </c>
      <c r="AC78" s="274">
        <f>$AJ$78*$L$18*V$17</f>
        <v>0</v>
      </c>
      <c r="AD78" s="274">
        <f t="shared" ref="AD78:AH78" si="15">$AJ$78*$L$18*W$17</f>
        <v>0</v>
      </c>
      <c r="AE78" s="274">
        <f t="shared" si="15"/>
        <v>0</v>
      </c>
      <c r="AF78" s="274">
        <f t="shared" si="15"/>
        <v>0</v>
      </c>
      <c r="AG78" s="274">
        <f t="shared" si="15"/>
        <v>0</v>
      </c>
      <c r="AH78" s="274">
        <f t="shared" si="15"/>
        <v>0</v>
      </c>
      <c r="AI78" s="262">
        <v>0</v>
      </c>
      <c r="AJ78" s="262">
        <f>AJ88/(1+$R$18)</f>
        <v>0</v>
      </c>
      <c r="AK78" s="262">
        <v>0</v>
      </c>
      <c r="AL78" s="273">
        <f t="shared" si="13"/>
        <v>0</v>
      </c>
    </row>
    <row r="79" spans="1:38" ht="14.4" customHeight="1">
      <c r="A79" s="547"/>
      <c r="B79" s="271" t="s">
        <v>380</v>
      </c>
      <c r="C79" s="262">
        <v>0</v>
      </c>
      <c r="D79" s="262">
        <v>0</v>
      </c>
      <c r="E79" s="262">
        <v>0</v>
      </c>
      <c r="F79" s="262">
        <v>0</v>
      </c>
      <c r="G79" s="262">
        <v>0</v>
      </c>
      <c r="H79" s="262">
        <v>0</v>
      </c>
      <c r="I79" s="275">
        <v>0</v>
      </c>
      <c r="J79" s="275">
        <v>0</v>
      </c>
      <c r="K79" s="275">
        <v>0</v>
      </c>
      <c r="L79" s="275">
        <v>0</v>
      </c>
      <c r="M79" s="275">
        <v>0</v>
      </c>
      <c r="N79" s="275">
        <v>0</v>
      </c>
      <c r="O79" s="262">
        <v>0</v>
      </c>
      <c r="P79" s="262">
        <v>0</v>
      </c>
      <c r="Q79" s="262">
        <v>0</v>
      </c>
      <c r="R79" s="273">
        <f t="shared" si="12"/>
        <v>0</v>
      </c>
      <c r="U79" s="547"/>
      <c r="V79" s="271" t="s">
        <v>380</v>
      </c>
      <c r="W79" s="262">
        <v>0</v>
      </c>
      <c r="X79" s="262">
        <v>0</v>
      </c>
      <c r="Y79" s="262">
        <v>0</v>
      </c>
      <c r="Z79" s="262">
        <v>0</v>
      </c>
      <c r="AA79" s="262">
        <v>0</v>
      </c>
      <c r="AB79" s="262">
        <v>0</v>
      </c>
      <c r="AC79" s="275">
        <v>0</v>
      </c>
      <c r="AD79" s="275">
        <v>0</v>
      </c>
      <c r="AE79" s="275">
        <v>0</v>
      </c>
      <c r="AF79" s="275">
        <v>0</v>
      </c>
      <c r="AG79" s="275">
        <v>0</v>
      </c>
      <c r="AH79" s="275">
        <v>0</v>
      </c>
      <c r="AI79" s="262">
        <v>0</v>
      </c>
      <c r="AJ79" s="262">
        <v>0</v>
      </c>
      <c r="AK79" s="262">
        <v>0</v>
      </c>
      <c r="AL79" s="273">
        <f t="shared" si="13"/>
        <v>0</v>
      </c>
    </row>
    <row r="80" spans="1:38" ht="14.4" customHeight="1">
      <c r="A80" s="547"/>
      <c r="B80" s="271" t="s">
        <v>381</v>
      </c>
      <c r="C80" s="262">
        <v>0</v>
      </c>
      <c r="D80" s="262">
        <v>0</v>
      </c>
      <c r="E80" s="262">
        <v>0</v>
      </c>
      <c r="F80" s="262">
        <v>0</v>
      </c>
      <c r="G80" s="262">
        <v>0</v>
      </c>
      <c r="H80" s="262">
        <v>0</v>
      </c>
      <c r="I80" s="262">
        <v>0</v>
      </c>
      <c r="J80" s="262">
        <v>0</v>
      </c>
      <c r="K80" s="262">
        <v>0</v>
      </c>
      <c r="L80" s="262">
        <v>0</v>
      </c>
      <c r="M80" s="262">
        <v>0</v>
      </c>
      <c r="N80" s="262">
        <v>0</v>
      </c>
      <c r="O80" s="262">
        <v>0</v>
      </c>
      <c r="P80" s="262">
        <v>0</v>
      </c>
      <c r="Q80" s="262">
        <v>0</v>
      </c>
      <c r="R80" s="273">
        <f t="shared" si="12"/>
        <v>0</v>
      </c>
      <c r="U80" s="547"/>
      <c r="V80" s="271" t="s">
        <v>381</v>
      </c>
      <c r="W80" s="262">
        <v>0</v>
      </c>
      <c r="X80" s="262">
        <v>0</v>
      </c>
      <c r="Y80" s="262">
        <v>0</v>
      </c>
      <c r="Z80" s="262">
        <v>0</v>
      </c>
      <c r="AA80" s="262">
        <v>0</v>
      </c>
      <c r="AB80" s="262">
        <v>0</v>
      </c>
      <c r="AC80" s="262">
        <v>0</v>
      </c>
      <c r="AD80" s="262">
        <v>0</v>
      </c>
      <c r="AE80" s="262">
        <v>0</v>
      </c>
      <c r="AF80" s="262">
        <v>0</v>
      </c>
      <c r="AG80" s="262">
        <v>0</v>
      </c>
      <c r="AH80" s="262">
        <v>0</v>
      </c>
      <c r="AI80" s="262">
        <v>0</v>
      </c>
      <c r="AJ80" s="262">
        <v>0</v>
      </c>
      <c r="AK80" s="262">
        <v>0</v>
      </c>
      <c r="AL80" s="273">
        <f t="shared" si="13"/>
        <v>0</v>
      </c>
    </row>
    <row r="81" spans="1:38" ht="14.4" customHeight="1">
      <c r="A81" s="547"/>
      <c r="B81" s="271" t="s">
        <v>36</v>
      </c>
      <c r="C81" s="262">
        <v>0</v>
      </c>
      <c r="D81" s="262">
        <v>0</v>
      </c>
      <c r="E81" s="262">
        <v>0</v>
      </c>
      <c r="F81" s="262">
        <v>0</v>
      </c>
      <c r="G81" s="262">
        <v>0</v>
      </c>
      <c r="H81" s="262">
        <v>0</v>
      </c>
      <c r="I81" s="262">
        <v>0</v>
      </c>
      <c r="J81" s="262">
        <v>0</v>
      </c>
      <c r="K81" s="262">
        <v>0</v>
      </c>
      <c r="L81" s="262">
        <v>0</v>
      </c>
      <c r="M81" s="262">
        <v>0</v>
      </c>
      <c r="N81" s="262">
        <v>0</v>
      </c>
      <c r="O81" s="262">
        <v>0</v>
      </c>
      <c r="P81" s="262">
        <v>0</v>
      </c>
      <c r="Q81" s="262">
        <v>0</v>
      </c>
      <c r="R81" s="273">
        <f t="shared" si="12"/>
        <v>0</v>
      </c>
      <c r="U81" s="547"/>
      <c r="V81" s="271" t="s">
        <v>36</v>
      </c>
      <c r="W81" s="262">
        <v>0</v>
      </c>
      <c r="X81" s="262">
        <v>0</v>
      </c>
      <c r="Y81" s="262">
        <v>0</v>
      </c>
      <c r="Z81" s="262">
        <v>0</v>
      </c>
      <c r="AA81" s="262">
        <v>0</v>
      </c>
      <c r="AB81" s="262">
        <v>0</v>
      </c>
      <c r="AC81" s="262">
        <v>0</v>
      </c>
      <c r="AD81" s="262">
        <v>0</v>
      </c>
      <c r="AE81" s="262">
        <v>0</v>
      </c>
      <c r="AF81" s="262">
        <v>0</v>
      </c>
      <c r="AG81" s="262">
        <v>0</v>
      </c>
      <c r="AH81" s="262">
        <v>0</v>
      </c>
      <c r="AI81" s="262">
        <v>0</v>
      </c>
      <c r="AJ81" s="262">
        <v>0</v>
      </c>
      <c r="AK81" s="262">
        <v>0</v>
      </c>
      <c r="AL81" s="273">
        <f t="shared" si="13"/>
        <v>0</v>
      </c>
    </row>
    <row r="82" spans="1:38" ht="14.4" customHeight="1">
      <c r="A82" s="547"/>
      <c r="B82" s="271" t="s">
        <v>382</v>
      </c>
      <c r="C82" s="262">
        <v>0</v>
      </c>
      <c r="D82" s="262">
        <v>0</v>
      </c>
      <c r="E82" s="262">
        <v>0</v>
      </c>
      <c r="F82" s="262">
        <v>0</v>
      </c>
      <c r="G82" s="262">
        <v>0</v>
      </c>
      <c r="H82" s="262">
        <v>0</v>
      </c>
      <c r="I82" s="262">
        <v>0</v>
      </c>
      <c r="J82" s="262">
        <v>0</v>
      </c>
      <c r="K82" s="262">
        <v>0</v>
      </c>
      <c r="L82" s="262">
        <v>0</v>
      </c>
      <c r="M82" s="262">
        <v>0</v>
      </c>
      <c r="N82" s="262">
        <v>0</v>
      </c>
      <c r="O82" s="262">
        <v>0</v>
      </c>
      <c r="P82" s="262">
        <v>0</v>
      </c>
      <c r="Q82" s="262">
        <v>0</v>
      </c>
      <c r="R82" s="273">
        <f t="shared" si="12"/>
        <v>0</v>
      </c>
      <c r="U82" s="547"/>
      <c r="V82" s="271" t="s">
        <v>382</v>
      </c>
      <c r="W82" s="262">
        <v>0</v>
      </c>
      <c r="X82" s="262">
        <v>0</v>
      </c>
      <c r="Y82" s="262">
        <v>0</v>
      </c>
      <c r="Z82" s="262">
        <v>0</v>
      </c>
      <c r="AA82" s="262">
        <v>0</v>
      </c>
      <c r="AB82" s="262">
        <v>0</v>
      </c>
      <c r="AC82" s="262">
        <v>0</v>
      </c>
      <c r="AD82" s="262">
        <v>0</v>
      </c>
      <c r="AE82" s="262">
        <v>0</v>
      </c>
      <c r="AF82" s="262">
        <v>0</v>
      </c>
      <c r="AG82" s="262">
        <v>0</v>
      </c>
      <c r="AH82" s="262">
        <v>0</v>
      </c>
      <c r="AI82" s="262">
        <v>0</v>
      </c>
      <c r="AJ82" s="262">
        <v>0</v>
      </c>
      <c r="AK82" s="262">
        <v>0</v>
      </c>
      <c r="AL82" s="273">
        <f t="shared" si="13"/>
        <v>0</v>
      </c>
    </row>
    <row r="83" spans="1:38" ht="14.4" customHeight="1">
      <c r="A83" s="547"/>
      <c r="B83" s="271" t="s">
        <v>383</v>
      </c>
      <c r="C83" s="262">
        <v>0</v>
      </c>
      <c r="D83" s="262">
        <v>0</v>
      </c>
      <c r="E83" s="262">
        <v>0</v>
      </c>
      <c r="F83" s="262">
        <v>0</v>
      </c>
      <c r="G83" s="262">
        <v>0</v>
      </c>
      <c r="H83" s="262">
        <v>0</v>
      </c>
      <c r="I83" s="262">
        <v>0</v>
      </c>
      <c r="J83" s="262">
        <v>0</v>
      </c>
      <c r="K83" s="262">
        <v>0</v>
      </c>
      <c r="L83" s="262">
        <v>0</v>
      </c>
      <c r="M83" s="262">
        <v>0</v>
      </c>
      <c r="N83" s="262">
        <v>0</v>
      </c>
      <c r="O83" s="262">
        <v>0</v>
      </c>
      <c r="P83" s="262">
        <v>0</v>
      </c>
      <c r="Q83" s="262">
        <v>0</v>
      </c>
      <c r="R83" s="273">
        <f t="shared" si="12"/>
        <v>0</v>
      </c>
      <c r="U83" s="547"/>
      <c r="V83" s="271" t="s">
        <v>383</v>
      </c>
      <c r="W83" s="262">
        <v>0</v>
      </c>
      <c r="X83" s="262">
        <v>0</v>
      </c>
      <c r="Y83" s="262">
        <v>0</v>
      </c>
      <c r="Z83" s="262">
        <v>0</v>
      </c>
      <c r="AA83" s="262">
        <v>0</v>
      </c>
      <c r="AB83" s="262">
        <v>0</v>
      </c>
      <c r="AC83" s="262">
        <v>0</v>
      </c>
      <c r="AD83" s="262">
        <v>0</v>
      </c>
      <c r="AE83" s="262">
        <v>0</v>
      </c>
      <c r="AF83" s="262">
        <v>0</v>
      </c>
      <c r="AG83" s="262">
        <v>0</v>
      </c>
      <c r="AH83" s="262">
        <v>0</v>
      </c>
      <c r="AI83" s="262">
        <v>0</v>
      </c>
      <c r="AJ83" s="262">
        <v>0</v>
      </c>
      <c r="AK83" s="262">
        <v>0</v>
      </c>
      <c r="AL83" s="273">
        <f t="shared" si="13"/>
        <v>0</v>
      </c>
    </row>
    <row r="84" spans="1:38" ht="14.4" customHeight="1">
      <c r="A84" s="547"/>
      <c r="B84" s="271" t="s">
        <v>384</v>
      </c>
      <c r="C84" s="262">
        <v>0</v>
      </c>
      <c r="D84" s="262">
        <v>0</v>
      </c>
      <c r="E84" s="262">
        <v>0</v>
      </c>
      <c r="F84" s="262">
        <v>0</v>
      </c>
      <c r="G84" s="262">
        <v>0</v>
      </c>
      <c r="H84" s="262">
        <v>0</v>
      </c>
      <c r="I84" s="262">
        <v>0</v>
      </c>
      <c r="J84" s="262">
        <v>0</v>
      </c>
      <c r="K84" s="262">
        <v>0</v>
      </c>
      <c r="L84" s="262">
        <v>0</v>
      </c>
      <c r="M84" s="262">
        <v>0</v>
      </c>
      <c r="N84" s="262">
        <v>0</v>
      </c>
      <c r="O84" s="262">
        <v>0</v>
      </c>
      <c r="P84" s="262">
        <v>0</v>
      </c>
      <c r="Q84" s="262">
        <v>0</v>
      </c>
      <c r="R84" s="273">
        <f t="shared" si="12"/>
        <v>0</v>
      </c>
      <c r="U84" s="547"/>
      <c r="V84" s="271" t="s">
        <v>384</v>
      </c>
      <c r="W84" s="262">
        <v>0</v>
      </c>
      <c r="X84" s="262">
        <v>0</v>
      </c>
      <c r="Y84" s="262">
        <v>0</v>
      </c>
      <c r="Z84" s="262">
        <v>0</v>
      </c>
      <c r="AA84" s="262">
        <v>0</v>
      </c>
      <c r="AB84" s="262">
        <v>0</v>
      </c>
      <c r="AC84" s="262">
        <v>0</v>
      </c>
      <c r="AD84" s="262">
        <v>0</v>
      </c>
      <c r="AE84" s="262">
        <v>0</v>
      </c>
      <c r="AF84" s="262">
        <v>0</v>
      </c>
      <c r="AG84" s="262">
        <v>0</v>
      </c>
      <c r="AH84" s="262">
        <v>0</v>
      </c>
      <c r="AI84" s="262">
        <v>0</v>
      </c>
      <c r="AJ84" s="262">
        <v>0</v>
      </c>
      <c r="AK84" s="262">
        <v>0</v>
      </c>
      <c r="AL84" s="273">
        <f t="shared" si="13"/>
        <v>0</v>
      </c>
    </row>
    <row r="85" spans="1:38" ht="14.4" customHeight="1">
      <c r="A85" s="547"/>
      <c r="B85" s="271" t="s">
        <v>37</v>
      </c>
      <c r="C85" s="262">
        <v>0</v>
      </c>
      <c r="D85" s="262">
        <v>0</v>
      </c>
      <c r="E85" s="262">
        <v>0</v>
      </c>
      <c r="F85" s="262">
        <v>0</v>
      </c>
      <c r="G85" s="262">
        <v>0</v>
      </c>
      <c r="H85" s="262">
        <v>0</v>
      </c>
      <c r="I85" s="262">
        <v>0</v>
      </c>
      <c r="J85" s="262">
        <v>0</v>
      </c>
      <c r="K85" s="262">
        <v>0</v>
      </c>
      <c r="L85" s="262">
        <v>0</v>
      </c>
      <c r="M85" s="262">
        <v>0</v>
      </c>
      <c r="N85" s="262">
        <v>0</v>
      </c>
      <c r="O85" s="262">
        <v>0</v>
      </c>
      <c r="P85" s="262">
        <v>0</v>
      </c>
      <c r="Q85" s="262">
        <v>0</v>
      </c>
      <c r="R85" s="273">
        <f t="shared" si="12"/>
        <v>0</v>
      </c>
      <c r="U85" s="547"/>
      <c r="V85" s="271" t="s">
        <v>37</v>
      </c>
      <c r="W85" s="262">
        <v>0</v>
      </c>
      <c r="X85" s="262">
        <v>0</v>
      </c>
      <c r="Y85" s="262">
        <v>0</v>
      </c>
      <c r="Z85" s="262">
        <v>0</v>
      </c>
      <c r="AA85" s="262">
        <v>0</v>
      </c>
      <c r="AB85" s="262">
        <v>0</v>
      </c>
      <c r="AC85" s="262">
        <v>0</v>
      </c>
      <c r="AD85" s="262">
        <v>0</v>
      </c>
      <c r="AE85" s="262">
        <v>0</v>
      </c>
      <c r="AF85" s="262">
        <v>0</v>
      </c>
      <c r="AG85" s="262">
        <v>0</v>
      </c>
      <c r="AH85" s="262">
        <v>0</v>
      </c>
      <c r="AI85" s="262">
        <v>0</v>
      </c>
      <c r="AJ85" s="262">
        <v>0</v>
      </c>
      <c r="AK85" s="262">
        <v>0</v>
      </c>
      <c r="AL85" s="273">
        <f t="shared" si="13"/>
        <v>0</v>
      </c>
    </row>
    <row r="86" spans="1:38" ht="14.4" customHeight="1">
      <c r="A86" s="547"/>
      <c r="B86" s="271" t="s">
        <v>38</v>
      </c>
      <c r="C86" s="262">
        <v>0</v>
      </c>
      <c r="D86" s="262">
        <v>0</v>
      </c>
      <c r="E86" s="262">
        <v>0</v>
      </c>
      <c r="F86" s="262">
        <v>0</v>
      </c>
      <c r="G86" s="262">
        <v>0</v>
      </c>
      <c r="H86" s="262">
        <v>0</v>
      </c>
      <c r="I86" s="262">
        <v>0</v>
      </c>
      <c r="J86" s="262">
        <v>0</v>
      </c>
      <c r="K86" s="262">
        <v>0</v>
      </c>
      <c r="L86" s="262">
        <v>0</v>
      </c>
      <c r="M86" s="262">
        <v>0</v>
      </c>
      <c r="N86" s="262">
        <v>0</v>
      </c>
      <c r="O86" s="262">
        <f>O77*$F$17</f>
        <v>27.626335339135395</v>
      </c>
      <c r="P86" s="262">
        <v>0</v>
      </c>
      <c r="Q86" s="262">
        <v>0</v>
      </c>
      <c r="R86" s="273">
        <f t="shared" si="12"/>
        <v>27.626335339135395</v>
      </c>
      <c r="U86" s="547"/>
      <c r="V86" s="271" t="s">
        <v>38</v>
      </c>
      <c r="W86" s="262">
        <v>0</v>
      </c>
      <c r="X86" s="262">
        <v>0</v>
      </c>
      <c r="Y86" s="262">
        <v>0</v>
      </c>
      <c r="Z86" s="262">
        <v>0</v>
      </c>
      <c r="AA86" s="262">
        <v>0</v>
      </c>
      <c r="AB86" s="262">
        <v>0</v>
      </c>
      <c r="AC86" s="262">
        <v>0</v>
      </c>
      <c r="AD86" s="262">
        <v>0</v>
      </c>
      <c r="AE86" s="262">
        <v>0</v>
      </c>
      <c r="AF86" s="262">
        <v>0</v>
      </c>
      <c r="AG86" s="262">
        <v>0</v>
      </c>
      <c r="AH86" s="262">
        <v>0</v>
      </c>
      <c r="AI86" s="262">
        <f>AI77*$F$17</f>
        <v>26.485619318515447</v>
      </c>
      <c r="AJ86" s="262">
        <v>0</v>
      </c>
      <c r="AK86" s="262">
        <v>0</v>
      </c>
      <c r="AL86" s="273">
        <f t="shared" si="13"/>
        <v>26.485619318515447</v>
      </c>
    </row>
    <row r="87" spans="1:38" ht="14.4" customHeight="1">
      <c r="A87" s="547"/>
      <c r="B87" s="271" t="s">
        <v>39</v>
      </c>
      <c r="C87" s="262">
        <v>0</v>
      </c>
      <c r="D87" s="262">
        <v>0</v>
      </c>
      <c r="E87" s="262">
        <v>0</v>
      </c>
      <c r="F87" s="262">
        <v>0</v>
      </c>
      <c r="G87" s="262">
        <v>0</v>
      </c>
      <c r="H87" s="262">
        <v>0</v>
      </c>
      <c r="I87" s="262">
        <v>0</v>
      </c>
      <c r="J87" s="262">
        <v>0</v>
      </c>
      <c r="K87" s="262">
        <v>0</v>
      </c>
      <c r="L87" s="262">
        <v>0</v>
      </c>
      <c r="M87" s="262">
        <v>0</v>
      </c>
      <c r="N87" s="262">
        <v>0</v>
      </c>
      <c r="O87" s="262">
        <f>O77*$F$18</f>
        <v>175.70868208103772</v>
      </c>
      <c r="P87" s="262">
        <f>P78*$R$18</f>
        <v>0</v>
      </c>
      <c r="Q87" s="262">
        <v>0</v>
      </c>
      <c r="R87" s="273">
        <f t="shared" si="12"/>
        <v>175.70868208103772</v>
      </c>
      <c r="S87" s="278"/>
      <c r="U87" s="547"/>
      <c r="V87" s="271" t="s">
        <v>39</v>
      </c>
      <c r="W87" s="262">
        <v>0</v>
      </c>
      <c r="X87" s="262">
        <v>0</v>
      </c>
      <c r="Y87" s="262">
        <v>0</v>
      </c>
      <c r="Z87" s="262">
        <v>0</v>
      </c>
      <c r="AA87" s="262">
        <v>0</v>
      </c>
      <c r="AB87" s="262">
        <v>0</v>
      </c>
      <c r="AC87" s="262">
        <v>0</v>
      </c>
      <c r="AD87" s="262">
        <v>0</v>
      </c>
      <c r="AE87" s="262">
        <v>0</v>
      </c>
      <c r="AF87" s="262">
        <v>0</v>
      </c>
      <c r="AG87" s="262">
        <v>0</v>
      </c>
      <c r="AH87" s="262">
        <v>0</v>
      </c>
      <c r="AI87" s="262">
        <f>AI77*$F$18</f>
        <v>168.45351391807392</v>
      </c>
      <c r="AJ87" s="262">
        <f>AJ78*$R$18</f>
        <v>0</v>
      </c>
      <c r="AK87" s="262">
        <v>0</v>
      </c>
      <c r="AL87" s="273">
        <f t="shared" si="13"/>
        <v>168.45351391807392</v>
      </c>
    </row>
    <row r="88" spans="1:38" ht="14.4" customHeight="1">
      <c r="A88" s="547"/>
      <c r="B88" s="266" t="s">
        <v>40</v>
      </c>
      <c r="C88" s="267">
        <f>SUM(C76:C87)</f>
        <v>5317.4439455764041</v>
      </c>
      <c r="D88" s="267">
        <f t="shared" ref="D88:Q88" si="16">SUM(D76:D87)</f>
        <v>0</v>
      </c>
      <c r="E88" s="267">
        <f t="shared" si="16"/>
        <v>3126.1544702067126</v>
      </c>
      <c r="F88" s="267">
        <f t="shared" si="16"/>
        <v>0</v>
      </c>
      <c r="G88" s="267">
        <f t="shared" si="16"/>
        <v>0</v>
      </c>
      <c r="H88" s="267">
        <f t="shared" si="16"/>
        <v>1053.8967082079603</v>
      </c>
      <c r="I88" s="267">
        <f t="shared" si="16"/>
        <v>9.4683876469620021</v>
      </c>
      <c r="J88" s="267">
        <f t="shared" si="16"/>
        <v>0</v>
      </c>
      <c r="K88" s="267">
        <f t="shared" si="16"/>
        <v>0</v>
      </c>
      <c r="L88" s="267">
        <f t="shared" si="16"/>
        <v>0</v>
      </c>
      <c r="M88" s="267">
        <f t="shared" si="16"/>
        <v>0</v>
      </c>
      <c r="N88" s="267">
        <f t="shared" si="16"/>
        <v>0</v>
      </c>
      <c r="O88" s="267">
        <f>-O98</f>
        <v>-4088.8541560015938</v>
      </c>
      <c r="P88" s="267">
        <f>-P90</f>
        <v>0</v>
      </c>
      <c r="Q88" s="267">
        <f t="shared" si="16"/>
        <v>0</v>
      </c>
      <c r="R88" s="267">
        <f t="shared" si="12"/>
        <v>5418.1093556364458</v>
      </c>
      <c r="S88" s="473">
        <f>R98+R88</f>
        <v>19624.707723897362</v>
      </c>
      <c r="U88" s="547"/>
      <c r="V88" s="266" t="s">
        <v>40</v>
      </c>
      <c r="W88" s="267">
        <f>+W98</f>
        <v>3186.8181211083775</v>
      </c>
      <c r="X88" s="267">
        <f t="shared" ref="X88" si="17">SUM(X76:X87)</f>
        <v>0</v>
      </c>
      <c r="Y88" s="267">
        <f t="shared" ref="Y88" si="18">SUM(Y76:Y87)</f>
        <v>2997.0727645327142</v>
      </c>
      <c r="Z88" s="267">
        <f t="shared" ref="Z88" si="19">SUM(Z76:Z87)</f>
        <v>0</v>
      </c>
      <c r="AA88" s="267">
        <f t="shared" ref="AA88" si="20">SUM(AA76:AA87)</f>
        <v>0</v>
      </c>
      <c r="AB88" s="267">
        <f t="shared" ref="AB88" si="21">SUM(AB76:AB87)</f>
        <v>1010.3803733639241</v>
      </c>
      <c r="AC88" s="267">
        <f t="shared" ref="AC88" si="22">SUM(AC76:AC87)</f>
        <v>9.0774294780358016</v>
      </c>
      <c r="AD88" s="267">
        <f t="shared" ref="AD88" si="23">SUM(AD76:AD87)</f>
        <v>0</v>
      </c>
      <c r="AE88" s="267">
        <f t="shared" ref="AE88" si="24">SUM(AE76:AE87)</f>
        <v>0</v>
      </c>
      <c r="AF88" s="267">
        <f t="shared" ref="AF88" si="25">SUM(AF76:AF87)</f>
        <v>0</v>
      </c>
      <c r="AG88" s="267">
        <f t="shared" ref="AG88" si="26">SUM(AG76:AG87)</f>
        <v>0</v>
      </c>
      <c r="AH88" s="267">
        <f t="shared" ref="AH88" si="27">SUM(AH76:AH87)</f>
        <v>0</v>
      </c>
      <c r="AI88" s="267">
        <f>-AI98</f>
        <v>-3920.0217218595903</v>
      </c>
      <c r="AJ88" s="267">
        <f>-AJ90</f>
        <v>0</v>
      </c>
      <c r="AK88" s="267">
        <f t="shared" ref="AK88" si="28">SUM(AK76:AK87)</f>
        <v>0</v>
      </c>
      <c r="AL88" s="267">
        <f t="shared" si="13"/>
        <v>3283.3269666234614</v>
      </c>
    </row>
    <row r="89" spans="1:38" ht="14.4" customHeight="1">
      <c r="A89" s="547"/>
      <c r="B89" s="268"/>
      <c r="C89" s="269"/>
      <c r="D89" s="269"/>
      <c r="E89" s="276"/>
      <c r="F89" s="269"/>
      <c r="G89" s="269"/>
      <c r="H89" s="269"/>
      <c r="I89" s="276"/>
      <c r="J89" s="269"/>
      <c r="K89" s="269"/>
      <c r="L89" s="269"/>
      <c r="M89" s="277"/>
      <c r="N89" s="269"/>
      <c r="O89" s="269"/>
      <c r="P89" s="269"/>
      <c r="Q89" s="269"/>
      <c r="R89" s="269"/>
      <c r="U89" s="547"/>
      <c r="V89" s="268"/>
      <c r="W89" s="269"/>
      <c r="X89" s="269"/>
      <c r="Y89" s="276"/>
      <c r="Z89" s="269"/>
      <c r="AA89" s="269"/>
      <c r="AB89" s="269"/>
      <c r="AC89" s="276"/>
      <c r="AD89" s="269"/>
      <c r="AE89" s="269"/>
      <c r="AF89" s="269"/>
      <c r="AG89" s="277"/>
      <c r="AH89" s="269"/>
      <c r="AI89" s="269"/>
      <c r="AJ89" s="269"/>
      <c r="AK89" s="269"/>
      <c r="AL89" s="269"/>
    </row>
    <row r="90" spans="1:38" ht="14.4" customHeight="1">
      <c r="A90" s="547"/>
      <c r="B90" s="271" t="s">
        <v>41</v>
      </c>
      <c r="C90" s="262">
        <f>Industrie!$D$45</f>
        <v>1498.2491033815525</v>
      </c>
      <c r="D90" s="262">
        <v>0</v>
      </c>
      <c r="E90" s="262">
        <f>Industrie!$D$42</f>
        <v>3407.0682816789622</v>
      </c>
      <c r="F90" s="262">
        <v>0</v>
      </c>
      <c r="G90" s="262">
        <v>0</v>
      </c>
      <c r="H90" s="262">
        <v>0</v>
      </c>
      <c r="I90" s="262">
        <v>0</v>
      </c>
      <c r="J90" s="262">
        <v>0</v>
      </c>
      <c r="K90" s="262">
        <v>0</v>
      </c>
      <c r="L90" s="262">
        <v>0</v>
      </c>
      <c r="M90" s="262">
        <v>0</v>
      </c>
      <c r="N90" s="262">
        <v>0</v>
      </c>
      <c r="O90" s="262">
        <f>Industrie!$D$46</f>
        <v>3323.088246059328</v>
      </c>
      <c r="P90" s="262">
        <f>Industrie!$D$52</f>
        <v>0</v>
      </c>
      <c r="Q90" s="262">
        <v>0</v>
      </c>
      <c r="R90" s="273">
        <f>SUM(C90:Q90)</f>
        <v>8228.4056311198419</v>
      </c>
      <c r="U90" s="547"/>
      <c r="V90" s="271" t="s">
        <v>41</v>
      </c>
      <c r="W90" s="262">
        <f>Industrie!$D$75</f>
        <v>1084.434100071722</v>
      </c>
      <c r="X90" s="262">
        <v>0</v>
      </c>
      <c r="Y90" s="262">
        <f>Industrie!$D$72</f>
        <v>2466.0392037521615</v>
      </c>
      <c r="Z90" s="262">
        <v>0</v>
      </c>
      <c r="AA90" s="262">
        <v>0</v>
      </c>
      <c r="AB90" s="262">
        <v>0</v>
      </c>
      <c r="AC90" s="262">
        <f>Industrie!$D$85*V$13/SUM($V$13:$AA$13)</f>
        <v>220.08922925124887</v>
      </c>
      <c r="AD90" s="470">
        <f>Industrie!$D$85*W$13/SUM($V$13:$AA$13)</f>
        <v>0</v>
      </c>
      <c r="AE90" s="470">
        <f>Industrie!$D$85*X$13/SUM($V$13:$AA$13)</f>
        <v>0</v>
      </c>
      <c r="AF90" s="470">
        <f>Industrie!$D$85*Y$13/SUM($V$13:$AA$13)</f>
        <v>36.705049408773462</v>
      </c>
      <c r="AG90" s="470">
        <f>Industrie!$D$85*Z$13/SUM($V$13:$AA$13)</f>
        <v>0</v>
      </c>
      <c r="AH90" s="470">
        <f>Industrie!$D$85*AA$13/SUM($V$13:$AA$13)</f>
        <v>0.74829256076662054</v>
      </c>
      <c r="AI90" s="262">
        <f>Industrie!D76</f>
        <v>3440.4036778861682</v>
      </c>
      <c r="AJ90" s="262">
        <f>Industrie!$D$86</f>
        <v>0</v>
      </c>
      <c r="AK90" s="262">
        <v>0</v>
      </c>
      <c r="AL90" s="273">
        <f>SUM(W90:AK90)</f>
        <v>7248.4195529308408</v>
      </c>
    </row>
    <row r="91" spans="1:38" ht="14.4" customHeight="1">
      <c r="A91" s="547"/>
      <c r="B91" s="271" t="s">
        <v>42</v>
      </c>
      <c r="C91" s="262">
        <v>0</v>
      </c>
      <c r="D91" s="262">
        <v>0</v>
      </c>
      <c r="E91" s="262">
        <f>Transports!$F$49+Transports!$D$106+Transports!$D$203</f>
        <v>2480.532982627396</v>
      </c>
      <c r="F91" s="262">
        <v>0</v>
      </c>
      <c r="G91" s="262">
        <v>0</v>
      </c>
      <c r="H91" s="262">
        <v>0</v>
      </c>
      <c r="I91" s="262">
        <v>0</v>
      </c>
      <c r="J91" s="262">
        <v>0</v>
      </c>
      <c r="K91" s="262">
        <v>0</v>
      </c>
      <c r="L91" s="262">
        <v>0</v>
      </c>
      <c r="M91" s="262">
        <v>0</v>
      </c>
      <c r="N91" s="262">
        <v>0</v>
      </c>
      <c r="O91" s="262">
        <f>Transports!$F$50+Transports!$D$107</f>
        <v>28.265597068016174</v>
      </c>
      <c r="P91" s="262">
        <v>0</v>
      </c>
      <c r="Q91" s="262">
        <v>0</v>
      </c>
      <c r="R91" s="273">
        <f t="shared" ref="R91:R98" si="29">SUM(C91:Q91)</f>
        <v>2508.7985796954122</v>
      </c>
      <c r="U91" s="547"/>
      <c r="V91" s="271" t="s">
        <v>42</v>
      </c>
      <c r="W91" s="262">
        <v>0</v>
      </c>
      <c r="X91" s="262">
        <v>0</v>
      </c>
      <c r="Y91" s="262">
        <f>Transports!$F$76+Transports!$D$150+Transports!$D$238</f>
        <v>2447.8686831647879</v>
      </c>
      <c r="Z91" s="262">
        <v>0</v>
      </c>
      <c r="AA91" s="262">
        <v>0</v>
      </c>
      <c r="AB91" s="262">
        <v>0</v>
      </c>
      <c r="AC91" s="262">
        <v>0</v>
      </c>
      <c r="AD91" s="262">
        <v>0</v>
      </c>
      <c r="AE91" s="262">
        <f>Transports!$D$236+Transports!$D$237</f>
        <v>0</v>
      </c>
      <c r="AF91" s="262">
        <v>0</v>
      </c>
      <c r="AG91" s="262">
        <v>0</v>
      </c>
      <c r="AH91" s="262">
        <v>0</v>
      </c>
      <c r="AI91" s="262">
        <f>Transports!$F$77+Transports!$D$151</f>
        <v>31.600253471972248</v>
      </c>
      <c r="AJ91" s="262">
        <v>0</v>
      </c>
      <c r="AK91" s="262">
        <v>0</v>
      </c>
      <c r="AL91" s="273">
        <f t="shared" ref="AL91:AL98" si="30">SUM(W91:AK91)</f>
        <v>2479.4689366367602</v>
      </c>
    </row>
    <row r="92" spans="1:38" ht="14.4" customHeight="1">
      <c r="A92" s="547"/>
      <c r="B92" s="271" t="s">
        <v>43</v>
      </c>
      <c r="C92" s="262">
        <v>0</v>
      </c>
      <c r="D92" s="262">
        <v>0</v>
      </c>
      <c r="E92" s="262">
        <f>'Résidentiel-tertiaire'!$D$167</f>
        <v>159.39011899345786</v>
      </c>
      <c r="F92" s="262">
        <v>0</v>
      </c>
      <c r="G92" s="262">
        <v>0</v>
      </c>
      <c r="H92" s="262">
        <v>0</v>
      </c>
      <c r="I92" s="262">
        <f>'Résidentiel-tertiaire'!$D$168*$I$51/SUM($I$51:$N$51)</f>
        <v>0</v>
      </c>
      <c r="J92" s="262">
        <f>'Résidentiel-tertiaire'!$D$168*$J$51/SUM($I$51:$N$51)</f>
        <v>0</v>
      </c>
      <c r="K92" s="262">
        <f>'Résidentiel-tertiaire'!$D$168*$K$51/SUM($I$51:$N$51)</f>
        <v>0</v>
      </c>
      <c r="L92" s="262">
        <f>'Résidentiel-tertiaire'!$D$168*$L$51/SUM($I$51:$N$51)</f>
        <v>0</v>
      </c>
      <c r="M92" s="262">
        <f>'Résidentiel-tertiaire'!$D$168*$M$51/SUM($I$51:$N$51)</f>
        <v>0</v>
      </c>
      <c r="N92" s="262">
        <f>'Résidentiel-tertiaire'!$D$168*$N$51/SUM($I$51:$N$51)</f>
        <v>43.354112366220541</v>
      </c>
      <c r="O92" s="262">
        <f>'Résidentiel-tertiaire'!$D$169</f>
        <v>324.20745098101798</v>
      </c>
      <c r="P92" s="262">
        <v>0</v>
      </c>
      <c r="Q92" s="262">
        <v>0</v>
      </c>
      <c r="R92" s="273">
        <f t="shared" si="29"/>
        <v>526.95168234069638</v>
      </c>
      <c r="U92" s="547"/>
      <c r="V92" s="271" t="s">
        <v>43</v>
      </c>
      <c r="W92" s="262">
        <v>0</v>
      </c>
      <c r="X92" s="262">
        <v>0</v>
      </c>
      <c r="Y92" s="262">
        <f>'Résidentiel-tertiaire'!$D$181</f>
        <v>135.68333333333334</v>
      </c>
      <c r="Z92" s="262">
        <v>0</v>
      </c>
      <c r="AA92" s="262">
        <v>0</v>
      </c>
      <c r="AB92" s="262">
        <v>0</v>
      </c>
      <c r="AC92" s="262">
        <f>'Résidentiel-tertiaire'!$D$182*$AC$51/SUM($I$51:$N$51)</f>
        <v>0</v>
      </c>
      <c r="AD92" s="262">
        <f>'Résidentiel-tertiaire'!$D$182*$AD$51/SUM($I$51:$N$51)</f>
        <v>0</v>
      </c>
      <c r="AE92" s="262">
        <f>'Résidentiel-tertiaire'!$D$182*$AE$51/SUM($I$51:$N$51)</f>
        <v>0</v>
      </c>
      <c r="AF92" s="262">
        <f>'Résidentiel-tertiaire'!$D$182*$AF$51/SUM($I$51:$N$51)</f>
        <v>0</v>
      </c>
      <c r="AG92" s="262">
        <f>'Résidentiel-tertiaire'!$D$182*$AG$51/SUM($I$51:$N$51)</f>
        <v>0</v>
      </c>
      <c r="AH92" s="262">
        <f>'Résidentiel-tertiaire'!$D$182*$AH$51/SUM($I$51:$N$51)</f>
        <v>86.726852843509377</v>
      </c>
      <c r="AI92" s="262">
        <f>'Résidentiel-tertiaire'!$D$183</f>
        <v>221.89244913958322</v>
      </c>
      <c r="AJ92" s="262">
        <v>0</v>
      </c>
      <c r="AK92" s="262">
        <v>0</v>
      </c>
      <c r="AL92" s="273">
        <f t="shared" si="30"/>
        <v>444.30263531642595</v>
      </c>
    </row>
    <row r="93" spans="1:38" ht="14.4" customHeight="1">
      <c r="A93" s="547"/>
      <c r="B93" s="271" t="s">
        <v>44</v>
      </c>
      <c r="C93" s="262">
        <v>0</v>
      </c>
      <c r="D93" s="262">
        <v>0</v>
      </c>
      <c r="E93" s="262">
        <f>'Résidentiel-tertiaire'!$D$172</f>
        <v>0</v>
      </c>
      <c r="F93" s="262">
        <v>0</v>
      </c>
      <c r="G93" s="262">
        <v>0</v>
      </c>
      <c r="H93" s="262">
        <v>0</v>
      </c>
      <c r="I93" s="262">
        <v>0</v>
      </c>
      <c r="J93" s="262">
        <v>0</v>
      </c>
      <c r="K93" s="262">
        <v>0</v>
      </c>
      <c r="L93" s="262">
        <v>0</v>
      </c>
      <c r="M93" s="262">
        <v>0</v>
      </c>
      <c r="N93" s="262">
        <v>0</v>
      </c>
      <c r="O93" s="262">
        <f>'Résidentiel-tertiaire'!$D$174</f>
        <v>413.29286189323125</v>
      </c>
      <c r="P93" s="262">
        <v>0</v>
      </c>
      <c r="Q93" s="262">
        <v>0</v>
      </c>
      <c r="R93" s="273">
        <f t="shared" si="29"/>
        <v>413.29286189323125</v>
      </c>
      <c r="U93" s="547"/>
      <c r="V93" s="271" t="s">
        <v>44</v>
      </c>
      <c r="W93" s="262">
        <v>0</v>
      </c>
      <c r="X93" s="262">
        <v>0</v>
      </c>
      <c r="Y93" s="262">
        <f>'Résidentiel-tertiaire'!$D$186</f>
        <v>0</v>
      </c>
      <c r="Z93" s="262">
        <v>0</v>
      </c>
      <c r="AA93" s="262">
        <v>0</v>
      </c>
      <c r="AB93" s="262">
        <v>0</v>
      </c>
      <c r="AC93" s="262">
        <v>0</v>
      </c>
      <c r="AD93" s="262">
        <v>0</v>
      </c>
      <c r="AE93" s="262">
        <v>0</v>
      </c>
      <c r="AF93" s="262">
        <v>0</v>
      </c>
      <c r="AG93" s="262">
        <v>0</v>
      </c>
      <c r="AH93" s="262">
        <v>0</v>
      </c>
      <c r="AI93" s="262">
        <f>'Résidentiel-tertiaire'!$D$188</f>
        <v>226.12534136186653</v>
      </c>
      <c r="AJ93" s="262">
        <v>0</v>
      </c>
      <c r="AK93" s="262">
        <v>0</v>
      </c>
      <c r="AL93" s="273">
        <f t="shared" si="30"/>
        <v>226.12534136186653</v>
      </c>
    </row>
    <row r="94" spans="1:38" ht="14.4" customHeight="1">
      <c r="A94" s="547"/>
      <c r="B94" s="271" t="s">
        <v>4</v>
      </c>
      <c r="C94" s="262">
        <v>0</v>
      </c>
      <c r="D94" s="262">
        <v>0</v>
      </c>
      <c r="E94" s="262">
        <f>Agriculture!$J$27</f>
        <v>63.374471925078048</v>
      </c>
      <c r="F94" s="262">
        <v>0</v>
      </c>
      <c r="G94" s="262">
        <v>0</v>
      </c>
      <c r="H94" s="262">
        <v>0</v>
      </c>
      <c r="I94" s="262">
        <v>0</v>
      </c>
      <c r="J94" s="262">
        <v>0</v>
      </c>
      <c r="K94" s="262">
        <v>0</v>
      </c>
      <c r="L94" s="262">
        <v>0</v>
      </c>
      <c r="M94" s="262">
        <v>0</v>
      </c>
      <c r="N94" s="262">
        <v>0</v>
      </c>
      <c r="O94" s="262">
        <f>Agriculture!$J$28</f>
        <v>0</v>
      </c>
      <c r="P94" s="262">
        <v>0</v>
      </c>
      <c r="Q94" s="262">
        <v>0</v>
      </c>
      <c r="R94" s="273">
        <f t="shared" si="29"/>
        <v>63.374471925078048</v>
      </c>
      <c r="U94" s="547"/>
      <c r="V94" s="271" t="s">
        <v>4</v>
      </c>
      <c r="W94" s="262">
        <v>0</v>
      </c>
      <c r="X94" s="262">
        <v>0</v>
      </c>
      <c r="Y94" s="262">
        <f>Agriculture!$M$43</f>
        <v>50.646774193548396</v>
      </c>
      <c r="Z94" s="262">
        <v>0</v>
      </c>
      <c r="AA94" s="262">
        <v>0</v>
      </c>
      <c r="AB94" s="262">
        <v>0</v>
      </c>
      <c r="AC94" s="262">
        <v>0</v>
      </c>
      <c r="AD94" s="262">
        <v>0</v>
      </c>
      <c r="AE94" s="262">
        <f>Agriculture!$M$45</f>
        <v>7.5483952258064511</v>
      </c>
      <c r="AF94" s="262">
        <v>0</v>
      </c>
      <c r="AG94" s="262">
        <v>0</v>
      </c>
      <c r="AH94" s="262">
        <v>0</v>
      </c>
      <c r="AI94" s="262">
        <f>Agriculture!$M$44</f>
        <v>0</v>
      </c>
      <c r="AJ94" s="262">
        <v>0</v>
      </c>
      <c r="AK94" s="262">
        <v>0</v>
      </c>
      <c r="AL94" s="273">
        <f t="shared" si="30"/>
        <v>58.195169419354848</v>
      </c>
    </row>
    <row r="95" spans="1:38" ht="14.4" customHeight="1">
      <c r="A95" s="547"/>
      <c r="B95" s="271" t="s">
        <v>385</v>
      </c>
      <c r="C95" s="262">
        <v>0</v>
      </c>
      <c r="D95" s="262">
        <v>0</v>
      </c>
      <c r="E95" s="262">
        <v>0</v>
      </c>
      <c r="F95" s="262">
        <v>0</v>
      </c>
      <c r="G95" s="262">
        <v>0</v>
      </c>
      <c r="H95" s="262">
        <v>0</v>
      </c>
      <c r="I95" s="262">
        <v>0</v>
      </c>
      <c r="J95" s="262">
        <v>0</v>
      </c>
      <c r="K95" s="262">
        <v>0</v>
      </c>
      <c r="L95" s="262">
        <v>0</v>
      </c>
      <c r="M95" s="262">
        <v>0</v>
      </c>
      <c r="N95" s="262">
        <v>0</v>
      </c>
      <c r="O95" s="262">
        <v>0</v>
      </c>
      <c r="P95" s="262">
        <v>0</v>
      </c>
      <c r="Q95" s="262">
        <v>0</v>
      </c>
      <c r="R95" s="273">
        <f t="shared" si="29"/>
        <v>0</v>
      </c>
      <c r="U95" s="547"/>
      <c r="V95" s="271" t="s">
        <v>385</v>
      </c>
      <c r="W95" s="262">
        <v>0</v>
      </c>
      <c r="X95" s="262">
        <v>0</v>
      </c>
      <c r="Y95" s="262">
        <v>0</v>
      </c>
      <c r="Z95" s="262">
        <v>0</v>
      </c>
      <c r="AA95" s="262">
        <v>0</v>
      </c>
      <c r="AB95" s="262">
        <v>0</v>
      </c>
      <c r="AC95" s="262">
        <v>0</v>
      </c>
      <c r="AD95" s="262">
        <v>0</v>
      </c>
      <c r="AE95" s="262">
        <v>0</v>
      </c>
      <c r="AF95" s="262">
        <v>0</v>
      </c>
      <c r="AG95" s="262">
        <v>0</v>
      </c>
      <c r="AH95" s="262">
        <v>0</v>
      </c>
      <c r="AI95" s="262">
        <v>0</v>
      </c>
      <c r="AJ95" s="262">
        <v>0</v>
      </c>
      <c r="AK95" s="262">
        <v>0</v>
      </c>
      <c r="AL95" s="273">
        <f t="shared" si="30"/>
        <v>0</v>
      </c>
    </row>
    <row r="96" spans="1:38" ht="14.4" customHeight="1">
      <c r="A96" s="547"/>
      <c r="B96" s="266" t="s">
        <v>45</v>
      </c>
      <c r="C96" s="267">
        <f>SUM(C90:C95)</f>
        <v>1498.2491033815525</v>
      </c>
      <c r="D96" s="267">
        <f t="shared" ref="D96:Q96" si="31">SUM(D90:D95)</f>
        <v>0</v>
      </c>
      <c r="E96" s="267">
        <f t="shared" si="31"/>
        <v>6110.3658552248944</v>
      </c>
      <c r="F96" s="267">
        <f t="shared" si="31"/>
        <v>0</v>
      </c>
      <c r="G96" s="267">
        <f t="shared" si="31"/>
        <v>0</v>
      </c>
      <c r="H96" s="267">
        <f t="shared" si="31"/>
        <v>0</v>
      </c>
      <c r="I96" s="267">
        <f t="shared" si="31"/>
        <v>0</v>
      </c>
      <c r="J96" s="267">
        <f t="shared" si="31"/>
        <v>0</v>
      </c>
      <c r="K96" s="267">
        <f t="shared" si="31"/>
        <v>0</v>
      </c>
      <c r="L96" s="267">
        <f t="shared" si="31"/>
        <v>0</v>
      </c>
      <c r="M96" s="267">
        <f t="shared" si="31"/>
        <v>0</v>
      </c>
      <c r="N96" s="267">
        <f t="shared" si="31"/>
        <v>43.354112366220541</v>
      </c>
      <c r="O96" s="267">
        <f t="shared" si="31"/>
        <v>4088.8541560015938</v>
      </c>
      <c r="P96" s="267">
        <f t="shared" si="31"/>
        <v>0</v>
      </c>
      <c r="Q96" s="267">
        <f t="shared" si="31"/>
        <v>0</v>
      </c>
      <c r="R96" s="267">
        <f t="shared" si="29"/>
        <v>11740.823226974262</v>
      </c>
      <c r="U96" s="547"/>
      <c r="V96" s="266" t="s">
        <v>45</v>
      </c>
      <c r="W96" s="267">
        <f>SUM(W90:W95)</f>
        <v>1084.434100071722</v>
      </c>
      <c r="X96" s="267">
        <f t="shared" ref="X96" si="32">SUM(X90:X95)</f>
        <v>0</v>
      </c>
      <c r="Y96" s="267">
        <f t="shared" ref="Y96" si="33">SUM(Y90:Y95)</f>
        <v>5100.2379944438317</v>
      </c>
      <c r="Z96" s="267">
        <f t="shared" ref="Z96" si="34">SUM(Z90:Z95)</f>
        <v>0</v>
      </c>
      <c r="AA96" s="267">
        <f t="shared" ref="AA96" si="35">SUM(AA90:AA95)</f>
        <v>0</v>
      </c>
      <c r="AB96" s="267">
        <f t="shared" ref="AB96" si="36">SUM(AB90:AB95)</f>
        <v>0</v>
      </c>
      <c r="AC96" s="267">
        <f t="shared" ref="AC96" si="37">SUM(AC90:AC95)</f>
        <v>220.08922925124887</v>
      </c>
      <c r="AD96" s="267">
        <f t="shared" ref="AD96" si="38">SUM(AD90:AD95)</f>
        <v>0</v>
      </c>
      <c r="AE96" s="267">
        <f t="shared" ref="AE96" si="39">SUM(AE90:AE95)</f>
        <v>7.5483952258064511</v>
      </c>
      <c r="AF96" s="267">
        <f t="shared" ref="AF96" si="40">SUM(AF90:AF95)</f>
        <v>36.705049408773462</v>
      </c>
      <c r="AG96" s="267">
        <f t="shared" ref="AG96" si="41">SUM(AG90:AG95)</f>
        <v>0</v>
      </c>
      <c r="AH96" s="267">
        <f t="shared" ref="AH96" si="42">SUM(AH90:AH95)</f>
        <v>87.475145404275992</v>
      </c>
      <c r="AI96" s="267">
        <f t="shared" ref="AI96" si="43">SUM(AI90:AI95)</f>
        <v>3920.0217218595903</v>
      </c>
      <c r="AJ96" s="267">
        <f t="shared" ref="AJ96" si="44">SUM(AJ90:AJ95)</f>
        <v>0</v>
      </c>
      <c r="AK96" s="267">
        <f t="shared" ref="AK96" si="45">SUM(AK90:AK95)</f>
        <v>0</v>
      </c>
      <c r="AL96" s="267">
        <f t="shared" si="30"/>
        <v>10456.511635665249</v>
      </c>
    </row>
    <row r="97" spans="1:38" ht="14.4" customHeight="1">
      <c r="A97" s="547"/>
      <c r="B97" s="261" t="s">
        <v>46</v>
      </c>
      <c r="C97" s="262">
        <f>Industrie!$D$50</f>
        <v>2234.7018964865151</v>
      </c>
      <c r="D97" s="262">
        <v>0</v>
      </c>
      <c r="E97" s="262">
        <f>Industrie!$D$49</f>
        <v>231.07324480013997</v>
      </c>
      <c r="F97" s="262">
        <v>0</v>
      </c>
      <c r="G97" s="262">
        <v>0</v>
      </c>
      <c r="H97" s="262">
        <v>0</v>
      </c>
      <c r="I97" s="262">
        <v>0</v>
      </c>
      <c r="J97" s="262">
        <v>0</v>
      </c>
      <c r="K97" s="262">
        <v>0</v>
      </c>
      <c r="L97" s="262">
        <v>0</v>
      </c>
      <c r="M97" s="262">
        <v>0</v>
      </c>
      <c r="N97" s="262">
        <v>0</v>
      </c>
      <c r="O97" s="262">
        <v>0</v>
      </c>
      <c r="P97" s="262">
        <v>0</v>
      </c>
      <c r="Q97" s="262">
        <v>0</v>
      </c>
      <c r="R97" s="273">
        <f t="shared" si="29"/>
        <v>2465.7751412866551</v>
      </c>
      <c r="U97" s="547"/>
      <c r="V97" s="261" t="s">
        <v>46</v>
      </c>
      <c r="W97" s="262">
        <f>Industrie!$D$82</f>
        <v>2102.3840210366557</v>
      </c>
      <c r="X97" s="262">
        <v>0</v>
      </c>
      <c r="Y97" s="262">
        <f>Industrie!$D$80</f>
        <v>193.05014236827694</v>
      </c>
      <c r="Z97" s="262">
        <v>0</v>
      </c>
      <c r="AA97" s="262">
        <v>0</v>
      </c>
      <c r="AB97" s="262">
        <v>0</v>
      </c>
      <c r="AC97" s="262">
        <f>Industrie!$D$84</f>
        <v>9.6525071184138458</v>
      </c>
      <c r="AD97" s="262">
        <v>0</v>
      </c>
      <c r="AE97" s="262">
        <v>0</v>
      </c>
      <c r="AF97" s="262">
        <v>0</v>
      </c>
      <c r="AG97" s="262">
        <v>0</v>
      </c>
      <c r="AH97" s="262">
        <v>0</v>
      </c>
      <c r="AI97" s="262">
        <v>0</v>
      </c>
      <c r="AJ97" s="262">
        <v>0</v>
      </c>
      <c r="AK97" s="262">
        <v>0</v>
      </c>
      <c r="AL97" s="273">
        <f t="shared" si="30"/>
        <v>2305.0866705233461</v>
      </c>
    </row>
    <row r="98" spans="1:38" ht="14.4" customHeight="1">
      <c r="A98" s="547"/>
      <c r="B98" s="266" t="s">
        <v>47</v>
      </c>
      <c r="C98" s="267">
        <f>C97+C96</f>
        <v>3732.9509998680678</v>
      </c>
      <c r="D98" s="267">
        <f t="shared" ref="D98:Q98" si="46">D97+D96</f>
        <v>0</v>
      </c>
      <c r="E98" s="267">
        <f t="shared" si="46"/>
        <v>6341.4391000250343</v>
      </c>
      <c r="F98" s="267">
        <f t="shared" si="46"/>
        <v>0</v>
      </c>
      <c r="G98" s="267">
        <f t="shared" si="46"/>
        <v>0</v>
      </c>
      <c r="H98" s="267">
        <f t="shared" si="46"/>
        <v>0</v>
      </c>
      <c r="I98" s="267">
        <f t="shared" si="46"/>
        <v>0</v>
      </c>
      <c r="J98" s="267">
        <f t="shared" si="46"/>
        <v>0</v>
      </c>
      <c r="K98" s="267">
        <f t="shared" si="46"/>
        <v>0</v>
      </c>
      <c r="L98" s="267">
        <f t="shared" si="46"/>
        <v>0</v>
      </c>
      <c r="M98" s="267">
        <f t="shared" si="46"/>
        <v>0</v>
      </c>
      <c r="N98" s="267">
        <f t="shared" si="46"/>
        <v>43.354112366220541</v>
      </c>
      <c r="O98" s="267">
        <f t="shared" si="46"/>
        <v>4088.8541560015938</v>
      </c>
      <c r="P98" s="267">
        <f t="shared" si="46"/>
        <v>0</v>
      </c>
      <c r="Q98" s="267">
        <f t="shared" si="46"/>
        <v>0</v>
      </c>
      <c r="R98" s="267">
        <f t="shared" si="29"/>
        <v>14206.598368260915</v>
      </c>
      <c r="U98" s="547"/>
      <c r="V98" s="266" t="s">
        <v>47</v>
      </c>
      <c r="W98" s="267">
        <f>W97+W96</f>
        <v>3186.8181211083775</v>
      </c>
      <c r="X98" s="267">
        <f t="shared" ref="X98" si="47">X97+X96</f>
        <v>0</v>
      </c>
      <c r="Y98" s="267">
        <f t="shared" ref="Y98" si="48">Y97+Y96</f>
        <v>5293.2881368121089</v>
      </c>
      <c r="Z98" s="267">
        <f t="shared" ref="Z98" si="49">Z97+Z96</f>
        <v>0</v>
      </c>
      <c r="AA98" s="267">
        <f t="shared" ref="AA98" si="50">AA97+AA96</f>
        <v>0</v>
      </c>
      <c r="AB98" s="267">
        <f t="shared" ref="AB98" si="51">AB97+AB96</f>
        <v>0</v>
      </c>
      <c r="AC98" s="267">
        <f t="shared" ref="AC98" si="52">AC97+AC96</f>
        <v>229.7417363696627</v>
      </c>
      <c r="AD98" s="267">
        <f t="shared" ref="AD98" si="53">AD97+AD96</f>
        <v>0</v>
      </c>
      <c r="AE98" s="267">
        <f t="shared" ref="AE98" si="54">AE97+AE96</f>
        <v>7.5483952258064511</v>
      </c>
      <c r="AF98" s="267">
        <f t="shared" ref="AF98" si="55">AF97+AF96</f>
        <v>36.705049408773462</v>
      </c>
      <c r="AG98" s="267">
        <f t="shared" ref="AG98" si="56">AG97+AG96</f>
        <v>0</v>
      </c>
      <c r="AH98" s="267">
        <f t="shared" ref="AH98" si="57">AH97+AH96</f>
        <v>87.475145404275992</v>
      </c>
      <c r="AI98" s="267">
        <f t="shared" ref="AI98" si="58">AI97+AI96</f>
        <v>3920.0217218595903</v>
      </c>
      <c r="AJ98" s="267">
        <f t="shared" ref="AJ98" si="59">AJ97+AJ96</f>
        <v>0</v>
      </c>
      <c r="AK98" s="267">
        <f t="shared" ref="AK98" si="60">AK97+AK96</f>
        <v>0</v>
      </c>
      <c r="AL98" s="267">
        <f t="shared" si="30"/>
        <v>12761.598306188596</v>
      </c>
    </row>
    <row r="100" spans="1:38">
      <c r="AD100" s="473">
        <f>AE68+AE69+AE72</f>
        <v>7.5483952258064502</v>
      </c>
    </row>
    <row r="101" spans="1:38">
      <c r="AF101" s="473">
        <f>AL98+AL88</f>
        <v>16044.925272812057</v>
      </c>
    </row>
    <row r="107" spans="1:38" ht="14.4" customHeight="1">
      <c r="A107" s="547">
        <v>2030</v>
      </c>
      <c r="B107" s="548" t="s">
        <v>12</v>
      </c>
      <c r="C107" s="549" t="s">
        <v>14</v>
      </c>
      <c r="D107" s="549" t="s">
        <v>15</v>
      </c>
      <c r="E107" s="549" t="s">
        <v>16</v>
      </c>
      <c r="F107" s="549" t="s">
        <v>17</v>
      </c>
      <c r="G107" s="549" t="s">
        <v>370</v>
      </c>
      <c r="H107" s="549" t="s">
        <v>18</v>
      </c>
      <c r="I107" s="549" t="s">
        <v>19</v>
      </c>
      <c r="J107" s="549"/>
      <c r="K107" s="549"/>
      <c r="L107" s="549"/>
      <c r="M107" s="549"/>
      <c r="N107" s="549"/>
      <c r="O107" s="550" t="s">
        <v>371</v>
      </c>
      <c r="P107" s="550" t="s">
        <v>21</v>
      </c>
      <c r="Q107" s="550" t="s">
        <v>372</v>
      </c>
      <c r="R107" s="550" t="s">
        <v>23</v>
      </c>
      <c r="U107" s="547">
        <v>2030</v>
      </c>
      <c r="V107" s="555" t="s">
        <v>12</v>
      </c>
      <c r="W107" s="550" t="s">
        <v>14</v>
      </c>
      <c r="X107" s="550" t="s">
        <v>15</v>
      </c>
      <c r="Y107" s="550" t="s">
        <v>16</v>
      </c>
      <c r="Z107" s="550" t="s">
        <v>17</v>
      </c>
      <c r="AA107" s="550" t="s">
        <v>370</v>
      </c>
      <c r="AB107" s="550" t="s">
        <v>18</v>
      </c>
      <c r="AC107" s="552" t="s">
        <v>19</v>
      </c>
      <c r="AD107" s="553"/>
      <c r="AE107" s="553"/>
      <c r="AF107" s="553"/>
      <c r="AG107" s="553"/>
      <c r="AH107" s="554"/>
      <c r="AI107" s="550" t="s">
        <v>371</v>
      </c>
      <c r="AJ107" s="550" t="s">
        <v>21</v>
      </c>
      <c r="AK107" s="550" t="s">
        <v>372</v>
      </c>
      <c r="AL107" s="550" t="s">
        <v>23</v>
      </c>
    </row>
    <row r="108" spans="1:38" ht="45.6">
      <c r="A108" s="547"/>
      <c r="B108" s="548"/>
      <c r="C108" s="549"/>
      <c r="D108" s="549"/>
      <c r="E108" s="549"/>
      <c r="F108" s="549"/>
      <c r="G108" s="549"/>
      <c r="H108" s="549"/>
      <c r="I108" s="259" t="s">
        <v>359</v>
      </c>
      <c r="J108" s="259" t="s">
        <v>7</v>
      </c>
      <c r="K108" s="259" t="s">
        <v>360</v>
      </c>
      <c r="L108" s="259" t="s">
        <v>373</v>
      </c>
      <c r="M108" s="260" t="s">
        <v>374</v>
      </c>
      <c r="N108" s="259" t="s">
        <v>375</v>
      </c>
      <c r="O108" s="550"/>
      <c r="P108" s="550"/>
      <c r="Q108" s="550"/>
      <c r="R108" s="550"/>
      <c r="U108" s="547"/>
      <c r="V108" s="556"/>
      <c r="W108" s="551"/>
      <c r="X108" s="551"/>
      <c r="Y108" s="551"/>
      <c r="Z108" s="551"/>
      <c r="AA108" s="551"/>
      <c r="AB108" s="551"/>
      <c r="AC108" s="259" t="s">
        <v>359</v>
      </c>
      <c r="AD108" s="259" t="s">
        <v>7</v>
      </c>
      <c r="AE108" s="259" t="s">
        <v>360</v>
      </c>
      <c r="AF108" s="259" t="s">
        <v>373</v>
      </c>
      <c r="AG108" s="260" t="s">
        <v>374</v>
      </c>
      <c r="AH108" s="259" t="s">
        <v>375</v>
      </c>
      <c r="AI108" s="551"/>
      <c r="AJ108" s="551"/>
      <c r="AK108" s="551"/>
      <c r="AL108" s="551"/>
    </row>
    <row r="109" spans="1:38" ht="14.4" customHeight="1">
      <c r="A109" s="547"/>
      <c r="B109" s="261" t="s">
        <v>24</v>
      </c>
      <c r="C109" s="262">
        <v>0</v>
      </c>
      <c r="D109" s="263">
        <v>0</v>
      </c>
      <c r="E109" s="263">
        <v>0</v>
      </c>
      <c r="F109" s="262">
        <v>0</v>
      </c>
      <c r="G109" s="263">
        <v>0</v>
      </c>
      <c r="H109" s="263">
        <f>H115</f>
        <v>1103.5417545405014</v>
      </c>
      <c r="I109" s="263">
        <f>I115</f>
        <v>12.337596024829276</v>
      </c>
      <c r="J109" s="263">
        <v>0</v>
      </c>
      <c r="K109" s="263">
        <v>0</v>
      </c>
      <c r="L109" s="263">
        <f>L115</f>
        <v>0</v>
      </c>
      <c r="M109" s="263">
        <v>0</v>
      </c>
      <c r="N109" s="263">
        <f>N115</f>
        <v>46.530872671404332</v>
      </c>
      <c r="O109" s="264">
        <v>0</v>
      </c>
      <c r="P109" s="263">
        <v>0</v>
      </c>
      <c r="Q109" s="263">
        <v>0</v>
      </c>
      <c r="R109" s="265">
        <f>SUM(C109:Q109)</f>
        <v>1162.410223236735</v>
      </c>
      <c r="U109" s="547"/>
      <c r="V109" s="261" t="s">
        <v>24</v>
      </c>
      <c r="W109" s="262">
        <v>0</v>
      </c>
      <c r="X109" s="263">
        <v>0</v>
      </c>
      <c r="Y109" s="263">
        <v>0</v>
      </c>
      <c r="Z109" s="262">
        <v>0</v>
      </c>
      <c r="AA109" s="263">
        <v>0</v>
      </c>
      <c r="AB109" s="263">
        <f>AB115</f>
        <v>2468.2789339600918</v>
      </c>
      <c r="AC109" s="471">
        <f>IF((AC115-$AC$27)&gt;0,$AC$27+(AC115-$AC$27)*0.5,AC115)</f>
        <v>921.02361382805736</v>
      </c>
      <c r="AD109" s="471">
        <f>AD115</f>
        <v>1285.5619447708809</v>
      </c>
      <c r="AE109" s="471">
        <f>IF((AE115-$AE$27)&gt;0,$AE$27+(AE115-AE112-AE113-$AE$27)*0.5,AE115-AE112-AE$72)</f>
        <v>12.54209269590725</v>
      </c>
      <c r="AF109" s="263">
        <f>AF115</f>
        <v>89.54501465771574</v>
      </c>
      <c r="AG109" s="263">
        <v>0</v>
      </c>
      <c r="AH109" s="263">
        <f>AH115</f>
        <v>78.736335358865773</v>
      </c>
      <c r="AI109" s="264">
        <v>0</v>
      </c>
      <c r="AJ109" s="263">
        <v>0</v>
      </c>
      <c r="AK109" s="263">
        <v>0</v>
      </c>
      <c r="AL109" s="265">
        <f>SUM(W109:AK109)</f>
        <v>4855.6879352715196</v>
      </c>
    </row>
    <row r="110" spans="1:38" ht="14.4" customHeight="1">
      <c r="A110" s="547"/>
      <c r="B110" s="261" t="s">
        <v>28</v>
      </c>
      <c r="C110" s="470">
        <f>C115</f>
        <v>11331.935638276278</v>
      </c>
      <c r="D110" s="263">
        <f>D115</f>
        <v>0</v>
      </c>
      <c r="E110" s="471">
        <f>E115-E112-E113</f>
        <v>11391.234405191386</v>
      </c>
      <c r="F110" s="262">
        <v>0</v>
      </c>
      <c r="G110" s="263">
        <v>0</v>
      </c>
      <c r="H110" s="263">
        <v>0</v>
      </c>
      <c r="I110" s="263">
        <v>0</v>
      </c>
      <c r="J110" s="263">
        <v>0</v>
      </c>
      <c r="K110" s="263">
        <f>K115</f>
        <v>0</v>
      </c>
      <c r="L110" s="263">
        <v>0</v>
      </c>
      <c r="M110" s="263">
        <v>0</v>
      </c>
      <c r="N110" s="263">
        <v>0</v>
      </c>
      <c r="O110" s="264">
        <v>0</v>
      </c>
      <c r="P110" s="263">
        <v>0</v>
      </c>
      <c r="Q110" s="263">
        <v>0</v>
      </c>
      <c r="R110" s="265">
        <f t="shared" ref="R110:R115" si="61">SUM(C110:Q110)</f>
        <v>22723.170043467664</v>
      </c>
      <c r="U110" s="547"/>
      <c r="V110" s="261" t="s">
        <v>28</v>
      </c>
      <c r="W110" s="262">
        <f>W115</f>
        <v>5939.3817591602128</v>
      </c>
      <c r="X110" s="263">
        <f>X115</f>
        <v>0</v>
      </c>
      <c r="Y110" s="471">
        <f>Y115-Y112-Y113</f>
        <v>6095.8057858205329</v>
      </c>
      <c r="Z110" s="470">
        <v>0</v>
      </c>
      <c r="AA110" s="471">
        <v>0</v>
      </c>
      <c r="AB110" s="471">
        <v>0</v>
      </c>
      <c r="AC110" s="471">
        <f>IF((AC115-$AC$27)&gt;0,(AC115-$AC$27)*0.5,0)</f>
        <v>921.02361382805736</v>
      </c>
      <c r="AD110" s="471">
        <v>0</v>
      </c>
      <c r="AE110" s="471">
        <f>IF((AE115-AE112-AE113-$AE$27)&gt;0,(AE115-AE112-AE113-$AE$27)*0.5,0)</f>
        <v>12.54209269590725</v>
      </c>
      <c r="AF110" s="263">
        <v>0</v>
      </c>
      <c r="AG110" s="263">
        <v>0</v>
      </c>
      <c r="AH110" s="263">
        <v>0</v>
      </c>
      <c r="AI110" s="264">
        <v>0</v>
      </c>
      <c r="AJ110" s="263">
        <v>0</v>
      </c>
      <c r="AK110" s="263">
        <v>0</v>
      </c>
      <c r="AL110" s="265">
        <f t="shared" ref="AL110:AL115" si="62">SUM(W110:AK110)</f>
        <v>12968.75325150471</v>
      </c>
    </row>
    <row r="111" spans="1:38" ht="14.4" customHeight="1">
      <c r="A111" s="547"/>
      <c r="B111" s="261" t="s">
        <v>29</v>
      </c>
      <c r="C111" s="262">
        <v>0</v>
      </c>
      <c r="D111" s="263">
        <v>0</v>
      </c>
      <c r="E111" s="263">
        <v>0</v>
      </c>
      <c r="F111" s="262">
        <v>0</v>
      </c>
      <c r="G111" s="263">
        <v>0</v>
      </c>
      <c r="H111" s="263">
        <v>0</v>
      </c>
      <c r="I111" s="263">
        <v>0</v>
      </c>
      <c r="J111" s="263">
        <v>0</v>
      </c>
      <c r="K111" s="263">
        <v>0</v>
      </c>
      <c r="L111" s="263">
        <v>0</v>
      </c>
      <c r="M111" s="263">
        <v>0</v>
      </c>
      <c r="N111" s="263">
        <v>0</v>
      </c>
      <c r="O111" s="264">
        <v>0</v>
      </c>
      <c r="P111" s="263">
        <v>0</v>
      </c>
      <c r="Q111" s="263">
        <v>0</v>
      </c>
      <c r="R111" s="265">
        <f t="shared" si="61"/>
        <v>0</v>
      </c>
      <c r="U111" s="547"/>
      <c r="V111" s="261" t="s">
        <v>29</v>
      </c>
      <c r="W111" s="262">
        <v>0</v>
      </c>
      <c r="X111" s="263">
        <v>0</v>
      </c>
      <c r="Y111" s="263">
        <v>0</v>
      </c>
      <c r="Z111" s="262">
        <v>0</v>
      </c>
      <c r="AA111" s="263">
        <v>0</v>
      </c>
      <c r="AB111" s="263">
        <v>0</v>
      </c>
      <c r="AC111" s="263">
        <v>0</v>
      </c>
      <c r="AD111" s="471">
        <v>0</v>
      </c>
      <c r="AE111" s="263">
        <v>0</v>
      </c>
      <c r="AF111" s="263">
        <v>0</v>
      </c>
      <c r="AG111" s="263">
        <v>0</v>
      </c>
      <c r="AH111" s="263">
        <v>0</v>
      </c>
      <c r="AI111" s="264">
        <v>0</v>
      </c>
      <c r="AJ111" s="263">
        <v>0</v>
      </c>
      <c r="AK111" s="263">
        <v>0</v>
      </c>
      <c r="AL111" s="265">
        <f t="shared" si="62"/>
        <v>0</v>
      </c>
    </row>
    <row r="112" spans="1:38" ht="14.4" customHeight="1">
      <c r="A112" s="547"/>
      <c r="B112" s="261" t="s">
        <v>30</v>
      </c>
      <c r="C112" s="262">
        <v>0</v>
      </c>
      <c r="D112" s="263">
        <v>0</v>
      </c>
      <c r="E112" s="263">
        <f>-Transports!$E$125</f>
        <v>-227.72400000000005</v>
      </c>
      <c r="F112" s="262">
        <v>0</v>
      </c>
      <c r="G112" s="263">
        <v>0</v>
      </c>
      <c r="H112" s="263">
        <v>0</v>
      </c>
      <c r="I112" s="263">
        <v>0</v>
      </c>
      <c r="J112" s="263">
        <v>0</v>
      </c>
      <c r="K112" s="263">
        <v>0</v>
      </c>
      <c r="L112" s="263">
        <v>0</v>
      </c>
      <c r="M112" s="263">
        <v>0</v>
      </c>
      <c r="N112" s="263">
        <v>0</v>
      </c>
      <c r="O112" s="264">
        <v>0</v>
      </c>
      <c r="P112" s="263">
        <v>0</v>
      </c>
      <c r="Q112" s="263">
        <v>0</v>
      </c>
      <c r="R112" s="265">
        <f t="shared" si="61"/>
        <v>-227.72400000000005</v>
      </c>
      <c r="U112" s="547"/>
      <c r="V112" s="261" t="s">
        <v>30</v>
      </c>
      <c r="W112" s="262">
        <v>0</v>
      </c>
      <c r="X112" s="263">
        <v>0</v>
      </c>
      <c r="Y112" s="471">
        <f>-Transports!$E$172-Transports!$E$171</f>
        <v>-222.4928544</v>
      </c>
      <c r="Z112" s="470">
        <v>0</v>
      </c>
      <c r="AA112" s="471">
        <v>0</v>
      </c>
      <c r="AB112" s="471">
        <v>0</v>
      </c>
      <c r="AC112" s="471">
        <v>0</v>
      </c>
      <c r="AD112" s="471">
        <v>0</v>
      </c>
      <c r="AE112" s="471">
        <f>-Transports!$E$170</f>
        <v>-0.89354560000000005</v>
      </c>
      <c r="AF112" s="263">
        <v>0</v>
      </c>
      <c r="AG112" s="263">
        <v>0</v>
      </c>
      <c r="AH112" s="263">
        <v>0</v>
      </c>
      <c r="AI112" s="264">
        <v>0</v>
      </c>
      <c r="AJ112" s="263">
        <v>0</v>
      </c>
      <c r="AK112" s="263">
        <v>0</v>
      </c>
      <c r="AL112" s="265">
        <f t="shared" si="62"/>
        <v>-223.38640000000001</v>
      </c>
    </row>
    <row r="113" spans="1:38" ht="14.4" customHeight="1">
      <c r="A113" s="547"/>
      <c r="B113" s="261" t="s">
        <v>31</v>
      </c>
      <c r="C113" s="262">
        <v>0</v>
      </c>
      <c r="D113" s="263">
        <v>0</v>
      </c>
      <c r="E113" s="263">
        <f>-Transports!$E$202</f>
        <v>-183.41311486793393</v>
      </c>
      <c r="F113" s="262">
        <v>0</v>
      </c>
      <c r="G113" s="263">
        <v>0</v>
      </c>
      <c r="H113" s="263">
        <v>0</v>
      </c>
      <c r="I113" s="263">
        <v>0</v>
      </c>
      <c r="J113" s="263">
        <v>0</v>
      </c>
      <c r="K113" s="263">
        <v>0</v>
      </c>
      <c r="L113" s="263">
        <v>0</v>
      </c>
      <c r="M113" s="263">
        <v>0</v>
      </c>
      <c r="N113" s="263">
        <v>0</v>
      </c>
      <c r="O113" s="264">
        <v>0</v>
      </c>
      <c r="P113" s="263">
        <v>0</v>
      </c>
      <c r="Q113" s="263">
        <v>0</v>
      </c>
      <c r="R113" s="265">
        <f t="shared" si="61"/>
        <v>-183.41311486793393</v>
      </c>
      <c r="U113" s="547"/>
      <c r="V113" s="261" t="s">
        <v>31</v>
      </c>
      <c r="W113" s="262">
        <v>0</v>
      </c>
      <c r="X113" s="263">
        <v>0</v>
      </c>
      <c r="Y113" s="471">
        <f>-Transports!$E$234</f>
        <v>-168.71310458872986</v>
      </c>
      <c r="Z113" s="470">
        <v>0</v>
      </c>
      <c r="AA113" s="471">
        <v>0</v>
      </c>
      <c r="AB113" s="471">
        <v>0</v>
      </c>
      <c r="AC113" s="471">
        <v>0</v>
      </c>
      <c r="AD113" s="471">
        <v>0</v>
      </c>
      <c r="AE113" s="471">
        <f>-Transports!$E$233-Transports!$E$232</f>
        <v>-8.8796370836173626</v>
      </c>
      <c r="AF113" s="263">
        <v>0</v>
      </c>
      <c r="AG113" s="263">
        <v>0</v>
      </c>
      <c r="AH113" s="263">
        <v>0</v>
      </c>
      <c r="AI113" s="264">
        <v>0</v>
      </c>
      <c r="AJ113" s="263">
        <v>0</v>
      </c>
      <c r="AK113" s="263">
        <v>0</v>
      </c>
      <c r="AL113" s="265">
        <f t="shared" si="62"/>
        <v>-177.59274167234722</v>
      </c>
    </row>
    <row r="114" spans="1:38" ht="14.4" customHeight="1">
      <c r="A114" s="547"/>
      <c r="B114" s="261" t="s">
        <v>32</v>
      </c>
      <c r="C114" s="262">
        <v>0</v>
      </c>
      <c r="D114" s="263">
        <v>0</v>
      </c>
      <c r="E114" s="263">
        <v>0</v>
      </c>
      <c r="F114" s="262">
        <v>0</v>
      </c>
      <c r="G114" s="263">
        <v>0</v>
      </c>
      <c r="H114" s="263">
        <v>0</v>
      </c>
      <c r="I114" s="263">
        <v>0</v>
      </c>
      <c r="J114" s="263">
        <v>0</v>
      </c>
      <c r="K114" s="263">
        <v>0</v>
      </c>
      <c r="L114" s="263">
        <v>0</v>
      </c>
      <c r="M114" s="263">
        <v>0</v>
      </c>
      <c r="N114" s="263">
        <v>0</v>
      </c>
      <c r="O114" s="264">
        <v>0</v>
      </c>
      <c r="P114" s="263">
        <v>0</v>
      </c>
      <c r="Q114" s="263">
        <v>0</v>
      </c>
      <c r="R114" s="265">
        <f t="shared" si="61"/>
        <v>0</v>
      </c>
      <c r="U114" s="547"/>
      <c r="V114" s="261" t="s">
        <v>32</v>
      </c>
      <c r="W114" s="262">
        <v>0</v>
      </c>
      <c r="X114" s="263">
        <v>0</v>
      </c>
      <c r="Y114" s="263">
        <v>0</v>
      </c>
      <c r="Z114" s="262">
        <v>0</v>
      </c>
      <c r="AA114" s="263">
        <v>0</v>
      </c>
      <c r="AB114" s="263">
        <v>0</v>
      </c>
      <c r="AC114" s="263">
        <v>0</v>
      </c>
      <c r="AD114" s="471">
        <v>0</v>
      </c>
      <c r="AE114" s="263">
        <v>0</v>
      </c>
      <c r="AF114" s="263">
        <v>0</v>
      </c>
      <c r="AG114" s="263">
        <v>0</v>
      </c>
      <c r="AH114" s="263">
        <v>0</v>
      </c>
      <c r="AI114" s="264">
        <v>0</v>
      </c>
      <c r="AJ114" s="263">
        <v>0</v>
      </c>
      <c r="AK114" s="263">
        <v>0</v>
      </c>
      <c r="AL114" s="265">
        <f t="shared" si="62"/>
        <v>0</v>
      </c>
    </row>
    <row r="115" spans="1:38" ht="14.4" customHeight="1">
      <c r="A115" s="547"/>
      <c r="B115" s="266" t="s">
        <v>376</v>
      </c>
      <c r="C115" s="267">
        <f>C129+C139</f>
        <v>11331.935638276278</v>
      </c>
      <c r="D115" s="267">
        <f>D129+D139</f>
        <v>0</v>
      </c>
      <c r="E115" s="267">
        <f>E129+E139</f>
        <v>10980.097290323452</v>
      </c>
      <c r="F115" s="267">
        <f t="shared" ref="F115:G115" si="63">SUM(F109:F114)</f>
        <v>0</v>
      </c>
      <c r="G115" s="267">
        <f t="shared" si="63"/>
        <v>0</v>
      </c>
      <c r="H115" s="267">
        <f>H129</f>
        <v>1103.5417545405014</v>
      </c>
      <c r="I115" s="267">
        <f>I129+I137</f>
        <v>12.337596024829276</v>
      </c>
      <c r="J115" s="267">
        <f t="shared" ref="J115" si="64">SUM(J109:J114)</f>
        <v>0</v>
      </c>
      <c r="K115" s="267">
        <f>K129+K139</f>
        <v>0</v>
      </c>
      <c r="L115" s="267">
        <f>L129+L139</f>
        <v>0</v>
      </c>
      <c r="M115" s="267">
        <f t="shared" ref="M115" si="65">SUM(M109:M114)</f>
        <v>0</v>
      </c>
      <c r="N115" s="267">
        <f>N129+N139</f>
        <v>46.530872671404332</v>
      </c>
      <c r="O115" s="267">
        <f t="shared" ref="O115:Q115" si="66">SUM(O109:O114)</f>
        <v>0</v>
      </c>
      <c r="P115" s="267">
        <f t="shared" si="66"/>
        <v>0</v>
      </c>
      <c r="Q115" s="267">
        <f t="shared" si="66"/>
        <v>0</v>
      </c>
      <c r="R115" s="267">
        <f t="shared" si="61"/>
        <v>23474.443151836462</v>
      </c>
      <c r="U115" s="547"/>
      <c r="V115" s="266" t="s">
        <v>376</v>
      </c>
      <c r="W115" s="472">
        <f>W139+W129</f>
        <v>5939.3817591602128</v>
      </c>
      <c r="X115" s="267">
        <f>X129+X139</f>
        <v>0</v>
      </c>
      <c r="Y115" s="267">
        <f>Y129+Y139</f>
        <v>5704.5998268318026</v>
      </c>
      <c r="Z115" s="267">
        <f t="shared" ref="Z115:AA115" si="67">SUM(Z109:Z114)</f>
        <v>0</v>
      </c>
      <c r="AA115" s="267">
        <f t="shared" si="67"/>
        <v>0</v>
      </c>
      <c r="AB115" s="267">
        <f>AB129</f>
        <v>2468.2789339600918</v>
      </c>
      <c r="AC115" s="267">
        <f>AC129+AC139</f>
        <v>1842.0472276561147</v>
      </c>
      <c r="AD115" s="472">
        <f>AD129</f>
        <v>1285.5619447708809</v>
      </c>
      <c r="AE115" s="267">
        <f>AE129+AE139</f>
        <v>15.311002708197138</v>
      </c>
      <c r="AF115" s="267">
        <f>AF129+AF139</f>
        <v>89.54501465771574</v>
      </c>
      <c r="AG115" s="267">
        <f t="shared" ref="AG115" si="68">SUM(AG109:AG114)</f>
        <v>0</v>
      </c>
      <c r="AH115" s="267">
        <f>AH129+AH139</f>
        <v>78.736335358865773</v>
      </c>
      <c r="AI115" s="267">
        <f t="shared" ref="AI115:AK115" si="69">SUM(AI109:AI114)</f>
        <v>0</v>
      </c>
      <c r="AJ115" s="267">
        <f t="shared" si="69"/>
        <v>0</v>
      </c>
      <c r="AK115" s="267">
        <f t="shared" si="69"/>
        <v>0</v>
      </c>
      <c r="AL115" s="267">
        <f t="shared" si="62"/>
        <v>17423.462045103883</v>
      </c>
    </row>
    <row r="116" spans="1:38" ht="14.4" customHeight="1">
      <c r="A116" s="547"/>
      <c r="B116" s="268"/>
      <c r="C116" s="269"/>
      <c r="D116" s="237"/>
      <c r="E116" s="270"/>
      <c r="F116" s="269"/>
      <c r="G116" s="269"/>
      <c r="H116" s="269"/>
      <c r="I116" s="269"/>
      <c r="J116" s="269"/>
      <c r="K116" s="269"/>
      <c r="L116" s="269"/>
      <c r="M116" s="269"/>
      <c r="N116" s="269"/>
      <c r="O116" s="278"/>
      <c r="P116" s="269"/>
      <c r="Q116" s="269"/>
      <c r="R116" s="269"/>
      <c r="U116" s="547"/>
      <c r="V116" s="268"/>
      <c r="W116" s="269"/>
      <c r="X116" s="237"/>
      <c r="Y116" s="270"/>
      <c r="Z116" s="269"/>
      <c r="AA116" s="269"/>
      <c r="AB116" s="269"/>
      <c r="AC116" s="269"/>
      <c r="AD116" s="269"/>
      <c r="AE116" s="269"/>
      <c r="AF116" s="269"/>
      <c r="AG116" s="269"/>
      <c r="AH116" s="269"/>
      <c r="AI116" s="278"/>
      <c r="AJ116" s="269"/>
      <c r="AK116" s="269"/>
      <c r="AL116" s="269"/>
    </row>
    <row r="117" spans="1:38" ht="14.4" customHeight="1">
      <c r="A117" s="547"/>
      <c r="B117" s="271" t="s">
        <v>377</v>
      </c>
      <c r="C117" s="262">
        <v>0</v>
      </c>
      <c r="D117" s="272">
        <v>0</v>
      </c>
      <c r="E117" s="272">
        <v>0</v>
      </c>
      <c r="F117" s="262">
        <v>0</v>
      </c>
      <c r="G117" s="262">
        <v>0</v>
      </c>
      <c r="H117" s="262">
        <v>0</v>
      </c>
      <c r="I117" s="262">
        <v>0</v>
      </c>
      <c r="J117" s="262">
        <v>0</v>
      </c>
      <c r="K117" s="262">
        <v>0</v>
      </c>
      <c r="L117" s="262">
        <v>0</v>
      </c>
      <c r="M117" s="262">
        <v>0</v>
      </c>
      <c r="N117" s="262">
        <v>0</v>
      </c>
      <c r="O117" s="262">
        <v>0</v>
      </c>
      <c r="P117" s="262">
        <v>0</v>
      </c>
      <c r="Q117" s="262">
        <v>0</v>
      </c>
      <c r="R117" s="273">
        <f>SUM(C117:Q117)</f>
        <v>0</v>
      </c>
      <c r="U117" s="547"/>
      <c r="V117" s="271" t="s">
        <v>377</v>
      </c>
      <c r="W117" s="262">
        <v>0</v>
      </c>
      <c r="X117" s="272">
        <v>0</v>
      </c>
      <c r="Y117" s="272">
        <v>0</v>
      </c>
      <c r="Z117" s="262">
        <v>0</v>
      </c>
      <c r="AA117" s="262">
        <v>0</v>
      </c>
      <c r="AB117" s="262">
        <v>0</v>
      </c>
      <c r="AC117" s="262">
        <v>0</v>
      </c>
      <c r="AD117" s="262">
        <v>0</v>
      </c>
      <c r="AE117" s="262">
        <v>0</v>
      </c>
      <c r="AF117" s="262">
        <v>0</v>
      </c>
      <c r="AG117" s="262">
        <v>0</v>
      </c>
      <c r="AH117" s="262">
        <v>0</v>
      </c>
      <c r="AI117" s="262">
        <v>0</v>
      </c>
      <c r="AJ117" s="262">
        <v>0</v>
      </c>
      <c r="AK117" s="262">
        <v>0</v>
      </c>
      <c r="AL117" s="273">
        <f>SUM(W117:AK117)</f>
        <v>0</v>
      </c>
    </row>
    <row r="118" spans="1:38" ht="14.4" customHeight="1">
      <c r="A118" s="547"/>
      <c r="B118" s="271" t="s">
        <v>378</v>
      </c>
      <c r="C118" s="262">
        <f>O118*'Prod Energie'!$E$37/(-$J$13)</f>
        <v>6716.9631553253157</v>
      </c>
      <c r="D118" s="262">
        <v>0</v>
      </c>
      <c r="E118" s="262">
        <f>O118*'Prod Energie'!$E$38/(-$K$13)</f>
        <v>3948.9394921976623</v>
      </c>
      <c r="F118" s="262">
        <v>0</v>
      </c>
      <c r="G118" s="262">
        <v>0</v>
      </c>
      <c r="H118" s="262">
        <f>(O118)*('Prod Energie'!$E$39+'Prod Energie'!$E$44+'Prod Energie'!$E$45)/(-$L$13)</f>
        <v>1103.5417545405014</v>
      </c>
      <c r="I118" s="274">
        <f>(O118)*('Prod Energie'!$E$43)/(-$M$13)</f>
        <v>12.337596024829276</v>
      </c>
      <c r="J118" s="274">
        <f>(O118)*$L$17*('Prod Energie'!$E$41)</f>
        <v>0</v>
      </c>
      <c r="K118" s="274">
        <f>(O118)*$L$17*('Prod Energie'!$E$42)</f>
        <v>0</v>
      </c>
      <c r="L118" s="274">
        <f>(O118)*$L$17*('Prod Energie'!$E$46)</f>
        <v>0</v>
      </c>
      <c r="M118" s="274">
        <v>0</v>
      </c>
      <c r="N118" s="274">
        <f>0</f>
        <v>0</v>
      </c>
      <c r="O118" s="262">
        <f>O129/(1+$F$17+$F$18)</f>
        <v>-5194.2841607359815</v>
      </c>
      <c r="P118" s="262">
        <v>0</v>
      </c>
      <c r="Q118" s="262">
        <v>0</v>
      </c>
      <c r="R118" s="273">
        <f t="shared" ref="R118:R129" si="70">SUM(C118:Q118)</f>
        <v>6587.4978373523272</v>
      </c>
      <c r="U118" s="547"/>
      <c r="V118" s="271" t="s">
        <v>378</v>
      </c>
      <c r="W118" s="470">
        <f>AI118*'Prod Energie'!$E$59/(-$J$13)</f>
        <v>2731.8191326381243</v>
      </c>
      <c r="X118" s="470">
        <v>0</v>
      </c>
      <c r="Y118" s="470">
        <f>AI118*'Prod Energie'!$E$60/(-$K$13)</f>
        <v>1753.0390155966556</v>
      </c>
      <c r="Z118" s="470">
        <v>0</v>
      </c>
      <c r="AA118" s="470">
        <v>0</v>
      </c>
      <c r="AB118" s="470">
        <f>(AI118)*('Prod Energie'!$E$61+'Prod Energie'!$E$66+'Prod Energie'!$E$67)/(-$L$13)</f>
        <v>2468.2789339600918</v>
      </c>
      <c r="AC118" s="274">
        <f>(AI118)*'Prod Energie'!$E$65/(-$M$13)</f>
        <v>1285.5619447708809</v>
      </c>
      <c r="AD118" s="274">
        <f>(AI118)*('Prod Energie'!$E$63)/(-$N$13)</f>
        <v>1285.5619447708809</v>
      </c>
      <c r="AE118" s="274">
        <f>(AI118)*('Prod Energie'!$E$64)/(-$M$13)</f>
        <v>0</v>
      </c>
      <c r="AF118" s="274">
        <f>(AI118)*('Prod Energie'!$E$68)/(-$P$13)</f>
        <v>0</v>
      </c>
      <c r="AG118" s="274">
        <v>0</v>
      </c>
      <c r="AH118" s="274">
        <f>(AI118)*'Prod Energie'!$E$62/(-$Q$13)</f>
        <v>0</v>
      </c>
      <c r="AI118" s="262">
        <f>AI129/(1+$F$17+$F$18)</f>
        <v>-5142.2477790835237</v>
      </c>
      <c r="AJ118" s="262">
        <v>0</v>
      </c>
      <c r="AK118" s="262">
        <v>0</v>
      </c>
      <c r="AL118" s="273">
        <f t="shared" ref="AL118:AL129" si="71">SUM(W118:AK118)</f>
        <v>4382.0131926531103</v>
      </c>
    </row>
    <row r="119" spans="1:38" ht="14.4" customHeight="1">
      <c r="A119" s="547"/>
      <c r="B119" s="271" t="s">
        <v>379</v>
      </c>
      <c r="C119" s="262">
        <v>0</v>
      </c>
      <c r="D119" s="262">
        <v>0</v>
      </c>
      <c r="E119" s="262">
        <v>0</v>
      </c>
      <c r="F119" s="262">
        <v>0</v>
      </c>
      <c r="G119" s="262">
        <v>0</v>
      </c>
      <c r="H119" s="262">
        <v>0</v>
      </c>
      <c r="I119" s="274">
        <f>$P$119*$L$18*V$17</f>
        <v>0</v>
      </c>
      <c r="J119" s="274">
        <f t="shared" ref="J119:N119" si="72">$P$119*$L$18*W$17</f>
        <v>0</v>
      </c>
      <c r="K119" s="274">
        <f t="shared" si="72"/>
        <v>0</v>
      </c>
      <c r="L119" s="274">
        <f t="shared" si="72"/>
        <v>0</v>
      </c>
      <c r="M119" s="274">
        <f t="shared" si="72"/>
        <v>0</v>
      </c>
      <c r="N119" s="274">
        <f t="shared" si="72"/>
        <v>0</v>
      </c>
      <c r="O119" s="262">
        <v>0</v>
      </c>
      <c r="P119" s="262">
        <f>P129/(1+$R$18)</f>
        <v>0</v>
      </c>
      <c r="Q119" s="262">
        <v>0</v>
      </c>
      <c r="R119" s="273">
        <f t="shared" si="70"/>
        <v>0</v>
      </c>
      <c r="S119" s="473">
        <f>R139+R129</f>
        <v>23474.443151836465</v>
      </c>
      <c r="U119" s="547"/>
      <c r="V119" s="271" t="s">
        <v>379</v>
      </c>
      <c r="W119" s="262">
        <v>0</v>
      </c>
      <c r="X119" s="262">
        <v>0</v>
      </c>
      <c r="Y119" s="262">
        <v>0</v>
      </c>
      <c r="Z119" s="262">
        <v>0</v>
      </c>
      <c r="AA119" s="262">
        <v>0</v>
      </c>
      <c r="AB119" s="262">
        <v>0</v>
      </c>
      <c r="AC119" s="274">
        <f>$AJ$119*$L$18*V$17</f>
        <v>0</v>
      </c>
      <c r="AD119" s="274">
        <f t="shared" ref="AD119:AH119" si="73">$AJ$119*$L$18*W$17</f>
        <v>0</v>
      </c>
      <c r="AE119" s="274">
        <f t="shared" si="73"/>
        <v>0</v>
      </c>
      <c r="AF119" s="274">
        <f t="shared" si="73"/>
        <v>0</v>
      </c>
      <c r="AG119" s="274">
        <f t="shared" si="73"/>
        <v>0</v>
      </c>
      <c r="AH119" s="274">
        <f t="shared" si="73"/>
        <v>0</v>
      </c>
      <c r="AI119" s="262">
        <v>0</v>
      </c>
      <c r="AJ119" s="262">
        <f>AJ129/(1+$R$18)</f>
        <v>0</v>
      </c>
      <c r="AK119" s="262">
        <v>0</v>
      </c>
      <c r="AL119" s="273">
        <f t="shared" si="71"/>
        <v>0</v>
      </c>
    </row>
    <row r="120" spans="1:38" ht="14.4" customHeight="1">
      <c r="A120" s="547"/>
      <c r="B120" s="271" t="s">
        <v>380</v>
      </c>
      <c r="C120" s="262">
        <v>0</v>
      </c>
      <c r="D120" s="262">
        <v>0</v>
      </c>
      <c r="E120" s="262">
        <v>0</v>
      </c>
      <c r="F120" s="262">
        <v>0</v>
      </c>
      <c r="G120" s="262">
        <v>0</v>
      </c>
      <c r="H120" s="262">
        <v>0</v>
      </c>
      <c r="I120" s="275">
        <v>0</v>
      </c>
      <c r="J120" s="275">
        <v>0</v>
      </c>
      <c r="K120" s="275">
        <v>0</v>
      </c>
      <c r="L120" s="275">
        <v>0</v>
      </c>
      <c r="M120" s="275">
        <v>0</v>
      </c>
      <c r="N120" s="275">
        <v>0</v>
      </c>
      <c r="O120" s="262">
        <v>0</v>
      </c>
      <c r="P120" s="262">
        <v>0</v>
      </c>
      <c r="Q120" s="262">
        <v>0</v>
      </c>
      <c r="R120" s="273">
        <f t="shared" si="70"/>
        <v>0</v>
      </c>
      <c r="U120" s="547"/>
      <c r="V120" s="271" t="s">
        <v>380</v>
      </c>
      <c r="W120" s="262">
        <v>0</v>
      </c>
      <c r="X120" s="262">
        <v>0</v>
      </c>
      <c r="Y120" s="262">
        <v>0</v>
      </c>
      <c r="Z120" s="262">
        <v>0</v>
      </c>
      <c r="AA120" s="262">
        <v>0</v>
      </c>
      <c r="AB120" s="262">
        <v>0</v>
      </c>
      <c r="AC120" s="275">
        <v>0</v>
      </c>
      <c r="AD120" s="275">
        <v>0</v>
      </c>
      <c r="AE120" s="275">
        <v>0</v>
      </c>
      <c r="AF120" s="275">
        <v>0</v>
      </c>
      <c r="AG120" s="275">
        <v>0</v>
      </c>
      <c r="AH120" s="275">
        <v>0</v>
      </c>
      <c r="AI120" s="262">
        <v>0</v>
      </c>
      <c r="AJ120" s="262">
        <v>0</v>
      </c>
      <c r="AK120" s="262">
        <v>0</v>
      </c>
      <c r="AL120" s="273">
        <f t="shared" si="71"/>
        <v>0</v>
      </c>
    </row>
    <row r="121" spans="1:38" ht="14.4" customHeight="1">
      <c r="A121" s="547"/>
      <c r="B121" s="271" t="s">
        <v>381</v>
      </c>
      <c r="C121" s="262">
        <v>0</v>
      </c>
      <c r="D121" s="262">
        <v>0</v>
      </c>
      <c r="E121" s="262">
        <v>0</v>
      </c>
      <c r="F121" s="262">
        <v>0</v>
      </c>
      <c r="G121" s="262">
        <v>0</v>
      </c>
      <c r="H121" s="262">
        <v>0</v>
      </c>
      <c r="I121" s="262">
        <v>0</v>
      </c>
      <c r="J121" s="262">
        <v>0</v>
      </c>
      <c r="K121" s="262">
        <v>0</v>
      </c>
      <c r="L121" s="262">
        <v>0</v>
      </c>
      <c r="M121" s="262">
        <v>0</v>
      </c>
      <c r="N121" s="262">
        <v>0</v>
      </c>
      <c r="O121" s="262">
        <v>0</v>
      </c>
      <c r="P121" s="262">
        <v>0</v>
      </c>
      <c r="Q121" s="262">
        <v>0</v>
      </c>
      <c r="R121" s="273">
        <f t="shared" si="70"/>
        <v>0</v>
      </c>
      <c r="U121" s="547"/>
      <c r="V121" s="271" t="s">
        <v>381</v>
      </c>
      <c r="W121" s="262">
        <v>0</v>
      </c>
      <c r="X121" s="262">
        <v>0</v>
      </c>
      <c r="Y121" s="262">
        <v>0</v>
      </c>
      <c r="Z121" s="262">
        <v>0</v>
      </c>
      <c r="AA121" s="262">
        <v>0</v>
      </c>
      <c r="AB121" s="262">
        <v>0</v>
      </c>
      <c r="AC121" s="262">
        <v>0</v>
      </c>
      <c r="AD121" s="262">
        <v>0</v>
      </c>
      <c r="AE121" s="262">
        <v>0</v>
      </c>
      <c r="AF121" s="262">
        <v>0</v>
      </c>
      <c r="AG121" s="262">
        <v>0</v>
      </c>
      <c r="AH121" s="262">
        <v>0</v>
      </c>
      <c r="AI121" s="262">
        <v>0</v>
      </c>
      <c r="AJ121" s="262">
        <v>0</v>
      </c>
      <c r="AK121" s="262">
        <v>0</v>
      </c>
      <c r="AL121" s="273">
        <f t="shared" si="71"/>
        <v>0</v>
      </c>
    </row>
    <row r="122" spans="1:38" ht="14.4" customHeight="1">
      <c r="A122" s="547"/>
      <c r="B122" s="271" t="s">
        <v>36</v>
      </c>
      <c r="C122" s="262">
        <v>0</v>
      </c>
      <c r="D122" s="262">
        <v>0</v>
      </c>
      <c r="E122" s="262">
        <v>0</v>
      </c>
      <c r="F122" s="262">
        <v>0</v>
      </c>
      <c r="G122" s="262">
        <v>0</v>
      </c>
      <c r="H122" s="262">
        <v>0</v>
      </c>
      <c r="I122" s="262">
        <v>0</v>
      </c>
      <c r="J122" s="262">
        <v>0</v>
      </c>
      <c r="K122" s="262">
        <v>0</v>
      </c>
      <c r="L122" s="262">
        <v>0</v>
      </c>
      <c r="M122" s="262">
        <v>0</v>
      </c>
      <c r="N122" s="262">
        <v>0</v>
      </c>
      <c r="O122" s="262">
        <v>0</v>
      </c>
      <c r="P122" s="262">
        <v>0</v>
      </c>
      <c r="Q122" s="262">
        <v>0</v>
      </c>
      <c r="R122" s="273">
        <f t="shared" si="70"/>
        <v>0</v>
      </c>
      <c r="U122" s="547"/>
      <c r="V122" s="271" t="s">
        <v>36</v>
      </c>
      <c r="W122" s="262">
        <v>0</v>
      </c>
      <c r="X122" s="262">
        <v>0</v>
      </c>
      <c r="Y122" s="262">
        <v>0</v>
      </c>
      <c r="Z122" s="262">
        <v>0</v>
      </c>
      <c r="AA122" s="262">
        <v>0</v>
      </c>
      <c r="AB122" s="262">
        <v>0</v>
      </c>
      <c r="AC122" s="262">
        <v>0</v>
      </c>
      <c r="AD122" s="262">
        <v>0</v>
      </c>
      <c r="AE122" s="262">
        <v>0</v>
      </c>
      <c r="AF122" s="262">
        <v>0</v>
      </c>
      <c r="AG122" s="262">
        <v>0</v>
      </c>
      <c r="AH122" s="262">
        <v>0</v>
      </c>
      <c r="AI122" s="262">
        <v>0</v>
      </c>
      <c r="AJ122" s="262">
        <v>0</v>
      </c>
      <c r="AK122" s="262">
        <v>0</v>
      </c>
      <c r="AL122" s="273">
        <f t="shared" si="71"/>
        <v>0</v>
      </c>
    </row>
    <row r="123" spans="1:38" ht="14.4" customHeight="1">
      <c r="A123" s="547"/>
      <c r="B123" s="271" t="s">
        <v>382</v>
      </c>
      <c r="C123" s="262">
        <v>0</v>
      </c>
      <c r="D123" s="262">
        <v>0</v>
      </c>
      <c r="E123" s="262">
        <v>0</v>
      </c>
      <c r="F123" s="262">
        <v>0</v>
      </c>
      <c r="G123" s="262">
        <v>0</v>
      </c>
      <c r="H123" s="262">
        <v>0</v>
      </c>
      <c r="I123" s="262">
        <v>0</v>
      </c>
      <c r="J123" s="262">
        <v>0</v>
      </c>
      <c r="K123" s="262">
        <v>0</v>
      </c>
      <c r="L123" s="262">
        <v>0</v>
      </c>
      <c r="M123" s="262">
        <v>0</v>
      </c>
      <c r="N123" s="262">
        <v>0</v>
      </c>
      <c r="O123" s="262">
        <v>0</v>
      </c>
      <c r="P123" s="262">
        <v>0</v>
      </c>
      <c r="Q123" s="262">
        <v>0</v>
      </c>
      <c r="R123" s="273">
        <f t="shared" si="70"/>
        <v>0</v>
      </c>
      <c r="U123" s="547"/>
      <c r="V123" s="271" t="s">
        <v>382</v>
      </c>
      <c r="W123" s="262">
        <v>0</v>
      </c>
      <c r="X123" s="262">
        <v>0</v>
      </c>
      <c r="Y123" s="262">
        <v>0</v>
      </c>
      <c r="Z123" s="262">
        <v>0</v>
      </c>
      <c r="AA123" s="262">
        <v>0</v>
      </c>
      <c r="AB123" s="262">
        <v>0</v>
      </c>
      <c r="AC123" s="262">
        <v>0</v>
      </c>
      <c r="AD123" s="262">
        <v>0</v>
      </c>
      <c r="AE123" s="262">
        <v>0</v>
      </c>
      <c r="AF123" s="262">
        <v>0</v>
      </c>
      <c r="AG123" s="262">
        <v>0</v>
      </c>
      <c r="AH123" s="262">
        <v>0</v>
      </c>
      <c r="AI123" s="262">
        <v>0</v>
      </c>
      <c r="AJ123" s="262">
        <v>0</v>
      </c>
      <c r="AK123" s="262">
        <v>0</v>
      </c>
      <c r="AL123" s="273">
        <f t="shared" si="71"/>
        <v>0</v>
      </c>
    </row>
    <row r="124" spans="1:38" ht="14.4" customHeight="1">
      <c r="A124" s="547"/>
      <c r="B124" s="271" t="s">
        <v>383</v>
      </c>
      <c r="C124" s="262">
        <v>0</v>
      </c>
      <c r="D124" s="262">
        <v>0</v>
      </c>
      <c r="E124" s="262">
        <v>0</v>
      </c>
      <c r="F124" s="262">
        <v>0</v>
      </c>
      <c r="G124" s="262">
        <v>0</v>
      </c>
      <c r="H124" s="262">
        <v>0</v>
      </c>
      <c r="I124" s="262">
        <v>0</v>
      </c>
      <c r="J124" s="262">
        <v>0</v>
      </c>
      <c r="K124" s="262">
        <v>0</v>
      </c>
      <c r="L124" s="262">
        <v>0</v>
      </c>
      <c r="M124" s="262">
        <v>0</v>
      </c>
      <c r="N124" s="262">
        <v>0</v>
      </c>
      <c r="O124" s="262">
        <v>0</v>
      </c>
      <c r="P124" s="262">
        <v>0</v>
      </c>
      <c r="Q124" s="262">
        <v>0</v>
      </c>
      <c r="R124" s="273">
        <f t="shared" si="70"/>
        <v>0</v>
      </c>
      <c r="U124" s="547"/>
      <c r="V124" s="271" t="s">
        <v>383</v>
      </c>
      <c r="W124" s="262">
        <v>0</v>
      </c>
      <c r="X124" s="262">
        <v>0</v>
      </c>
      <c r="Y124" s="262">
        <v>0</v>
      </c>
      <c r="Z124" s="262">
        <v>0</v>
      </c>
      <c r="AA124" s="262">
        <v>0</v>
      </c>
      <c r="AB124" s="262">
        <v>0</v>
      </c>
      <c r="AC124" s="262">
        <v>0</v>
      </c>
      <c r="AD124" s="262">
        <v>0</v>
      </c>
      <c r="AE124" s="262">
        <v>0</v>
      </c>
      <c r="AF124" s="262">
        <v>0</v>
      </c>
      <c r="AG124" s="262">
        <v>0</v>
      </c>
      <c r="AH124" s="262">
        <v>0</v>
      </c>
      <c r="AI124" s="262">
        <v>0</v>
      </c>
      <c r="AJ124" s="262">
        <v>0</v>
      </c>
      <c r="AK124" s="262">
        <v>0</v>
      </c>
      <c r="AL124" s="273">
        <f t="shared" si="71"/>
        <v>0</v>
      </c>
    </row>
    <row r="125" spans="1:38" ht="14.4" customHeight="1">
      <c r="A125" s="547"/>
      <c r="B125" s="271" t="s">
        <v>384</v>
      </c>
      <c r="C125" s="262">
        <v>0</v>
      </c>
      <c r="D125" s="262">
        <v>0</v>
      </c>
      <c r="E125" s="262">
        <v>0</v>
      </c>
      <c r="F125" s="262">
        <v>0</v>
      </c>
      <c r="G125" s="262">
        <v>0</v>
      </c>
      <c r="H125" s="262">
        <v>0</v>
      </c>
      <c r="I125" s="262">
        <v>0</v>
      </c>
      <c r="J125" s="262">
        <v>0</v>
      </c>
      <c r="K125" s="262">
        <v>0</v>
      </c>
      <c r="L125" s="262">
        <v>0</v>
      </c>
      <c r="M125" s="262">
        <v>0</v>
      </c>
      <c r="N125" s="262">
        <v>0</v>
      </c>
      <c r="O125" s="262">
        <v>0</v>
      </c>
      <c r="P125" s="262">
        <v>0</v>
      </c>
      <c r="Q125" s="262">
        <v>0</v>
      </c>
      <c r="R125" s="273">
        <f t="shared" si="70"/>
        <v>0</v>
      </c>
      <c r="U125" s="547"/>
      <c r="V125" s="271" t="s">
        <v>384</v>
      </c>
      <c r="W125" s="262">
        <v>0</v>
      </c>
      <c r="X125" s="262">
        <v>0</v>
      </c>
      <c r="Y125" s="262">
        <v>0</v>
      </c>
      <c r="Z125" s="262">
        <v>0</v>
      </c>
      <c r="AA125" s="262">
        <v>0</v>
      </c>
      <c r="AB125" s="262">
        <v>0</v>
      </c>
      <c r="AC125" s="262">
        <v>0</v>
      </c>
      <c r="AD125" s="262">
        <v>0</v>
      </c>
      <c r="AE125" s="262">
        <v>0</v>
      </c>
      <c r="AF125" s="262">
        <v>0</v>
      </c>
      <c r="AG125" s="262">
        <v>0</v>
      </c>
      <c r="AH125" s="262">
        <v>0</v>
      </c>
      <c r="AI125" s="262">
        <v>0</v>
      </c>
      <c r="AJ125" s="262">
        <v>0</v>
      </c>
      <c r="AK125" s="262">
        <v>0</v>
      </c>
      <c r="AL125" s="273">
        <f t="shared" si="71"/>
        <v>0</v>
      </c>
    </row>
    <row r="126" spans="1:38" ht="14.4" customHeight="1">
      <c r="A126" s="547"/>
      <c r="B126" s="271" t="s">
        <v>37</v>
      </c>
      <c r="C126" s="262">
        <v>0</v>
      </c>
      <c r="D126" s="262">
        <v>0</v>
      </c>
      <c r="E126" s="262">
        <v>0</v>
      </c>
      <c r="F126" s="262">
        <v>0</v>
      </c>
      <c r="G126" s="262">
        <v>0</v>
      </c>
      <c r="H126" s="262">
        <v>0</v>
      </c>
      <c r="I126" s="262">
        <v>0</v>
      </c>
      <c r="J126" s="262">
        <v>0</v>
      </c>
      <c r="K126" s="262">
        <v>0</v>
      </c>
      <c r="L126" s="262">
        <v>0</v>
      </c>
      <c r="M126" s="262">
        <v>0</v>
      </c>
      <c r="N126" s="262">
        <v>0</v>
      </c>
      <c r="O126" s="262">
        <v>0</v>
      </c>
      <c r="P126" s="262">
        <v>0</v>
      </c>
      <c r="Q126" s="262">
        <v>0</v>
      </c>
      <c r="R126" s="273">
        <f t="shared" si="70"/>
        <v>0</v>
      </c>
      <c r="U126" s="547"/>
      <c r="V126" s="271" t="s">
        <v>37</v>
      </c>
      <c r="W126" s="262">
        <v>0</v>
      </c>
      <c r="X126" s="262">
        <v>0</v>
      </c>
      <c r="Y126" s="262">
        <v>0</v>
      </c>
      <c r="Z126" s="262">
        <v>0</v>
      </c>
      <c r="AA126" s="262">
        <v>0</v>
      </c>
      <c r="AB126" s="262">
        <v>0</v>
      </c>
      <c r="AC126" s="262">
        <v>0</v>
      </c>
      <c r="AD126" s="262">
        <v>0</v>
      </c>
      <c r="AE126" s="262">
        <v>0</v>
      </c>
      <c r="AF126" s="262">
        <v>0</v>
      </c>
      <c r="AG126" s="262">
        <v>0</v>
      </c>
      <c r="AH126" s="262">
        <v>0</v>
      </c>
      <c r="AI126" s="262">
        <v>0</v>
      </c>
      <c r="AJ126" s="262">
        <v>0</v>
      </c>
      <c r="AK126" s="262">
        <v>0</v>
      </c>
      <c r="AL126" s="273">
        <f t="shared" si="71"/>
        <v>0</v>
      </c>
    </row>
    <row r="127" spans="1:38" ht="14.4" customHeight="1">
      <c r="A127" s="547"/>
      <c r="B127" s="271" t="s">
        <v>38</v>
      </c>
      <c r="C127" s="262">
        <v>0</v>
      </c>
      <c r="D127" s="262">
        <v>0</v>
      </c>
      <c r="E127" s="262">
        <v>0</v>
      </c>
      <c r="F127" s="262">
        <v>0</v>
      </c>
      <c r="G127" s="262">
        <v>0</v>
      </c>
      <c r="H127" s="262">
        <v>0</v>
      </c>
      <c r="I127" s="262">
        <v>0</v>
      </c>
      <c r="J127" s="262">
        <v>0</v>
      </c>
      <c r="K127" s="262">
        <v>0</v>
      </c>
      <c r="L127" s="262">
        <v>0</v>
      </c>
      <c r="M127" s="262">
        <v>0</v>
      </c>
      <c r="N127" s="262">
        <v>0</v>
      </c>
      <c r="O127" s="262">
        <f>O118*$F$17</f>
        <v>33.432598208818717</v>
      </c>
      <c r="P127" s="262">
        <v>0</v>
      </c>
      <c r="Q127" s="262">
        <v>0</v>
      </c>
      <c r="R127" s="273">
        <f t="shared" si="70"/>
        <v>33.432598208818717</v>
      </c>
      <c r="U127" s="547"/>
      <c r="V127" s="271" t="s">
        <v>38</v>
      </c>
      <c r="W127" s="262">
        <v>0</v>
      </c>
      <c r="X127" s="262">
        <v>0</v>
      </c>
      <c r="Y127" s="262">
        <v>0</v>
      </c>
      <c r="Z127" s="262">
        <v>0</v>
      </c>
      <c r="AA127" s="262">
        <v>0</v>
      </c>
      <c r="AB127" s="262">
        <v>0</v>
      </c>
      <c r="AC127" s="262">
        <v>0</v>
      </c>
      <c r="AD127" s="262">
        <v>0</v>
      </c>
      <c r="AE127" s="262">
        <v>0</v>
      </c>
      <c r="AF127" s="262">
        <v>0</v>
      </c>
      <c r="AG127" s="262">
        <v>0</v>
      </c>
      <c r="AH127" s="262">
        <v>0</v>
      </c>
      <c r="AI127" s="262">
        <f>AI118*$F$17</f>
        <v>33.097670163645915</v>
      </c>
      <c r="AJ127" s="262">
        <v>0</v>
      </c>
      <c r="AK127" s="262">
        <v>0</v>
      </c>
      <c r="AL127" s="273">
        <f t="shared" si="71"/>
        <v>33.097670163645915</v>
      </c>
    </row>
    <row r="128" spans="1:38" ht="14.4" customHeight="1">
      <c r="A128" s="547"/>
      <c r="B128" s="271" t="s">
        <v>39</v>
      </c>
      <c r="C128" s="262">
        <v>0</v>
      </c>
      <c r="D128" s="262">
        <v>0</v>
      </c>
      <c r="E128" s="262">
        <v>0</v>
      </c>
      <c r="F128" s="262">
        <v>0</v>
      </c>
      <c r="G128" s="262">
        <v>0</v>
      </c>
      <c r="H128" s="262">
        <v>0</v>
      </c>
      <c r="I128" s="262">
        <v>0</v>
      </c>
      <c r="J128" s="262">
        <v>0</v>
      </c>
      <c r="K128" s="262">
        <v>0</v>
      </c>
      <c r="L128" s="262">
        <v>0</v>
      </c>
      <c r="M128" s="262">
        <v>0</v>
      </c>
      <c r="N128" s="262">
        <v>0</v>
      </c>
      <c r="O128" s="262">
        <f>O118*$F$18</f>
        <v>212.63760457923433</v>
      </c>
      <c r="P128" s="262">
        <f>P119*$R$18</f>
        <v>0</v>
      </c>
      <c r="Q128" s="262">
        <v>0</v>
      </c>
      <c r="R128" s="273">
        <f t="shared" si="70"/>
        <v>212.63760457923433</v>
      </c>
      <c r="S128" s="278"/>
      <c r="U128" s="547"/>
      <c r="V128" s="271" t="s">
        <v>39</v>
      </c>
      <c r="W128" s="262">
        <v>0</v>
      </c>
      <c r="X128" s="262">
        <v>0</v>
      </c>
      <c r="Y128" s="262">
        <v>0</v>
      </c>
      <c r="Z128" s="262">
        <v>0</v>
      </c>
      <c r="AA128" s="262">
        <v>0</v>
      </c>
      <c r="AB128" s="262">
        <v>0</v>
      </c>
      <c r="AC128" s="262">
        <v>0</v>
      </c>
      <c r="AD128" s="262">
        <v>0</v>
      </c>
      <c r="AE128" s="262">
        <v>0</v>
      </c>
      <c r="AF128" s="262">
        <v>0</v>
      </c>
      <c r="AG128" s="262">
        <v>0</v>
      </c>
      <c r="AH128" s="262">
        <v>0</v>
      </c>
      <c r="AI128" s="262">
        <f>AI118*$F$18</f>
        <v>210.50739929913243</v>
      </c>
      <c r="AJ128" s="262">
        <f>AJ119*$R$18</f>
        <v>0</v>
      </c>
      <c r="AK128" s="262">
        <v>0</v>
      </c>
      <c r="AL128" s="273">
        <f t="shared" si="71"/>
        <v>210.50739929913243</v>
      </c>
    </row>
    <row r="129" spans="1:38" ht="14.4" customHeight="1">
      <c r="A129" s="547"/>
      <c r="B129" s="266" t="s">
        <v>40</v>
      </c>
      <c r="C129" s="267">
        <f>SUM(C117:C128)</f>
        <v>6716.9631553253157</v>
      </c>
      <c r="D129" s="267">
        <f t="shared" ref="D129:N129" si="74">SUM(D117:D128)</f>
        <v>0</v>
      </c>
      <c r="E129" s="267">
        <f t="shared" si="74"/>
        <v>3948.9394921976623</v>
      </c>
      <c r="F129" s="267">
        <f t="shared" si="74"/>
        <v>0</v>
      </c>
      <c r="G129" s="267">
        <f t="shared" si="74"/>
        <v>0</v>
      </c>
      <c r="H129" s="267">
        <f t="shared" si="74"/>
        <v>1103.5417545405014</v>
      </c>
      <c r="I129" s="267">
        <f t="shared" si="74"/>
        <v>12.337596024829276</v>
      </c>
      <c r="J129" s="267">
        <f t="shared" si="74"/>
        <v>0</v>
      </c>
      <c r="K129" s="267">
        <f t="shared" si="74"/>
        <v>0</v>
      </c>
      <c r="L129" s="267">
        <f t="shared" si="74"/>
        <v>0</v>
      </c>
      <c r="M129" s="267">
        <f t="shared" si="74"/>
        <v>0</v>
      </c>
      <c r="N129" s="267">
        <f t="shared" si="74"/>
        <v>0</v>
      </c>
      <c r="O129" s="267">
        <f>-O139</f>
        <v>-4948.2139579479281</v>
      </c>
      <c r="P129" s="267">
        <f>-P131</f>
        <v>0</v>
      </c>
      <c r="Q129" s="267">
        <f t="shared" ref="Q129" si="75">SUM(Q117:Q128)</f>
        <v>0</v>
      </c>
      <c r="R129" s="267">
        <f t="shared" si="70"/>
        <v>6833.5680401403806</v>
      </c>
      <c r="U129" s="547"/>
      <c r="V129" s="266" t="s">
        <v>40</v>
      </c>
      <c r="W129" s="267">
        <f>SUM(W117:W128)</f>
        <v>2731.8191326381243</v>
      </c>
      <c r="X129" s="267">
        <f t="shared" ref="X129:AH129" si="76">SUM(X117:X128)</f>
        <v>0</v>
      </c>
      <c r="Y129" s="267">
        <f t="shared" si="76"/>
        <v>1753.0390155966556</v>
      </c>
      <c r="Z129" s="267">
        <f t="shared" si="76"/>
        <v>0</v>
      </c>
      <c r="AA129" s="267">
        <f t="shared" si="76"/>
        <v>0</v>
      </c>
      <c r="AB129" s="267">
        <f t="shared" si="76"/>
        <v>2468.2789339600918</v>
      </c>
      <c r="AC129" s="267">
        <f t="shared" si="76"/>
        <v>1285.5619447708809</v>
      </c>
      <c r="AD129" s="267">
        <f t="shared" si="76"/>
        <v>1285.5619447708809</v>
      </c>
      <c r="AE129" s="267">
        <f t="shared" si="76"/>
        <v>0</v>
      </c>
      <c r="AF129" s="267">
        <f t="shared" si="76"/>
        <v>0</v>
      </c>
      <c r="AG129" s="267">
        <f t="shared" si="76"/>
        <v>0</v>
      </c>
      <c r="AH129" s="267">
        <f t="shared" si="76"/>
        <v>0</v>
      </c>
      <c r="AI129" s="267">
        <f>-AI139</f>
        <v>-4898.6427096207453</v>
      </c>
      <c r="AJ129" s="267">
        <f>-AJ131</f>
        <v>0</v>
      </c>
      <c r="AK129" s="267">
        <f t="shared" ref="AK129" si="77">SUM(AK117:AK128)</f>
        <v>0</v>
      </c>
      <c r="AL129" s="267">
        <f t="shared" si="71"/>
        <v>4625.6182621158887</v>
      </c>
    </row>
    <row r="130" spans="1:38" ht="14.4" customHeight="1">
      <c r="A130" s="547"/>
      <c r="B130" s="268"/>
      <c r="C130" s="269"/>
      <c r="D130" s="269"/>
      <c r="E130" s="276"/>
      <c r="F130" s="269"/>
      <c r="G130" s="269"/>
      <c r="H130" s="269"/>
      <c r="I130" s="276"/>
      <c r="J130" s="269"/>
      <c r="K130" s="269"/>
      <c r="L130" s="269"/>
      <c r="M130" s="277"/>
      <c r="N130" s="269"/>
      <c r="O130" s="269"/>
      <c r="P130" s="269"/>
      <c r="Q130" s="269"/>
      <c r="R130" s="269"/>
      <c r="U130" s="547"/>
      <c r="V130" s="268"/>
      <c r="W130" s="269"/>
      <c r="X130" s="269"/>
      <c r="Y130" s="276"/>
      <c r="Z130" s="269"/>
      <c r="AA130" s="269"/>
      <c r="AB130" s="269"/>
      <c r="AC130" s="276"/>
      <c r="AD130" s="269"/>
      <c r="AE130" s="269"/>
      <c r="AF130" s="269"/>
      <c r="AG130" s="277"/>
      <c r="AH130" s="269"/>
      <c r="AI130" s="269"/>
      <c r="AJ130" s="269"/>
      <c r="AK130" s="269"/>
      <c r="AL130" s="269"/>
    </row>
    <row r="131" spans="1:38" ht="14.4" customHeight="1">
      <c r="A131" s="547"/>
      <c r="B131" s="271" t="s">
        <v>41</v>
      </c>
      <c r="C131" s="262">
        <f>Industrie!$E$45</f>
        <v>1852.2553296188964</v>
      </c>
      <c r="D131" s="262">
        <v>0</v>
      </c>
      <c r="E131" s="262">
        <f>Industrie!$E$42</f>
        <v>4185.997974613455</v>
      </c>
      <c r="F131" s="262">
        <v>0</v>
      </c>
      <c r="G131" s="262">
        <v>0</v>
      </c>
      <c r="H131" s="262">
        <v>0</v>
      </c>
      <c r="I131" s="262">
        <v>0</v>
      </c>
      <c r="J131" s="262">
        <v>0</v>
      </c>
      <c r="K131" s="262">
        <v>0</v>
      </c>
      <c r="L131" s="262">
        <v>0</v>
      </c>
      <c r="M131" s="262">
        <v>0</v>
      </c>
      <c r="N131" s="262">
        <v>0</v>
      </c>
      <c r="O131" s="262">
        <f>Industrie!$E$46</f>
        <v>4085.9272781085374</v>
      </c>
      <c r="P131" s="262">
        <f>Industrie!$E$52</f>
        <v>0</v>
      </c>
      <c r="Q131" s="262">
        <v>0</v>
      </c>
      <c r="R131" s="273">
        <f>SUM(C131:Q131)</f>
        <v>10124.180582340889</v>
      </c>
      <c r="U131" s="547"/>
      <c r="V131" s="271" t="s">
        <v>41</v>
      </c>
      <c r="W131" s="470">
        <f>Industrie!$E$75</f>
        <v>749.76074429356208</v>
      </c>
      <c r="X131" s="470">
        <v>0</v>
      </c>
      <c r="Y131" s="470">
        <f>Industrie!$E$72</f>
        <v>1363.6298029436105</v>
      </c>
      <c r="Z131" s="262">
        <v>0</v>
      </c>
      <c r="AA131" s="262">
        <v>0</v>
      </c>
      <c r="AB131" s="262">
        <v>0</v>
      </c>
      <c r="AC131" s="470">
        <f>Industrie!$E$85*V$13/SUM($V$13:$AA$13)</f>
        <v>536.92594279951425</v>
      </c>
      <c r="AD131" s="470">
        <f>Industrie!$E$85*W$13/SUM($V$13:$AA$13)</f>
        <v>0</v>
      </c>
      <c r="AE131" s="470">
        <f>Industrie!$E$85*X$13/SUM($V$13:$AA$13)</f>
        <v>0</v>
      </c>
      <c r="AF131" s="470">
        <f>Industrie!$E$85*Y$13/SUM($V$13:$AA$13)</f>
        <v>89.54501465771574</v>
      </c>
      <c r="AG131" s="470">
        <f>Industrie!$E$85*Z$13/SUM($V$13:$AA$13)</f>
        <v>0</v>
      </c>
      <c r="AH131" s="470">
        <f>Industrie!$E$85*AA$13/SUM($V$13:$AA$13)</f>
        <v>1.8255218124319035</v>
      </c>
      <c r="AI131" s="262">
        <f>Industrie!$E$76</f>
        <v>4405.0603022950927</v>
      </c>
      <c r="AJ131" s="262">
        <f>Industrie!$E$86</f>
        <v>0</v>
      </c>
      <c r="AK131" s="262">
        <v>0</v>
      </c>
      <c r="AL131" s="273">
        <f>SUM(W131:AK131)</f>
        <v>7146.7473288019273</v>
      </c>
    </row>
    <row r="132" spans="1:38" ht="14.4" customHeight="1">
      <c r="A132" s="547"/>
      <c r="B132" s="271" t="s">
        <v>42</v>
      </c>
      <c r="C132" s="262">
        <v>0</v>
      </c>
      <c r="D132" s="262">
        <v>0</v>
      </c>
      <c r="E132" s="262">
        <f>Transports!$G$49+Transports!$E$106+Transports!$E$203</f>
        <v>2324.6216011453903</v>
      </c>
      <c r="F132" s="262">
        <v>0</v>
      </c>
      <c r="G132" s="262">
        <v>0</v>
      </c>
      <c r="H132" s="262">
        <v>0</v>
      </c>
      <c r="I132" s="262">
        <v>0</v>
      </c>
      <c r="J132" s="262">
        <v>0</v>
      </c>
      <c r="K132" s="262">
        <v>0</v>
      </c>
      <c r="L132" s="262">
        <v>0</v>
      </c>
      <c r="M132" s="262">
        <v>0</v>
      </c>
      <c r="N132" s="262">
        <v>0</v>
      </c>
      <c r="O132" s="262">
        <f>Transports!$G$50+Transports!$E$107</f>
        <v>67.452772903267416</v>
      </c>
      <c r="P132" s="262">
        <v>0</v>
      </c>
      <c r="Q132" s="262">
        <v>0</v>
      </c>
      <c r="R132" s="273">
        <f t="shared" ref="R132:R139" si="78">SUM(C132:Q132)</f>
        <v>2392.0743740486578</v>
      </c>
      <c r="U132" s="547"/>
      <c r="V132" s="271" t="s">
        <v>42</v>
      </c>
      <c r="W132" s="262">
        <v>0</v>
      </c>
      <c r="X132" s="262">
        <v>0</v>
      </c>
      <c r="Y132" s="262">
        <f>Transports!$G$76+Transports!$E$150+Transports!$E$238</f>
        <v>2243.2735214128356</v>
      </c>
      <c r="Z132" s="262">
        <v>0</v>
      </c>
      <c r="AA132" s="262">
        <v>0</v>
      </c>
      <c r="AB132" s="262">
        <v>0</v>
      </c>
      <c r="AC132" s="262">
        <v>0</v>
      </c>
      <c r="AD132" s="262">
        <v>0</v>
      </c>
      <c r="AE132" s="262">
        <f>Transports!$E$236+Transports!$E$237</f>
        <v>1.4722781275519765</v>
      </c>
      <c r="AF132" s="262">
        <v>0</v>
      </c>
      <c r="AG132" s="262">
        <v>0</v>
      </c>
      <c r="AH132" s="262">
        <v>0</v>
      </c>
      <c r="AI132" s="262">
        <f>Transports!$G$77+Transports!$E$151</f>
        <v>78.481036064448077</v>
      </c>
      <c r="AJ132" s="262">
        <v>0</v>
      </c>
      <c r="AK132" s="262">
        <v>0</v>
      </c>
      <c r="AL132" s="273">
        <f t="shared" ref="AL132:AL139" si="79">SUM(W132:AK132)</f>
        <v>2323.2268356048357</v>
      </c>
    </row>
    <row r="133" spans="1:38" ht="14.4" customHeight="1">
      <c r="A133" s="547"/>
      <c r="B133" s="271" t="s">
        <v>43</v>
      </c>
      <c r="C133" s="262">
        <v>0</v>
      </c>
      <c r="D133" s="262">
        <v>0</v>
      </c>
      <c r="E133" s="262">
        <f>'Résidentiel-tertiaire'!$E$167</f>
        <v>171.06938482133944</v>
      </c>
      <c r="F133" s="262">
        <v>0</v>
      </c>
      <c r="G133" s="262">
        <v>0</v>
      </c>
      <c r="H133" s="262">
        <v>0</v>
      </c>
      <c r="I133" s="262">
        <f>'Résidentiel-tertiaire'!$E$168*$I$51/SUM($I$51:$N$51)</f>
        <v>0</v>
      </c>
      <c r="J133" s="262">
        <f>'Résidentiel-tertiaire'!$E$168*$J$51/SUM($I$51:$N$51)</f>
        <v>0</v>
      </c>
      <c r="K133" s="262">
        <f>'Résidentiel-tertiaire'!$E$168*$K$51/SUM($I$51:$N$51)</f>
        <v>0</v>
      </c>
      <c r="L133" s="262">
        <f>'Résidentiel-tertiaire'!$E$168*$L$51/SUM($I$51:$N$51)</f>
        <v>0</v>
      </c>
      <c r="M133" s="262">
        <f>'Résidentiel-tertiaire'!$E$168*$M$51/SUM($I$51:$N$51)</f>
        <v>0</v>
      </c>
      <c r="N133" s="262">
        <f>'Résidentiel-tertiaire'!$E$168*$N$51/SUM($I$51:$N$51)</f>
        <v>46.530872671404332</v>
      </c>
      <c r="O133" s="262">
        <f>'Résidentiel-tertiaire'!$E$169</f>
        <v>347.96366013186639</v>
      </c>
      <c r="P133" s="262">
        <v>0</v>
      </c>
      <c r="Q133" s="262">
        <v>0</v>
      </c>
      <c r="R133" s="273">
        <f t="shared" si="78"/>
        <v>565.56391762461021</v>
      </c>
      <c r="U133" s="547"/>
      <c r="V133" s="271" t="s">
        <v>43</v>
      </c>
      <c r="W133" s="262">
        <v>0</v>
      </c>
      <c r="X133" s="262">
        <v>0</v>
      </c>
      <c r="Y133" s="262">
        <f>'Résidentiel-tertiaire'!$E$181</f>
        <v>108.54666666666667</v>
      </c>
      <c r="Z133" s="262">
        <v>0</v>
      </c>
      <c r="AA133" s="262">
        <v>0</v>
      </c>
      <c r="AB133" s="262">
        <v>0</v>
      </c>
      <c r="AC133" s="262">
        <f>'Résidentiel-tertiaire'!$E$182*$AC$51/SUM($I$51:$N$51)</f>
        <v>0</v>
      </c>
      <c r="AD133" s="262">
        <f>'Résidentiel-tertiaire'!$E$182*$AD$51/SUM($I$51:$N$51)</f>
        <v>0</v>
      </c>
      <c r="AE133" s="262">
        <f>'Résidentiel-tertiaire'!$E$182*$AE$51/SUM($I$51:$N$51)</f>
        <v>0</v>
      </c>
      <c r="AF133" s="262">
        <f>'Résidentiel-tertiaire'!$E$182*$AF$51/SUM($I$51:$N$51)</f>
        <v>0</v>
      </c>
      <c r="AG133" s="262">
        <f>'Résidentiel-tertiaire'!$E$182*$AG$51/SUM($I$51:$N$51)</f>
        <v>0</v>
      </c>
      <c r="AH133" s="262">
        <f>'Résidentiel-tertiaire'!$E$182*$AH$51/SUM($I$51:$N$51)</f>
        <v>76.910813546433872</v>
      </c>
      <c r="AI133" s="262">
        <f>'Résidentiel-tertiaire'!$E$183</f>
        <v>208.55747620034708</v>
      </c>
      <c r="AJ133" s="262">
        <v>0</v>
      </c>
      <c r="AK133" s="262">
        <v>0</v>
      </c>
      <c r="AL133" s="273">
        <f t="shared" si="79"/>
        <v>394.01495641344763</v>
      </c>
    </row>
    <row r="134" spans="1:38" ht="14.4" customHeight="1">
      <c r="A134" s="547"/>
      <c r="B134" s="271" t="s">
        <v>44</v>
      </c>
      <c r="C134" s="262">
        <v>0</v>
      </c>
      <c r="D134" s="262">
        <v>0</v>
      </c>
      <c r="E134" s="262">
        <f>'Résidentiel-tertiaire'!$E$172</f>
        <v>0</v>
      </c>
      <c r="F134" s="262">
        <v>0</v>
      </c>
      <c r="G134" s="262">
        <v>0</v>
      </c>
      <c r="H134" s="262">
        <v>0</v>
      </c>
      <c r="I134" s="262">
        <v>0</v>
      </c>
      <c r="J134" s="262">
        <v>0</v>
      </c>
      <c r="K134" s="262">
        <v>0</v>
      </c>
      <c r="L134" s="262">
        <v>0</v>
      </c>
      <c r="M134" s="262">
        <v>0</v>
      </c>
      <c r="N134" s="262">
        <v>0</v>
      </c>
      <c r="O134" s="262">
        <f>'Résidentiel-tertiaire'!$E$174</f>
        <v>446.87024680425719</v>
      </c>
      <c r="P134" s="262">
        <v>0</v>
      </c>
      <c r="Q134" s="262">
        <v>0</v>
      </c>
      <c r="R134" s="273">
        <f t="shared" si="78"/>
        <v>446.87024680425719</v>
      </c>
      <c r="U134" s="547"/>
      <c r="V134" s="271" t="s">
        <v>44</v>
      </c>
      <c r="W134" s="262">
        <v>0</v>
      </c>
      <c r="X134" s="262">
        <v>0</v>
      </c>
      <c r="Y134" s="262">
        <f>'Résidentiel-tertiaire'!$E$186</f>
        <v>0</v>
      </c>
      <c r="Z134" s="262">
        <v>0</v>
      </c>
      <c r="AA134" s="262">
        <v>0</v>
      </c>
      <c r="AB134" s="262">
        <v>0</v>
      </c>
      <c r="AC134" s="470">
        <v>0</v>
      </c>
      <c r="AD134" s="470">
        <v>0</v>
      </c>
      <c r="AE134" s="470">
        <v>0</v>
      </c>
      <c r="AF134" s="470">
        <v>0</v>
      </c>
      <c r="AG134" s="470">
        <v>0</v>
      </c>
      <c r="AH134" s="470">
        <v>0</v>
      </c>
      <c r="AI134" s="262">
        <f>'Résidentiel-tertiaire'!$E$188</f>
        <v>206.54389506085786</v>
      </c>
      <c r="AJ134" s="262">
        <v>0</v>
      </c>
      <c r="AK134" s="262">
        <v>0</v>
      </c>
      <c r="AL134" s="273">
        <f t="shared" si="79"/>
        <v>206.54389506085786</v>
      </c>
    </row>
    <row r="135" spans="1:38" ht="14.4" customHeight="1">
      <c r="A135" s="547"/>
      <c r="B135" s="271" t="s">
        <v>4</v>
      </c>
      <c r="C135" s="262">
        <v>0</v>
      </c>
      <c r="D135" s="262">
        <v>0</v>
      </c>
      <c r="E135" s="262">
        <f>Agriculture!$M$27</f>
        <v>63.797617554630605</v>
      </c>
      <c r="F135" s="262">
        <v>0</v>
      </c>
      <c r="G135" s="262">
        <v>0</v>
      </c>
      <c r="H135" s="262">
        <v>0</v>
      </c>
      <c r="I135" s="262">
        <v>0</v>
      </c>
      <c r="J135" s="262">
        <v>0</v>
      </c>
      <c r="K135" s="262">
        <v>0</v>
      </c>
      <c r="L135" s="262">
        <v>0</v>
      </c>
      <c r="M135" s="262">
        <v>0</v>
      </c>
      <c r="N135" s="262">
        <v>0</v>
      </c>
      <c r="O135" s="262">
        <f>Agriculture!$M$28</f>
        <v>0</v>
      </c>
      <c r="P135" s="262">
        <v>0</v>
      </c>
      <c r="Q135" s="262">
        <v>0</v>
      </c>
      <c r="R135" s="273">
        <f t="shared" si="78"/>
        <v>63.797617554630605</v>
      </c>
      <c r="U135" s="547"/>
      <c r="V135" s="271" t="s">
        <v>4</v>
      </c>
      <c r="W135" s="262">
        <v>0</v>
      </c>
      <c r="X135" s="262">
        <v>0</v>
      </c>
      <c r="Y135" s="262">
        <f>Agriculture!$Q$43</f>
        <v>40.517419354838708</v>
      </c>
      <c r="Z135" s="262">
        <v>0</v>
      </c>
      <c r="AA135" s="262">
        <v>0</v>
      </c>
      <c r="AB135" s="262">
        <v>0</v>
      </c>
      <c r="AC135" s="262">
        <v>0</v>
      </c>
      <c r="AD135" s="262">
        <v>0</v>
      </c>
      <c r="AE135" s="262">
        <f>Agriculture!$Q$45</f>
        <v>13.838724580645161</v>
      </c>
      <c r="AF135" s="262">
        <v>0</v>
      </c>
      <c r="AG135" s="262">
        <v>0</v>
      </c>
      <c r="AH135" s="262">
        <v>0</v>
      </c>
      <c r="AI135" s="262">
        <f>Agriculture!$Q$44</f>
        <v>0</v>
      </c>
      <c r="AJ135" s="262">
        <v>0</v>
      </c>
      <c r="AK135" s="262">
        <v>0</v>
      </c>
      <c r="AL135" s="273">
        <f t="shared" si="79"/>
        <v>54.356143935483871</v>
      </c>
    </row>
    <row r="136" spans="1:38" ht="14.4" customHeight="1">
      <c r="A136" s="547"/>
      <c r="B136" s="271" t="s">
        <v>385</v>
      </c>
      <c r="C136" s="262">
        <v>0</v>
      </c>
      <c r="D136" s="262">
        <v>0</v>
      </c>
      <c r="E136" s="262">
        <v>0</v>
      </c>
      <c r="F136" s="262">
        <v>0</v>
      </c>
      <c r="G136" s="262">
        <v>0</v>
      </c>
      <c r="H136" s="262">
        <v>0</v>
      </c>
      <c r="I136" s="262">
        <v>0</v>
      </c>
      <c r="J136" s="262">
        <v>0</v>
      </c>
      <c r="K136" s="262">
        <v>0</v>
      </c>
      <c r="L136" s="262">
        <v>0</v>
      </c>
      <c r="M136" s="262">
        <v>0</v>
      </c>
      <c r="N136" s="262">
        <v>0</v>
      </c>
      <c r="O136" s="262">
        <v>0</v>
      </c>
      <c r="P136" s="262">
        <v>0</v>
      </c>
      <c r="Q136" s="262">
        <v>0</v>
      </c>
      <c r="R136" s="273">
        <f t="shared" si="78"/>
        <v>0</v>
      </c>
      <c r="U136" s="547"/>
      <c r="V136" s="271" t="s">
        <v>385</v>
      </c>
      <c r="W136" s="262">
        <v>0</v>
      </c>
      <c r="X136" s="262">
        <v>0</v>
      </c>
      <c r="Y136" s="262">
        <v>0</v>
      </c>
      <c r="Z136" s="262">
        <v>0</v>
      </c>
      <c r="AA136" s="262">
        <v>0</v>
      </c>
      <c r="AB136" s="262">
        <v>0</v>
      </c>
      <c r="AC136" s="262">
        <v>0</v>
      </c>
      <c r="AD136" s="262">
        <v>0</v>
      </c>
      <c r="AE136" s="262">
        <v>0</v>
      </c>
      <c r="AF136" s="262">
        <v>0</v>
      </c>
      <c r="AG136" s="262">
        <v>0</v>
      </c>
      <c r="AH136" s="262">
        <v>0</v>
      </c>
      <c r="AI136" s="262">
        <v>0</v>
      </c>
      <c r="AJ136" s="262">
        <v>0</v>
      </c>
      <c r="AK136" s="262">
        <v>0</v>
      </c>
      <c r="AL136" s="273">
        <f t="shared" si="79"/>
        <v>0</v>
      </c>
    </row>
    <row r="137" spans="1:38" ht="14.4" customHeight="1">
      <c r="A137" s="547"/>
      <c r="B137" s="266" t="s">
        <v>45</v>
      </c>
      <c r="C137" s="267">
        <f>SUM(C131:C136)</f>
        <v>1852.2553296188964</v>
      </c>
      <c r="D137" s="267">
        <f t="shared" ref="D137:Q137" si="80">SUM(D131:D136)</f>
        <v>0</v>
      </c>
      <c r="E137" s="267">
        <f t="shared" si="80"/>
        <v>6745.4865781348153</v>
      </c>
      <c r="F137" s="267">
        <f t="shared" si="80"/>
        <v>0</v>
      </c>
      <c r="G137" s="267">
        <f t="shared" si="80"/>
        <v>0</v>
      </c>
      <c r="H137" s="267">
        <f t="shared" si="80"/>
        <v>0</v>
      </c>
      <c r="I137" s="267">
        <f t="shared" si="80"/>
        <v>0</v>
      </c>
      <c r="J137" s="267">
        <f t="shared" si="80"/>
        <v>0</v>
      </c>
      <c r="K137" s="267">
        <f t="shared" si="80"/>
        <v>0</v>
      </c>
      <c r="L137" s="267">
        <f t="shared" si="80"/>
        <v>0</v>
      </c>
      <c r="M137" s="267">
        <f t="shared" si="80"/>
        <v>0</v>
      </c>
      <c r="N137" s="267">
        <f t="shared" si="80"/>
        <v>46.530872671404332</v>
      </c>
      <c r="O137" s="267">
        <f t="shared" si="80"/>
        <v>4948.2139579479281</v>
      </c>
      <c r="P137" s="267">
        <f t="shared" si="80"/>
        <v>0</v>
      </c>
      <c r="Q137" s="267">
        <f t="shared" si="80"/>
        <v>0</v>
      </c>
      <c r="R137" s="267">
        <f t="shared" si="78"/>
        <v>13592.486738373045</v>
      </c>
      <c r="U137" s="547"/>
      <c r="V137" s="266" t="s">
        <v>45</v>
      </c>
      <c r="W137" s="267">
        <f>SUM(W131:W136)</f>
        <v>749.76074429356208</v>
      </c>
      <c r="X137" s="267">
        <f t="shared" ref="X137:AK137" si="81">SUM(X131:X136)</f>
        <v>0</v>
      </c>
      <c r="Y137" s="267">
        <f t="shared" si="81"/>
        <v>3755.9674103779516</v>
      </c>
      <c r="Z137" s="267">
        <f t="shared" si="81"/>
        <v>0</v>
      </c>
      <c r="AA137" s="267">
        <f t="shared" si="81"/>
        <v>0</v>
      </c>
      <c r="AB137" s="267">
        <f t="shared" si="81"/>
        <v>0</v>
      </c>
      <c r="AC137" s="267">
        <f t="shared" si="81"/>
        <v>536.92594279951425</v>
      </c>
      <c r="AD137" s="267">
        <f t="shared" si="81"/>
        <v>0</v>
      </c>
      <c r="AE137" s="267">
        <f t="shared" si="81"/>
        <v>15.311002708197138</v>
      </c>
      <c r="AF137" s="267">
        <f t="shared" si="81"/>
        <v>89.54501465771574</v>
      </c>
      <c r="AG137" s="267">
        <f t="shared" si="81"/>
        <v>0</v>
      </c>
      <c r="AH137" s="267">
        <f t="shared" si="81"/>
        <v>78.736335358865773</v>
      </c>
      <c r="AI137" s="267">
        <f t="shared" si="81"/>
        <v>4898.6427096207453</v>
      </c>
      <c r="AJ137" s="267">
        <f t="shared" si="81"/>
        <v>0</v>
      </c>
      <c r="AK137" s="267">
        <f t="shared" si="81"/>
        <v>0</v>
      </c>
      <c r="AL137" s="267">
        <f t="shared" si="79"/>
        <v>10124.889159816554</v>
      </c>
    </row>
    <row r="138" spans="1:38" ht="14.4" customHeight="1">
      <c r="A138" s="547"/>
      <c r="B138" s="261" t="s">
        <v>46</v>
      </c>
      <c r="C138" s="470">
        <f>Industrie!$E$50</f>
        <v>2762.7171533320657</v>
      </c>
      <c r="D138" s="262">
        <v>0</v>
      </c>
      <c r="E138" s="262">
        <f>Industrie!$E$49</f>
        <v>285.67121999097407</v>
      </c>
      <c r="F138" s="262">
        <v>0</v>
      </c>
      <c r="G138" s="262">
        <v>0</v>
      </c>
      <c r="H138" s="262">
        <v>0</v>
      </c>
      <c r="I138" s="262">
        <v>0</v>
      </c>
      <c r="J138" s="262">
        <v>0</v>
      </c>
      <c r="K138" s="262">
        <v>0</v>
      </c>
      <c r="L138" s="262">
        <v>0</v>
      </c>
      <c r="M138" s="262">
        <v>0</v>
      </c>
      <c r="N138" s="262">
        <v>0</v>
      </c>
      <c r="O138" s="262">
        <v>0</v>
      </c>
      <c r="P138" s="262">
        <v>0</v>
      </c>
      <c r="Q138" s="262">
        <v>0</v>
      </c>
      <c r="R138" s="273">
        <f t="shared" si="78"/>
        <v>3048.3883733230396</v>
      </c>
      <c r="U138" s="547"/>
      <c r="V138" s="261" t="s">
        <v>46</v>
      </c>
      <c r="W138" s="470">
        <f>Industrie!$E$82</f>
        <v>2457.8018822285267</v>
      </c>
      <c r="X138" s="262">
        <v>0</v>
      </c>
      <c r="Y138" s="262">
        <f>Industrie!$E$80</f>
        <v>195.59340085719541</v>
      </c>
      <c r="Z138" s="262">
        <v>0</v>
      </c>
      <c r="AA138" s="262">
        <v>0</v>
      </c>
      <c r="AB138" s="262">
        <v>0</v>
      </c>
      <c r="AC138" s="470">
        <f>Industrie!$E$84</f>
        <v>19.559340085719541</v>
      </c>
      <c r="AD138" s="262">
        <v>0</v>
      </c>
      <c r="AE138" s="262">
        <v>0</v>
      </c>
      <c r="AF138" s="262">
        <v>0</v>
      </c>
      <c r="AG138" s="262">
        <v>0</v>
      </c>
      <c r="AH138" s="262">
        <v>0</v>
      </c>
      <c r="AI138" s="262">
        <v>0</v>
      </c>
      <c r="AJ138" s="262">
        <v>0</v>
      </c>
      <c r="AK138" s="262">
        <v>0</v>
      </c>
      <c r="AL138" s="273">
        <f t="shared" si="79"/>
        <v>2672.9546231714417</v>
      </c>
    </row>
    <row r="139" spans="1:38" ht="14.4" customHeight="1">
      <c r="A139" s="547"/>
      <c r="B139" s="266" t="s">
        <v>47</v>
      </c>
      <c r="C139" s="267">
        <f>C138+C137</f>
        <v>4614.9724829509623</v>
      </c>
      <c r="D139" s="267">
        <f t="shared" ref="D139:Q139" si="82">D138+D137</f>
        <v>0</v>
      </c>
      <c r="E139" s="267">
        <f t="shared" si="82"/>
        <v>7031.1577981257897</v>
      </c>
      <c r="F139" s="267">
        <f t="shared" si="82"/>
        <v>0</v>
      </c>
      <c r="G139" s="267">
        <f t="shared" si="82"/>
        <v>0</v>
      </c>
      <c r="H139" s="267">
        <f t="shared" si="82"/>
        <v>0</v>
      </c>
      <c r="I139" s="267">
        <f t="shared" si="82"/>
        <v>0</v>
      </c>
      <c r="J139" s="267">
        <f t="shared" si="82"/>
        <v>0</v>
      </c>
      <c r="K139" s="267">
        <f t="shared" si="82"/>
        <v>0</v>
      </c>
      <c r="L139" s="267">
        <f t="shared" si="82"/>
        <v>0</v>
      </c>
      <c r="M139" s="267">
        <f t="shared" si="82"/>
        <v>0</v>
      </c>
      <c r="N139" s="267">
        <f t="shared" si="82"/>
        <v>46.530872671404332</v>
      </c>
      <c r="O139" s="267">
        <f t="shared" si="82"/>
        <v>4948.2139579479281</v>
      </c>
      <c r="P139" s="267">
        <f t="shared" si="82"/>
        <v>0</v>
      </c>
      <c r="Q139" s="267">
        <f t="shared" si="82"/>
        <v>0</v>
      </c>
      <c r="R139" s="267">
        <f t="shared" si="78"/>
        <v>16640.875111696085</v>
      </c>
      <c r="U139" s="547"/>
      <c r="V139" s="266" t="s">
        <v>47</v>
      </c>
      <c r="W139" s="267">
        <f>W138+W137</f>
        <v>3207.562626522089</v>
      </c>
      <c r="X139" s="267">
        <f t="shared" ref="X139:AK139" si="83">X138+X137</f>
        <v>0</v>
      </c>
      <c r="Y139" s="267">
        <f t="shared" si="83"/>
        <v>3951.560811235147</v>
      </c>
      <c r="Z139" s="267">
        <f t="shared" si="83"/>
        <v>0</v>
      </c>
      <c r="AA139" s="267">
        <f t="shared" si="83"/>
        <v>0</v>
      </c>
      <c r="AB139" s="267">
        <f t="shared" si="83"/>
        <v>0</v>
      </c>
      <c r="AC139" s="267">
        <f t="shared" si="83"/>
        <v>556.4852828852338</v>
      </c>
      <c r="AD139" s="267">
        <f t="shared" si="83"/>
        <v>0</v>
      </c>
      <c r="AE139" s="267">
        <f t="shared" si="83"/>
        <v>15.311002708197138</v>
      </c>
      <c r="AF139" s="267">
        <f t="shared" si="83"/>
        <v>89.54501465771574</v>
      </c>
      <c r="AG139" s="267">
        <f t="shared" si="83"/>
        <v>0</v>
      </c>
      <c r="AH139" s="267">
        <f t="shared" si="83"/>
        <v>78.736335358865773</v>
      </c>
      <c r="AI139" s="267">
        <f t="shared" si="83"/>
        <v>4898.6427096207453</v>
      </c>
      <c r="AJ139" s="267">
        <f t="shared" si="83"/>
        <v>0</v>
      </c>
      <c r="AK139" s="267">
        <f t="shared" si="83"/>
        <v>0</v>
      </c>
      <c r="AL139" s="267">
        <f t="shared" si="79"/>
        <v>12797.843782987995</v>
      </c>
    </row>
    <row r="142" spans="1:38">
      <c r="AI142">
        <f>(AL137-AL131)/(AL96-AL90)</f>
        <v>0.92832180442782553</v>
      </c>
      <c r="AJ142" s="473">
        <f>AL139+AL129</f>
        <v>17423.462045103883</v>
      </c>
    </row>
    <row r="148" spans="1:38" ht="14.4" customHeight="1">
      <c r="A148" s="547">
        <v>2035</v>
      </c>
      <c r="B148" s="548" t="s">
        <v>12</v>
      </c>
      <c r="C148" s="549" t="s">
        <v>14</v>
      </c>
      <c r="D148" s="549" t="s">
        <v>15</v>
      </c>
      <c r="E148" s="549" t="s">
        <v>16</v>
      </c>
      <c r="F148" s="549" t="s">
        <v>17</v>
      </c>
      <c r="G148" s="549" t="s">
        <v>370</v>
      </c>
      <c r="H148" s="549" t="s">
        <v>18</v>
      </c>
      <c r="I148" s="549" t="s">
        <v>19</v>
      </c>
      <c r="J148" s="549"/>
      <c r="K148" s="549"/>
      <c r="L148" s="549"/>
      <c r="M148" s="549"/>
      <c r="N148" s="549"/>
      <c r="O148" s="550" t="s">
        <v>371</v>
      </c>
      <c r="P148" s="550" t="s">
        <v>21</v>
      </c>
      <c r="Q148" s="550" t="s">
        <v>372</v>
      </c>
      <c r="R148" s="550" t="s">
        <v>23</v>
      </c>
      <c r="U148" s="547">
        <v>2035</v>
      </c>
      <c r="V148" s="555" t="s">
        <v>12</v>
      </c>
      <c r="W148" s="550" t="s">
        <v>14</v>
      </c>
      <c r="X148" s="550" t="s">
        <v>15</v>
      </c>
      <c r="Y148" s="550" t="s">
        <v>16</v>
      </c>
      <c r="Z148" s="550" t="s">
        <v>17</v>
      </c>
      <c r="AA148" s="550" t="s">
        <v>370</v>
      </c>
      <c r="AB148" s="550" t="s">
        <v>18</v>
      </c>
      <c r="AC148" s="552" t="s">
        <v>19</v>
      </c>
      <c r="AD148" s="553"/>
      <c r="AE148" s="553"/>
      <c r="AF148" s="553"/>
      <c r="AG148" s="553"/>
      <c r="AH148" s="554"/>
      <c r="AI148" s="550" t="s">
        <v>371</v>
      </c>
      <c r="AJ148" s="550" t="s">
        <v>21</v>
      </c>
      <c r="AK148" s="550" t="s">
        <v>372</v>
      </c>
      <c r="AL148" s="550" t="s">
        <v>23</v>
      </c>
    </row>
    <row r="149" spans="1:38" ht="45.6">
      <c r="A149" s="547"/>
      <c r="B149" s="548"/>
      <c r="C149" s="549"/>
      <c r="D149" s="549"/>
      <c r="E149" s="549"/>
      <c r="F149" s="549"/>
      <c r="G149" s="549"/>
      <c r="H149" s="549"/>
      <c r="I149" s="259" t="s">
        <v>359</v>
      </c>
      <c r="J149" s="259" t="s">
        <v>7</v>
      </c>
      <c r="K149" s="259" t="s">
        <v>360</v>
      </c>
      <c r="L149" s="259" t="s">
        <v>373</v>
      </c>
      <c r="M149" s="260" t="s">
        <v>374</v>
      </c>
      <c r="N149" s="259" t="s">
        <v>375</v>
      </c>
      <c r="O149" s="550"/>
      <c r="P149" s="550"/>
      <c r="Q149" s="550"/>
      <c r="R149" s="550"/>
      <c r="U149" s="547"/>
      <c r="V149" s="556"/>
      <c r="W149" s="551"/>
      <c r="X149" s="551"/>
      <c r="Y149" s="551"/>
      <c r="Z149" s="551"/>
      <c r="AA149" s="551"/>
      <c r="AB149" s="551"/>
      <c r="AC149" s="259" t="s">
        <v>359</v>
      </c>
      <c r="AD149" s="259" t="s">
        <v>7</v>
      </c>
      <c r="AE149" s="259" t="s">
        <v>360</v>
      </c>
      <c r="AF149" s="259" t="s">
        <v>373</v>
      </c>
      <c r="AG149" s="260" t="s">
        <v>374</v>
      </c>
      <c r="AH149" s="259" t="s">
        <v>375</v>
      </c>
      <c r="AI149" s="551"/>
      <c r="AJ149" s="551"/>
      <c r="AK149" s="551"/>
      <c r="AL149" s="551"/>
    </row>
    <row r="150" spans="1:38" ht="14.4" customHeight="1">
      <c r="A150" s="547"/>
      <c r="B150" s="261" t="s">
        <v>24</v>
      </c>
      <c r="C150" s="262">
        <v>0</v>
      </c>
      <c r="D150" s="263">
        <v>0</v>
      </c>
      <c r="E150" s="263">
        <v>0</v>
      </c>
      <c r="F150" s="262">
        <v>0</v>
      </c>
      <c r="G150" s="263">
        <v>0</v>
      </c>
      <c r="H150" s="263">
        <f>H156</f>
        <v>1103.5417545405014</v>
      </c>
      <c r="I150" s="263">
        <f>I156</f>
        <v>12.337596024829276</v>
      </c>
      <c r="J150" s="263">
        <v>0</v>
      </c>
      <c r="K150" s="263">
        <v>0</v>
      </c>
      <c r="L150" s="263">
        <f>L156</f>
        <v>0</v>
      </c>
      <c r="M150" s="263">
        <v>0</v>
      </c>
      <c r="N150" s="263">
        <f>N156</f>
        <v>49.707632976588116</v>
      </c>
      <c r="O150" s="264">
        <v>0</v>
      </c>
      <c r="P150" s="263">
        <v>0</v>
      </c>
      <c r="Q150" s="263">
        <v>0</v>
      </c>
      <c r="R150" s="265">
        <f>SUM(C150:Q150)</f>
        <v>1165.5869835419189</v>
      </c>
      <c r="U150" s="547"/>
      <c r="V150" s="261" t="s">
        <v>24</v>
      </c>
      <c r="W150" s="262">
        <v>0</v>
      </c>
      <c r="X150" s="263">
        <v>0</v>
      </c>
      <c r="Y150" s="263">
        <v>0</v>
      </c>
      <c r="Z150" s="262">
        <v>0</v>
      </c>
      <c r="AA150" s="263">
        <v>0</v>
      </c>
      <c r="AB150" s="263">
        <f>AB156</f>
        <v>2932.2292370584782</v>
      </c>
      <c r="AC150" s="471">
        <f>IF((AC156-$AC$27)&gt;0,$AC$27+(AC156-$AC$27)*0.5,AC156)</f>
        <v>973.95752481672366</v>
      </c>
      <c r="AD150" s="471">
        <f>AD156</f>
        <v>1332.8314713902173</v>
      </c>
      <c r="AE150" s="471">
        <f>IF((AE156-$AE$27)&gt;0,$AE$27+(AE156-AE153-AE154-$AE$27)*0.5,AE156-AE153-AE$72)</f>
        <v>708.68740888647994</v>
      </c>
      <c r="AF150" s="263">
        <f>AF156</f>
        <v>97.983073622469362</v>
      </c>
      <c r="AG150" s="263">
        <v>0</v>
      </c>
      <c r="AH150" s="263">
        <f>AH156</f>
        <v>69.092319716637178</v>
      </c>
      <c r="AI150" s="264">
        <v>0</v>
      </c>
      <c r="AJ150" s="263">
        <v>0</v>
      </c>
      <c r="AK150" s="263">
        <v>0</v>
      </c>
      <c r="AL150" s="265">
        <f>SUM(W150:AK150)</f>
        <v>6114.7810354910062</v>
      </c>
    </row>
    <row r="151" spans="1:38" ht="14.4" customHeight="1">
      <c r="A151" s="547"/>
      <c r="B151" s="261" t="s">
        <v>28</v>
      </c>
      <c r="C151" s="470">
        <f>C156</f>
        <v>11484.094705768333</v>
      </c>
      <c r="D151" s="263">
        <f>D156</f>
        <v>0</v>
      </c>
      <c r="E151" s="471">
        <f>E156-E153-E154</f>
        <v>11479.505774107147</v>
      </c>
      <c r="F151" s="262">
        <v>0</v>
      </c>
      <c r="G151" s="263">
        <v>0</v>
      </c>
      <c r="H151" s="263">
        <v>0</v>
      </c>
      <c r="I151" s="263">
        <v>0</v>
      </c>
      <c r="J151" s="263">
        <v>0</v>
      </c>
      <c r="K151" s="263">
        <f>K156</f>
        <v>0</v>
      </c>
      <c r="L151" s="263">
        <v>0</v>
      </c>
      <c r="M151" s="263">
        <v>0</v>
      </c>
      <c r="N151" s="263">
        <v>0</v>
      </c>
      <c r="O151" s="264">
        <v>0</v>
      </c>
      <c r="P151" s="263">
        <v>0</v>
      </c>
      <c r="Q151" s="263">
        <v>0</v>
      </c>
      <c r="R151" s="265">
        <f t="shared" ref="R151:R156" si="84">SUM(C151:Q151)</f>
        <v>22963.60047987548</v>
      </c>
      <c r="U151" s="547"/>
      <c r="V151" s="261" t="s">
        <v>28</v>
      </c>
      <c r="W151" s="262">
        <f>W156</f>
        <v>2928.9305258079448</v>
      </c>
      <c r="X151" s="263">
        <f>X156</f>
        <v>0</v>
      </c>
      <c r="Y151" s="471">
        <f>Y156-Y153-Y154</f>
        <v>5511.1077432943139</v>
      </c>
      <c r="Z151" s="470">
        <v>0</v>
      </c>
      <c r="AA151" s="471">
        <v>0</v>
      </c>
      <c r="AB151" s="471">
        <v>0</v>
      </c>
      <c r="AC151" s="471">
        <f>IF((AC156-$AC$27)&gt;0,(AC156-$AC$27)*0.5,0)</f>
        <v>973.95752481672366</v>
      </c>
      <c r="AD151" s="471">
        <v>0</v>
      </c>
      <c r="AE151" s="471">
        <f>IF((AE156-AE153-AE154-$AE$27)&gt;0,(AE156-AE153-AE154-$AE$27)*0.5,0)</f>
        <v>708.68740888647994</v>
      </c>
      <c r="AF151" s="263">
        <v>0</v>
      </c>
      <c r="AG151" s="263">
        <v>0</v>
      </c>
      <c r="AH151" s="263">
        <v>0</v>
      </c>
      <c r="AI151" s="264">
        <v>0</v>
      </c>
      <c r="AJ151" s="263">
        <v>0</v>
      </c>
      <c r="AK151" s="263">
        <v>0</v>
      </c>
      <c r="AL151" s="265">
        <f t="shared" ref="AL151:AL156" si="85">SUM(W151:AK151)</f>
        <v>10122.683202805463</v>
      </c>
    </row>
    <row r="152" spans="1:38" ht="14.4" customHeight="1">
      <c r="A152" s="547"/>
      <c r="B152" s="261" t="s">
        <v>29</v>
      </c>
      <c r="C152" s="470">
        <v>0</v>
      </c>
      <c r="D152" s="263">
        <v>0</v>
      </c>
      <c r="E152" s="263">
        <v>0</v>
      </c>
      <c r="F152" s="262">
        <v>0</v>
      </c>
      <c r="G152" s="263">
        <v>0</v>
      </c>
      <c r="H152" s="263">
        <v>0</v>
      </c>
      <c r="I152" s="263">
        <v>0</v>
      </c>
      <c r="J152" s="263">
        <v>0</v>
      </c>
      <c r="K152" s="263">
        <v>0</v>
      </c>
      <c r="L152" s="263">
        <v>0</v>
      </c>
      <c r="M152" s="263">
        <v>0</v>
      </c>
      <c r="N152" s="263">
        <v>0</v>
      </c>
      <c r="O152" s="264">
        <v>0</v>
      </c>
      <c r="P152" s="263">
        <v>0</v>
      </c>
      <c r="Q152" s="263">
        <v>0</v>
      </c>
      <c r="R152" s="265">
        <f t="shared" si="84"/>
        <v>0</v>
      </c>
      <c r="U152" s="547"/>
      <c r="V152" s="261" t="s">
        <v>29</v>
      </c>
      <c r="W152" s="262">
        <v>0</v>
      </c>
      <c r="X152" s="263">
        <v>0</v>
      </c>
      <c r="Y152" s="263">
        <v>0</v>
      </c>
      <c r="Z152" s="262">
        <v>0</v>
      </c>
      <c r="AA152" s="263">
        <v>0</v>
      </c>
      <c r="AB152" s="263">
        <v>0</v>
      </c>
      <c r="AC152" s="263">
        <v>0</v>
      </c>
      <c r="AD152" s="471">
        <v>0</v>
      </c>
      <c r="AE152" s="263">
        <v>0</v>
      </c>
      <c r="AF152" s="263">
        <v>0</v>
      </c>
      <c r="AG152" s="263">
        <v>0</v>
      </c>
      <c r="AH152" s="263">
        <v>0</v>
      </c>
      <c r="AI152" s="264">
        <v>0</v>
      </c>
      <c r="AJ152" s="263">
        <v>0</v>
      </c>
      <c r="AK152" s="263">
        <v>0</v>
      </c>
      <c r="AL152" s="265">
        <f t="shared" si="85"/>
        <v>0</v>
      </c>
    </row>
    <row r="153" spans="1:38" ht="14.4" customHeight="1">
      <c r="A153" s="547"/>
      <c r="B153" s="261" t="s">
        <v>30</v>
      </c>
      <c r="C153" s="470">
        <v>0</v>
      </c>
      <c r="D153" s="263">
        <v>0</v>
      </c>
      <c r="E153" s="263">
        <f>-Transports!$F$125</f>
        <v>-224.48577804314235</v>
      </c>
      <c r="F153" s="262">
        <v>0</v>
      </c>
      <c r="G153" s="263">
        <v>0</v>
      </c>
      <c r="H153" s="263">
        <v>0</v>
      </c>
      <c r="I153" s="263">
        <v>0</v>
      </c>
      <c r="J153" s="263">
        <v>0</v>
      </c>
      <c r="K153" s="263">
        <v>0</v>
      </c>
      <c r="L153" s="263">
        <v>0</v>
      </c>
      <c r="M153" s="263">
        <v>0</v>
      </c>
      <c r="N153" s="263">
        <v>0</v>
      </c>
      <c r="O153" s="264">
        <v>0</v>
      </c>
      <c r="P153" s="263">
        <v>0</v>
      </c>
      <c r="Q153" s="263">
        <v>0</v>
      </c>
      <c r="R153" s="265">
        <f t="shared" si="84"/>
        <v>-224.48577804314235</v>
      </c>
      <c r="U153" s="547"/>
      <c r="V153" s="261" t="s">
        <v>30</v>
      </c>
      <c r="W153" s="262">
        <v>0</v>
      </c>
      <c r="X153" s="263">
        <v>0</v>
      </c>
      <c r="Y153" s="471">
        <f>-Transports!$F$172-Transports!$F$171</f>
        <v>-178.63553972523206</v>
      </c>
      <c r="Z153" s="470">
        <v>0</v>
      </c>
      <c r="AA153" s="471">
        <v>0</v>
      </c>
      <c r="AB153" s="471">
        <v>0</v>
      </c>
      <c r="AC153" s="471">
        <v>0</v>
      </c>
      <c r="AD153" s="471">
        <v>0</v>
      </c>
      <c r="AE153" s="471">
        <f>-Transports!$F$170</f>
        <v>-26.221730601868931</v>
      </c>
      <c r="AF153" s="263">
        <v>0</v>
      </c>
      <c r="AG153" s="263">
        <v>0</v>
      </c>
      <c r="AH153" s="263">
        <v>0</v>
      </c>
      <c r="AI153" s="264">
        <v>0</v>
      </c>
      <c r="AJ153" s="263">
        <v>0</v>
      </c>
      <c r="AK153" s="263">
        <v>0</v>
      </c>
      <c r="AL153" s="265">
        <f t="shared" si="85"/>
        <v>-204.85727032710099</v>
      </c>
    </row>
    <row r="154" spans="1:38" ht="14.4" customHeight="1">
      <c r="A154" s="547"/>
      <c r="B154" s="261" t="s">
        <v>31</v>
      </c>
      <c r="C154" s="470">
        <v>0</v>
      </c>
      <c r="D154" s="263">
        <v>0</v>
      </c>
      <c r="E154" s="263">
        <f>-Transports!$F$202</f>
        <v>-189.5130252017089</v>
      </c>
      <c r="F154" s="262">
        <v>0</v>
      </c>
      <c r="G154" s="263">
        <v>0</v>
      </c>
      <c r="H154" s="263">
        <v>0</v>
      </c>
      <c r="I154" s="263">
        <v>0</v>
      </c>
      <c r="J154" s="263">
        <v>0</v>
      </c>
      <c r="K154" s="263">
        <v>0</v>
      </c>
      <c r="L154" s="263">
        <v>0</v>
      </c>
      <c r="M154" s="263">
        <v>0</v>
      </c>
      <c r="N154" s="263">
        <v>0</v>
      </c>
      <c r="O154" s="264">
        <v>0</v>
      </c>
      <c r="P154" s="263">
        <v>0</v>
      </c>
      <c r="Q154" s="263">
        <v>0</v>
      </c>
      <c r="R154" s="265">
        <f t="shared" si="84"/>
        <v>-189.5130252017089</v>
      </c>
      <c r="U154" s="547"/>
      <c r="V154" s="261" t="s">
        <v>31</v>
      </c>
      <c r="W154" s="262">
        <v>0</v>
      </c>
      <c r="X154" s="263">
        <v>0</v>
      </c>
      <c r="Y154" s="471">
        <f>-Transports!$F$234</f>
        <v>-137.82554575763191</v>
      </c>
      <c r="Z154" s="470">
        <v>0</v>
      </c>
      <c r="AA154" s="471">
        <v>0</v>
      </c>
      <c r="AB154" s="471">
        <v>0</v>
      </c>
      <c r="AC154" s="471">
        <v>0</v>
      </c>
      <c r="AD154" s="471">
        <v>0</v>
      </c>
      <c r="AE154" s="471">
        <f>-Transports!$F$233-Transports!$F$232</f>
        <v>-34.544139408051635</v>
      </c>
      <c r="AF154" s="263">
        <v>0</v>
      </c>
      <c r="AG154" s="263">
        <v>0</v>
      </c>
      <c r="AH154" s="263">
        <v>0</v>
      </c>
      <c r="AI154" s="264">
        <v>0</v>
      </c>
      <c r="AJ154" s="263">
        <v>0</v>
      </c>
      <c r="AK154" s="263">
        <v>0</v>
      </c>
      <c r="AL154" s="265">
        <f t="shared" si="85"/>
        <v>-172.36968516568356</v>
      </c>
    </row>
    <row r="155" spans="1:38" ht="14.4" customHeight="1">
      <c r="A155" s="547"/>
      <c r="B155" s="261" t="s">
        <v>32</v>
      </c>
      <c r="C155" s="470">
        <v>0</v>
      </c>
      <c r="D155" s="263">
        <v>0</v>
      </c>
      <c r="E155" s="263">
        <v>0</v>
      </c>
      <c r="F155" s="262">
        <v>0</v>
      </c>
      <c r="G155" s="263">
        <v>0</v>
      </c>
      <c r="H155" s="263">
        <v>0</v>
      </c>
      <c r="I155" s="263">
        <v>0</v>
      </c>
      <c r="J155" s="263">
        <v>0</v>
      </c>
      <c r="K155" s="263">
        <v>0</v>
      </c>
      <c r="L155" s="263">
        <v>0</v>
      </c>
      <c r="M155" s="263">
        <v>0</v>
      </c>
      <c r="N155" s="263">
        <v>0</v>
      </c>
      <c r="O155" s="264">
        <v>0</v>
      </c>
      <c r="P155" s="263">
        <v>0</v>
      </c>
      <c r="Q155" s="263">
        <v>0</v>
      </c>
      <c r="R155" s="265">
        <f t="shared" si="84"/>
        <v>0</v>
      </c>
      <c r="U155" s="547"/>
      <c r="V155" s="261" t="s">
        <v>32</v>
      </c>
      <c r="W155" s="262">
        <v>0</v>
      </c>
      <c r="X155" s="263">
        <v>0</v>
      </c>
      <c r="Y155" s="263">
        <v>0</v>
      </c>
      <c r="Z155" s="262">
        <v>0</v>
      </c>
      <c r="AA155" s="263">
        <v>0</v>
      </c>
      <c r="AB155" s="263">
        <v>0</v>
      </c>
      <c r="AC155" s="263">
        <v>0</v>
      </c>
      <c r="AD155" s="471">
        <v>0</v>
      </c>
      <c r="AE155" s="263">
        <v>0</v>
      </c>
      <c r="AF155" s="263">
        <v>0</v>
      </c>
      <c r="AG155" s="263">
        <v>0</v>
      </c>
      <c r="AH155" s="263">
        <v>0</v>
      </c>
      <c r="AI155" s="264">
        <v>0</v>
      </c>
      <c r="AJ155" s="263">
        <v>0</v>
      </c>
      <c r="AK155" s="263">
        <v>0</v>
      </c>
      <c r="AL155" s="265">
        <f t="shared" si="85"/>
        <v>0</v>
      </c>
    </row>
    <row r="156" spans="1:38" ht="14.4" customHeight="1">
      <c r="A156" s="547"/>
      <c r="B156" s="266" t="s">
        <v>376</v>
      </c>
      <c r="C156" s="472">
        <f>C170+C180</f>
        <v>11484.094705768333</v>
      </c>
      <c r="D156" s="267">
        <f>D170+D180</f>
        <v>0</v>
      </c>
      <c r="E156" s="267">
        <f>E170+E180</f>
        <v>11065.506970862294</v>
      </c>
      <c r="F156" s="267">
        <f t="shared" ref="F156:G156" si="86">SUM(F150:F155)</f>
        <v>0</v>
      </c>
      <c r="G156" s="267">
        <f t="shared" si="86"/>
        <v>0</v>
      </c>
      <c r="H156" s="267">
        <f>H170</f>
        <v>1103.5417545405014</v>
      </c>
      <c r="I156" s="267">
        <f>I170+I178</f>
        <v>12.337596024829276</v>
      </c>
      <c r="J156" s="267">
        <f t="shared" ref="J156" si="87">SUM(J150:J155)</f>
        <v>0</v>
      </c>
      <c r="K156" s="267">
        <f>K170+K180</f>
        <v>0</v>
      </c>
      <c r="L156" s="267">
        <f>L170+L180</f>
        <v>0</v>
      </c>
      <c r="M156" s="267">
        <f t="shared" ref="M156" si="88">SUM(M150:M155)</f>
        <v>0</v>
      </c>
      <c r="N156" s="267">
        <f>N170+N180</f>
        <v>49.707632976588116</v>
      </c>
      <c r="O156" s="267">
        <f t="shared" ref="O156:Q156" si="89">SUM(O150:O155)</f>
        <v>0</v>
      </c>
      <c r="P156" s="267">
        <f t="shared" si="89"/>
        <v>0</v>
      </c>
      <c r="Q156" s="267">
        <f t="shared" si="89"/>
        <v>0</v>
      </c>
      <c r="R156" s="267">
        <f t="shared" si="84"/>
        <v>23715.188660172545</v>
      </c>
      <c r="U156" s="547"/>
      <c r="V156" s="266" t="s">
        <v>376</v>
      </c>
      <c r="W156" s="472">
        <f>W180+W170</f>
        <v>2928.9305258079448</v>
      </c>
      <c r="X156" s="267">
        <f>X170+X180</f>
        <v>0</v>
      </c>
      <c r="Y156" s="267">
        <f>Y170+Y180</f>
        <v>5194.6466578114505</v>
      </c>
      <c r="Z156" s="267">
        <f t="shared" ref="Z156:AA156" si="90">SUM(Z150:Z155)</f>
        <v>0</v>
      </c>
      <c r="AA156" s="267">
        <f t="shared" si="90"/>
        <v>0</v>
      </c>
      <c r="AB156" s="267">
        <f>AB170</f>
        <v>2932.2292370584782</v>
      </c>
      <c r="AC156" s="267">
        <f>AC170+AC180</f>
        <v>1947.9150496334473</v>
      </c>
      <c r="AD156" s="472">
        <f>AD170</f>
        <v>1332.8314713902173</v>
      </c>
      <c r="AE156" s="267">
        <f>AE170+AE180</f>
        <v>1356.6089477630392</v>
      </c>
      <c r="AF156" s="267">
        <f>AF170+AF180</f>
        <v>97.983073622469362</v>
      </c>
      <c r="AG156" s="267">
        <f t="shared" ref="AG156" si="91">SUM(AG150:AG155)</f>
        <v>0</v>
      </c>
      <c r="AH156" s="267">
        <f>AH170+AH180</f>
        <v>69.092319716637178</v>
      </c>
      <c r="AI156" s="267">
        <f t="shared" ref="AI156:AK156" si="92">SUM(AI150:AI155)</f>
        <v>0</v>
      </c>
      <c r="AJ156" s="267">
        <f t="shared" si="92"/>
        <v>0</v>
      </c>
      <c r="AK156" s="267">
        <f t="shared" si="92"/>
        <v>0</v>
      </c>
      <c r="AL156" s="267">
        <f t="shared" si="85"/>
        <v>15860.237282803684</v>
      </c>
    </row>
    <row r="157" spans="1:38" ht="14.4" customHeight="1">
      <c r="A157" s="547"/>
      <c r="B157" s="268"/>
      <c r="C157" s="269"/>
      <c r="D157" s="237"/>
      <c r="E157" s="270"/>
      <c r="F157" s="269"/>
      <c r="G157" s="269"/>
      <c r="H157" s="269"/>
      <c r="I157" s="269"/>
      <c r="J157" s="269"/>
      <c r="K157" s="269"/>
      <c r="L157" s="269"/>
      <c r="M157" s="269"/>
      <c r="N157" s="269"/>
      <c r="O157" s="278"/>
      <c r="P157" s="269"/>
      <c r="Q157" s="269"/>
      <c r="R157" s="269"/>
      <c r="U157" s="547"/>
      <c r="V157" s="268"/>
      <c r="W157" s="269"/>
      <c r="X157" s="237"/>
      <c r="Y157" s="270"/>
      <c r="Z157" s="269"/>
      <c r="AA157" s="269"/>
      <c r="AB157" s="269"/>
      <c r="AC157" s="269"/>
      <c r="AD157" s="269"/>
      <c r="AE157" s="269"/>
      <c r="AF157" s="269"/>
      <c r="AG157" s="269"/>
      <c r="AH157" s="269"/>
      <c r="AI157" s="278"/>
      <c r="AJ157" s="269"/>
      <c r="AK157" s="269"/>
      <c r="AL157" s="269"/>
    </row>
    <row r="158" spans="1:38" ht="14.4" customHeight="1">
      <c r="A158" s="547"/>
      <c r="B158" s="271" t="s">
        <v>377</v>
      </c>
      <c r="C158" s="262">
        <v>0</v>
      </c>
      <c r="D158" s="272">
        <v>0</v>
      </c>
      <c r="E158" s="272">
        <v>0</v>
      </c>
      <c r="F158" s="262">
        <v>0</v>
      </c>
      <c r="G158" s="262">
        <v>0</v>
      </c>
      <c r="H158" s="262">
        <v>0</v>
      </c>
      <c r="I158" s="262">
        <v>0</v>
      </c>
      <c r="J158" s="262">
        <v>0</v>
      </c>
      <c r="K158" s="262">
        <v>0</v>
      </c>
      <c r="L158" s="262">
        <v>0</v>
      </c>
      <c r="M158" s="262">
        <v>0</v>
      </c>
      <c r="N158" s="262">
        <v>0</v>
      </c>
      <c r="O158" s="262">
        <v>0</v>
      </c>
      <c r="P158" s="262">
        <v>0</v>
      </c>
      <c r="Q158" s="262">
        <v>0</v>
      </c>
      <c r="R158" s="273">
        <f>SUM(C158:Q158)</f>
        <v>0</v>
      </c>
      <c r="U158" s="547"/>
      <c r="V158" s="271" t="s">
        <v>377</v>
      </c>
      <c r="W158" s="262">
        <v>0</v>
      </c>
      <c r="X158" s="272">
        <v>0</v>
      </c>
      <c r="Y158" s="272">
        <v>0</v>
      </c>
      <c r="Z158" s="262">
        <v>0</v>
      </c>
      <c r="AA158" s="262">
        <v>0</v>
      </c>
      <c r="AB158" s="262">
        <v>0</v>
      </c>
      <c r="AC158" s="262">
        <v>0</v>
      </c>
      <c r="AD158" s="262">
        <v>0</v>
      </c>
      <c r="AE158" s="262">
        <v>0</v>
      </c>
      <c r="AF158" s="262">
        <v>0</v>
      </c>
      <c r="AG158" s="262">
        <v>0</v>
      </c>
      <c r="AH158" s="262">
        <v>0</v>
      </c>
      <c r="AI158" s="262">
        <v>0</v>
      </c>
      <c r="AJ158" s="262">
        <v>0</v>
      </c>
      <c r="AK158" s="262">
        <v>0</v>
      </c>
      <c r="AL158" s="273">
        <f>SUM(W158:AK158)</f>
        <v>0</v>
      </c>
    </row>
    <row r="159" spans="1:38" ht="14.4" customHeight="1">
      <c r="A159" s="547"/>
      <c r="B159" s="271" t="s">
        <v>378</v>
      </c>
      <c r="C159" s="262">
        <f>O159*'Prod Energie'!$F$37/(-$J$13)</f>
        <v>6869.3893308676679</v>
      </c>
      <c r="D159" s="262">
        <v>0</v>
      </c>
      <c r="E159" s="262">
        <f>O159*'Prod Energie'!$F$38/(-$K$13)</f>
        <v>4038.5516770980121</v>
      </c>
      <c r="F159" s="262">
        <v>0</v>
      </c>
      <c r="G159" s="262">
        <v>0</v>
      </c>
      <c r="H159" s="262">
        <f>(O159)*('Prod Energie'!$F$39+'Prod Energie'!$F$44+'Prod Energie'!$F$45)/(-$L$13)</f>
        <v>1103.5417545405014</v>
      </c>
      <c r="I159" s="274">
        <f>(O159)*('Prod Energie'!$F$43)/(-$M$13)</f>
        <v>12.337596024829276</v>
      </c>
      <c r="J159" s="274">
        <f>(O159)*$L$17*('Prod Energie'!$F$41)</f>
        <v>0</v>
      </c>
      <c r="K159" s="274">
        <f>(O159)*$L$17*('Prod Energie'!$F$42)</f>
        <v>0</v>
      </c>
      <c r="L159" s="274">
        <f>(O159)*$L$17*('Prod Energie'!$F$46)</f>
        <v>0</v>
      </c>
      <c r="M159" s="274">
        <v>0</v>
      </c>
      <c r="N159" s="274">
        <f>0</f>
        <v>0</v>
      </c>
      <c r="O159" s="262">
        <f>O170/(1+$F$17+$F$18)</f>
        <v>-5287.0022502465017</v>
      </c>
      <c r="P159" s="262">
        <v>0</v>
      </c>
      <c r="Q159" s="262">
        <v>0</v>
      </c>
      <c r="R159" s="273">
        <f t="shared" ref="R159:R170" si="93">SUM(C159:Q159)</f>
        <v>6736.8181082845094</v>
      </c>
      <c r="U159" s="547"/>
      <c r="V159" s="271" t="s">
        <v>378</v>
      </c>
      <c r="W159" s="470">
        <f>AI159*'Prod Energie'!$F$59/(-$J$13)</f>
        <v>0</v>
      </c>
      <c r="X159" s="470">
        <v>0</v>
      </c>
      <c r="Y159" s="470">
        <f>AI159*'Prod Energie'!$F$60/(-$K$13)</f>
        <v>1817.4974609866599</v>
      </c>
      <c r="Z159" s="470">
        <v>0</v>
      </c>
      <c r="AA159" s="470">
        <v>0</v>
      </c>
      <c r="AB159" s="470">
        <f>(AI159)*('Prod Energie'!$F$61+'Prod Energie'!$F$66+'Prod Energie'!$F$67)/(-$L$13)</f>
        <v>2932.2292370584782</v>
      </c>
      <c r="AC159" s="274">
        <f>(AI159)*'Prod Energie'!$F$65/(-$M$13)</f>
        <v>1332.8314713902173</v>
      </c>
      <c r="AD159" s="274">
        <f>(AI159)*('Prod Energie'!$F$63)/(-$N$13)</f>
        <v>1332.8314713902173</v>
      </c>
      <c r="AE159" s="274">
        <f>(AI159)*('Prod Energie'!$F$64)/(-$M$13)</f>
        <v>1332.8314713902187</v>
      </c>
      <c r="AF159" s="274">
        <f>(AI159)*('Prod Energie'!$F$68)/(-$P$13)</f>
        <v>0</v>
      </c>
      <c r="AG159" s="274">
        <v>0</v>
      </c>
      <c r="AH159" s="274">
        <f>(AI159)*'Prod Energie'!$F$62/(-$Q$13)</f>
        <v>0</v>
      </c>
      <c r="AI159" s="262">
        <f>AI170/(1+$F$17+$F$18)</f>
        <v>-5331.3258855608692</v>
      </c>
      <c r="AJ159" s="262">
        <v>0</v>
      </c>
      <c r="AK159" s="262">
        <v>0</v>
      </c>
      <c r="AL159" s="273">
        <f t="shared" ref="AL159:AL170" si="94">SUM(W159:AK159)</f>
        <v>3416.8952266549222</v>
      </c>
    </row>
    <row r="160" spans="1:38" ht="14.4" customHeight="1">
      <c r="A160" s="547"/>
      <c r="B160" s="271" t="s">
        <v>379</v>
      </c>
      <c r="C160" s="262">
        <v>0</v>
      </c>
      <c r="D160" s="262">
        <v>0</v>
      </c>
      <c r="E160" s="262">
        <v>0</v>
      </c>
      <c r="F160" s="262">
        <v>0</v>
      </c>
      <c r="G160" s="262">
        <v>0</v>
      </c>
      <c r="H160" s="262">
        <v>0</v>
      </c>
      <c r="I160" s="274">
        <f>$P$160*$L$18*V$17</f>
        <v>0</v>
      </c>
      <c r="J160" s="274">
        <f t="shared" ref="J160:N160" si="95">$P$160*$L$18*W$17</f>
        <v>0</v>
      </c>
      <c r="K160" s="274">
        <f t="shared" si="95"/>
        <v>0</v>
      </c>
      <c r="L160" s="274">
        <f t="shared" si="95"/>
        <v>0</v>
      </c>
      <c r="M160" s="274">
        <f t="shared" si="95"/>
        <v>0</v>
      </c>
      <c r="N160" s="274">
        <f t="shared" si="95"/>
        <v>0</v>
      </c>
      <c r="O160" s="262">
        <v>0</v>
      </c>
      <c r="P160" s="262">
        <f>P170/(1+$R$18)</f>
        <v>0</v>
      </c>
      <c r="Q160" s="262">
        <v>0</v>
      </c>
      <c r="R160" s="273">
        <f t="shared" si="93"/>
        <v>0</v>
      </c>
      <c r="U160" s="547"/>
      <c r="V160" s="271" t="s">
        <v>379</v>
      </c>
      <c r="W160" s="262">
        <v>0</v>
      </c>
      <c r="X160" s="262">
        <v>0</v>
      </c>
      <c r="Y160" s="262">
        <v>0</v>
      </c>
      <c r="Z160" s="262">
        <v>0</v>
      </c>
      <c r="AA160" s="262">
        <v>0</v>
      </c>
      <c r="AB160" s="262">
        <v>0</v>
      </c>
      <c r="AC160" s="274">
        <f>$AJ$160*$L$18*V$17</f>
        <v>0</v>
      </c>
      <c r="AD160" s="274">
        <f t="shared" ref="AD160:AH160" si="96">$AJ$160*$L$18*W$17</f>
        <v>0</v>
      </c>
      <c r="AE160" s="274">
        <f t="shared" si="96"/>
        <v>0</v>
      </c>
      <c r="AF160" s="274">
        <f t="shared" si="96"/>
        <v>0</v>
      </c>
      <c r="AG160" s="274">
        <f t="shared" si="96"/>
        <v>0</v>
      </c>
      <c r="AH160" s="274">
        <f t="shared" si="96"/>
        <v>0</v>
      </c>
      <c r="AI160" s="262">
        <v>0</v>
      </c>
      <c r="AJ160" s="262">
        <f>AJ170/(1+$R$18)</f>
        <v>0</v>
      </c>
      <c r="AK160" s="262">
        <v>0</v>
      </c>
      <c r="AL160" s="273">
        <f t="shared" si="94"/>
        <v>0</v>
      </c>
    </row>
    <row r="161" spans="1:38" ht="14.4" customHeight="1">
      <c r="A161" s="547"/>
      <c r="B161" s="271" t="s">
        <v>380</v>
      </c>
      <c r="C161" s="262">
        <v>0</v>
      </c>
      <c r="D161" s="262">
        <v>0</v>
      </c>
      <c r="E161" s="262">
        <v>0</v>
      </c>
      <c r="F161" s="262">
        <v>0</v>
      </c>
      <c r="G161" s="262">
        <v>0</v>
      </c>
      <c r="H161" s="262">
        <v>0</v>
      </c>
      <c r="I161" s="275">
        <v>0</v>
      </c>
      <c r="J161" s="275">
        <v>0</v>
      </c>
      <c r="K161" s="275">
        <v>0</v>
      </c>
      <c r="L161" s="275">
        <v>0</v>
      </c>
      <c r="M161" s="275">
        <v>0</v>
      </c>
      <c r="N161" s="275">
        <v>0</v>
      </c>
      <c r="O161" s="262">
        <v>0</v>
      </c>
      <c r="P161" s="262">
        <v>0</v>
      </c>
      <c r="Q161" s="262">
        <v>0</v>
      </c>
      <c r="R161" s="273">
        <f t="shared" si="93"/>
        <v>0</v>
      </c>
      <c r="U161" s="547"/>
      <c r="V161" s="271" t="s">
        <v>380</v>
      </c>
      <c r="W161" s="262">
        <v>0</v>
      </c>
      <c r="X161" s="262">
        <v>0</v>
      </c>
      <c r="Y161" s="262">
        <v>0</v>
      </c>
      <c r="Z161" s="262">
        <v>0</v>
      </c>
      <c r="AA161" s="262">
        <v>0</v>
      </c>
      <c r="AB161" s="262">
        <v>0</v>
      </c>
      <c r="AC161" s="275">
        <v>0</v>
      </c>
      <c r="AD161" s="275">
        <v>0</v>
      </c>
      <c r="AE161" s="275">
        <v>0</v>
      </c>
      <c r="AF161" s="275">
        <v>0</v>
      </c>
      <c r="AG161" s="275">
        <v>0</v>
      </c>
      <c r="AH161" s="275">
        <v>0</v>
      </c>
      <c r="AI161" s="262">
        <v>0</v>
      </c>
      <c r="AJ161" s="262">
        <v>0</v>
      </c>
      <c r="AK161" s="262">
        <v>0</v>
      </c>
      <c r="AL161" s="273">
        <f t="shared" si="94"/>
        <v>0</v>
      </c>
    </row>
    <row r="162" spans="1:38" ht="14.4" customHeight="1">
      <c r="A162" s="547"/>
      <c r="B162" s="271" t="s">
        <v>381</v>
      </c>
      <c r="C162" s="262">
        <v>0</v>
      </c>
      <c r="D162" s="262">
        <v>0</v>
      </c>
      <c r="E162" s="262">
        <v>0</v>
      </c>
      <c r="F162" s="262">
        <v>0</v>
      </c>
      <c r="G162" s="262">
        <v>0</v>
      </c>
      <c r="H162" s="262">
        <v>0</v>
      </c>
      <c r="I162" s="262">
        <v>0</v>
      </c>
      <c r="J162" s="262">
        <v>0</v>
      </c>
      <c r="K162" s="262">
        <v>0</v>
      </c>
      <c r="L162" s="262">
        <v>0</v>
      </c>
      <c r="M162" s="262">
        <v>0</v>
      </c>
      <c r="N162" s="262">
        <v>0</v>
      </c>
      <c r="O162" s="262">
        <v>0</v>
      </c>
      <c r="P162" s="262">
        <v>0</v>
      </c>
      <c r="Q162" s="262">
        <v>0</v>
      </c>
      <c r="R162" s="273">
        <f t="shared" si="93"/>
        <v>0</v>
      </c>
      <c r="U162" s="547"/>
      <c r="V162" s="271" t="s">
        <v>381</v>
      </c>
      <c r="W162" s="262">
        <v>0</v>
      </c>
      <c r="X162" s="262">
        <v>0</v>
      </c>
      <c r="Y162" s="262">
        <v>0</v>
      </c>
      <c r="Z162" s="262">
        <v>0</v>
      </c>
      <c r="AA162" s="262">
        <v>0</v>
      </c>
      <c r="AB162" s="262">
        <v>0</v>
      </c>
      <c r="AC162" s="262">
        <v>0</v>
      </c>
      <c r="AD162" s="262">
        <v>0</v>
      </c>
      <c r="AE162" s="262">
        <v>0</v>
      </c>
      <c r="AF162" s="262">
        <v>0</v>
      </c>
      <c r="AG162" s="262">
        <v>0</v>
      </c>
      <c r="AH162" s="262">
        <v>0</v>
      </c>
      <c r="AI162" s="262">
        <v>0</v>
      </c>
      <c r="AJ162" s="262">
        <v>0</v>
      </c>
      <c r="AK162" s="262">
        <v>0</v>
      </c>
      <c r="AL162" s="273">
        <f t="shared" si="94"/>
        <v>0</v>
      </c>
    </row>
    <row r="163" spans="1:38" ht="14.4" customHeight="1">
      <c r="A163" s="547"/>
      <c r="B163" s="271" t="s">
        <v>36</v>
      </c>
      <c r="C163" s="262">
        <v>0</v>
      </c>
      <c r="D163" s="262">
        <v>0</v>
      </c>
      <c r="E163" s="262">
        <v>0</v>
      </c>
      <c r="F163" s="262">
        <v>0</v>
      </c>
      <c r="G163" s="262">
        <v>0</v>
      </c>
      <c r="H163" s="262">
        <v>0</v>
      </c>
      <c r="I163" s="262">
        <v>0</v>
      </c>
      <c r="J163" s="262">
        <v>0</v>
      </c>
      <c r="K163" s="262">
        <v>0</v>
      </c>
      <c r="L163" s="262">
        <v>0</v>
      </c>
      <c r="M163" s="262">
        <v>0</v>
      </c>
      <c r="N163" s="262">
        <v>0</v>
      </c>
      <c r="O163" s="262">
        <v>0</v>
      </c>
      <c r="P163" s="262">
        <v>0</v>
      </c>
      <c r="Q163" s="262">
        <v>0</v>
      </c>
      <c r="R163" s="273">
        <f t="shared" si="93"/>
        <v>0</v>
      </c>
      <c r="U163" s="547"/>
      <c r="V163" s="271" t="s">
        <v>36</v>
      </c>
      <c r="W163" s="262">
        <v>0</v>
      </c>
      <c r="X163" s="262">
        <v>0</v>
      </c>
      <c r="Y163" s="262">
        <v>0</v>
      </c>
      <c r="Z163" s="262">
        <v>0</v>
      </c>
      <c r="AA163" s="262">
        <v>0</v>
      </c>
      <c r="AB163" s="262">
        <v>0</v>
      </c>
      <c r="AC163" s="262">
        <v>0</v>
      </c>
      <c r="AD163" s="262">
        <v>0</v>
      </c>
      <c r="AE163" s="262">
        <v>0</v>
      </c>
      <c r="AF163" s="262">
        <v>0</v>
      </c>
      <c r="AG163" s="262">
        <v>0</v>
      </c>
      <c r="AH163" s="262">
        <v>0</v>
      </c>
      <c r="AI163" s="262">
        <v>0</v>
      </c>
      <c r="AJ163" s="262">
        <v>0</v>
      </c>
      <c r="AK163" s="262">
        <v>0</v>
      </c>
      <c r="AL163" s="273">
        <f t="shared" si="94"/>
        <v>0</v>
      </c>
    </row>
    <row r="164" spans="1:38" ht="14.4" customHeight="1">
      <c r="A164" s="547"/>
      <c r="B164" s="271" t="s">
        <v>382</v>
      </c>
      <c r="C164" s="262">
        <v>0</v>
      </c>
      <c r="D164" s="262">
        <v>0</v>
      </c>
      <c r="E164" s="262">
        <v>0</v>
      </c>
      <c r="F164" s="262">
        <v>0</v>
      </c>
      <c r="G164" s="262">
        <v>0</v>
      </c>
      <c r="H164" s="262">
        <v>0</v>
      </c>
      <c r="I164" s="262">
        <v>0</v>
      </c>
      <c r="J164" s="262">
        <v>0</v>
      </c>
      <c r="K164" s="262">
        <v>0</v>
      </c>
      <c r="L164" s="262">
        <v>0</v>
      </c>
      <c r="M164" s="262">
        <v>0</v>
      </c>
      <c r="N164" s="262">
        <v>0</v>
      </c>
      <c r="O164" s="262">
        <v>0</v>
      </c>
      <c r="P164" s="262">
        <v>0</v>
      </c>
      <c r="Q164" s="262">
        <v>0</v>
      </c>
      <c r="R164" s="273">
        <f t="shared" si="93"/>
        <v>0</v>
      </c>
      <c r="U164" s="547"/>
      <c r="V164" s="271" t="s">
        <v>382</v>
      </c>
      <c r="W164" s="262">
        <v>0</v>
      </c>
      <c r="X164" s="262">
        <v>0</v>
      </c>
      <c r="Y164" s="262">
        <v>0</v>
      </c>
      <c r="Z164" s="262">
        <v>0</v>
      </c>
      <c r="AA164" s="262">
        <v>0</v>
      </c>
      <c r="AB164" s="262">
        <v>0</v>
      </c>
      <c r="AC164" s="262">
        <v>0</v>
      </c>
      <c r="AD164" s="262">
        <v>0</v>
      </c>
      <c r="AE164" s="262">
        <v>0</v>
      </c>
      <c r="AF164" s="262">
        <v>0</v>
      </c>
      <c r="AG164" s="262">
        <v>0</v>
      </c>
      <c r="AH164" s="262">
        <v>0</v>
      </c>
      <c r="AI164" s="262">
        <v>0</v>
      </c>
      <c r="AJ164" s="262">
        <v>0</v>
      </c>
      <c r="AK164" s="262">
        <v>0</v>
      </c>
      <c r="AL164" s="273">
        <f t="shared" si="94"/>
        <v>0</v>
      </c>
    </row>
    <row r="165" spans="1:38" ht="14.4" customHeight="1">
      <c r="A165" s="547"/>
      <c r="B165" s="271" t="s">
        <v>383</v>
      </c>
      <c r="C165" s="262">
        <v>0</v>
      </c>
      <c r="D165" s="262">
        <v>0</v>
      </c>
      <c r="E165" s="262">
        <v>0</v>
      </c>
      <c r="F165" s="262">
        <v>0</v>
      </c>
      <c r="G165" s="262">
        <v>0</v>
      </c>
      <c r="H165" s="262">
        <v>0</v>
      </c>
      <c r="I165" s="262">
        <v>0</v>
      </c>
      <c r="J165" s="262">
        <v>0</v>
      </c>
      <c r="K165" s="262">
        <v>0</v>
      </c>
      <c r="L165" s="262">
        <v>0</v>
      </c>
      <c r="M165" s="262">
        <v>0</v>
      </c>
      <c r="N165" s="262">
        <v>0</v>
      </c>
      <c r="O165" s="262">
        <v>0</v>
      </c>
      <c r="P165" s="262">
        <v>0</v>
      </c>
      <c r="Q165" s="262">
        <v>0</v>
      </c>
      <c r="R165" s="273">
        <f t="shared" si="93"/>
        <v>0</v>
      </c>
      <c r="U165" s="547"/>
      <c r="V165" s="271" t="s">
        <v>383</v>
      </c>
      <c r="W165" s="262">
        <v>0</v>
      </c>
      <c r="X165" s="262">
        <v>0</v>
      </c>
      <c r="Y165" s="262">
        <v>0</v>
      </c>
      <c r="Z165" s="262">
        <v>0</v>
      </c>
      <c r="AA165" s="262">
        <v>0</v>
      </c>
      <c r="AB165" s="262">
        <v>0</v>
      </c>
      <c r="AC165" s="262">
        <v>0</v>
      </c>
      <c r="AD165" s="262">
        <v>0</v>
      </c>
      <c r="AE165" s="262">
        <v>0</v>
      </c>
      <c r="AF165" s="262">
        <v>0</v>
      </c>
      <c r="AG165" s="262">
        <v>0</v>
      </c>
      <c r="AH165" s="262">
        <v>0</v>
      </c>
      <c r="AI165" s="262">
        <v>0</v>
      </c>
      <c r="AJ165" s="262">
        <v>0</v>
      </c>
      <c r="AK165" s="262">
        <v>0</v>
      </c>
      <c r="AL165" s="273">
        <f t="shared" si="94"/>
        <v>0</v>
      </c>
    </row>
    <row r="166" spans="1:38" ht="14.4" customHeight="1">
      <c r="A166" s="547"/>
      <c r="B166" s="271" t="s">
        <v>384</v>
      </c>
      <c r="C166" s="262">
        <v>0</v>
      </c>
      <c r="D166" s="262">
        <v>0</v>
      </c>
      <c r="E166" s="262">
        <v>0</v>
      </c>
      <c r="F166" s="262">
        <v>0</v>
      </c>
      <c r="G166" s="262">
        <v>0</v>
      </c>
      <c r="H166" s="262">
        <v>0</v>
      </c>
      <c r="I166" s="262">
        <v>0</v>
      </c>
      <c r="J166" s="262">
        <v>0</v>
      </c>
      <c r="K166" s="262">
        <v>0</v>
      </c>
      <c r="L166" s="262">
        <v>0</v>
      </c>
      <c r="M166" s="262">
        <v>0</v>
      </c>
      <c r="N166" s="262">
        <v>0</v>
      </c>
      <c r="O166" s="262">
        <v>0</v>
      </c>
      <c r="P166" s="262">
        <v>0</v>
      </c>
      <c r="Q166" s="262">
        <v>0</v>
      </c>
      <c r="R166" s="273">
        <f t="shared" si="93"/>
        <v>0</v>
      </c>
      <c r="U166" s="547"/>
      <c r="V166" s="271" t="s">
        <v>384</v>
      </c>
      <c r="W166" s="262">
        <v>0</v>
      </c>
      <c r="X166" s="262">
        <v>0</v>
      </c>
      <c r="Y166" s="262">
        <v>0</v>
      </c>
      <c r="Z166" s="262">
        <v>0</v>
      </c>
      <c r="AA166" s="262">
        <v>0</v>
      </c>
      <c r="AB166" s="262">
        <v>0</v>
      </c>
      <c r="AC166" s="262">
        <v>0</v>
      </c>
      <c r="AD166" s="262">
        <v>0</v>
      </c>
      <c r="AE166" s="262">
        <v>0</v>
      </c>
      <c r="AF166" s="262">
        <v>0</v>
      </c>
      <c r="AG166" s="262">
        <v>0</v>
      </c>
      <c r="AH166" s="262">
        <v>0</v>
      </c>
      <c r="AI166" s="262">
        <v>0</v>
      </c>
      <c r="AJ166" s="262">
        <v>0</v>
      </c>
      <c r="AK166" s="262">
        <v>0</v>
      </c>
      <c r="AL166" s="273">
        <f t="shared" si="94"/>
        <v>0</v>
      </c>
    </row>
    <row r="167" spans="1:38" ht="14.4" customHeight="1">
      <c r="A167" s="547"/>
      <c r="B167" s="271" t="s">
        <v>37</v>
      </c>
      <c r="C167" s="262">
        <v>0</v>
      </c>
      <c r="D167" s="262">
        <v>0</v>
      </c>
      <c r="E167" s="262">
        <v>0</v>
      </c>
      <c r="F167" s="262">
        <v>0</v>
      </c>
      <c r="G167" s="262">
        <v>0</v>
      </c>
      <c r="H167" s="262">
        <v>0</v>
      </c>
      <c r="I167" s="262">
        <v>0</v>
      </c>
      <c r="J167" s="262">
        <v>0</v>
      </c>
      <c r="K167" s="262">
        <v>0</v>
      </c>
      <c r="L167" s="262">
        <v>0</v>
      </c>
      <c r="M167" s="262">
        <v>0</v>
      </c>
      <c r="N167" s="262">
        <v>0</v>
      </c>
      <c r="O167" s="262">
        <v>0</v>
      </c>
      <c r="P167" s="262">
        <v>0</v>
      </c>
      <c r="Q167" s="262">
        <v>0</v>
      </c>
      <c r="R167" s="273">
        <f t="shared" si="93"/>
        <v>0</v>
      </c>
      <c r="U167" s="547"/>
      <c r="V167" s="271" t="s">
        <v>37</v>
      </c>
      <c r="W167" s="262">
        <v>0</v>
      </c>
      <c r="X167" s="262">
        <v>0</v>
      </c>
      <c r="Y167" s="262">
        <v>0</v>
      </c>
      <c r="Z167" s="262">
        <v>0</v>
      </c>
      <c r="AA167" s="262">
        <v>0</v>
      </c>
      <c r="AB167" s="262">
        <v>0</v>
      </c>
      <c r="AC167" s="262">
        <v>0</v>
      </c>
      <c r="AD167" s="262">
        <v>0</v>
      </c>
      <c r="AE167" s="262">
        <v>0</v>
      </c>
      <c r="AF167" s="262">
        <v>0</v>
      </c>
      <c r="AG167" s="262">
        <v>0</v>
      </c>
      <c r="AH167" s="262">
        <v>0</v>
      </c>
      <c r="AI167" s="262">
        <v>0</v>
      </c>
      <c r="AJ167" s="262">
        <v>0</v>
      </c>
      <c r="AK167" s="262">
        <v>0</v>
      </c>
      <c r="AL167" s="273">
        <f t="shared" si="94"/>
        <v>0</v>
      </c>
    </row>
    <row r="168" spans="1:38" ht="14.4" customHeight="1">
      <c r="A168" s="547"/>
      <c r="B168" s="271" t="s">
        <v>38</v>
      </c>
      <c r="C168" s="262">
        <v>0</v>
      </c>
      <c r="D168" s="262">
        <v>0</v>
      </c>
      <c r="E168" s="262">
        <v>0</v>
      </c>
      <c r="F168" s="262">
        <v>0</v>
      </c>
      <c r="G168" s="262">
        <v>0</v>
      </c>
      <c r="H168" s="262">
        <v>0</v>
      </c>
      <c r="I168" s="262">
        <v>0</v>
      </c>
      <c r="J168" s="262">
        <v>0</v>
      </c>
      <c r="K168" s="262">
        <v>0</v>
      </c>
      <c r="L168" s="262">
        <v>0</v>
      </c>
      <c r="M168" s="262">
        <v>0</v>
      </c>
      <c r="N168" s="262">
        <v>0</v>
      </c>
      <c r="O168" s="262">
        <f>O159*$F$17</f>
        <v>34.029370841461002</v>
      </c>
      <c r="P168" s="262">
        <v>0</v>
      </c>
      <c r="Q168" s="262">
        <v>0</v>
      </c>
      <c r="R168" s="273">
        <f t="shared" si="93"/>
        <v>34.029370841461002</v>
      </c>
      <c r="U168" s="547"/>
      <c r="V168" s="271" t="s">
        <v>38</v>
      </c>
      <c r="W168" s="262">
        <v>0</v>
      </c>
      <c r="X168" s="262">
        <v>0</v>
      </c>
      <c r="Y168" s="262">
        <v>0</v>
      </c>
      <c r="Z168" s="262">
        <v>0</v>
      </c>
      <c r="AA168" s="262">
        <v>0</v>
      </c>
      <c r="AB168" s="262">
        <v>0</v>
      </c>
      <c r="AC168" s="262">
        <v>0</v>
      </c>
      <c r="AD168" s="262">
        <v>0</v>
      </c>
      <c r="AE168" s="262">
        <v>0</v>
      </c>
      <c r="AF168" s="262">
        <v>0</v>
      </c>
      <c r="AG168" s="262">
        <v>0</v>
      </c>
      <c r="AH168" s="262">
        <v>0</v>
      </c>
      <c r="AI168" s="262">
        <f>AI159*$F$17</f>
        <v>34.31465640627875</v>
      </c>
      <c r="AJ168" s="262">
        <v>0</v>
      </c>
      <c r="AK168" s="262">
        <v>0</v>
      </c>
      <c r="AL168" s="273">
        <f t="shared" si="94"/>
        <v>34.31465640627875</v>
      </c>
    </row>
    <row r="169" spans="1:38" ht="14.4" customHeight="1">
      <c r="A169" s="547"/>
      <c r="B169" s="271" t="s">
        <v>39</v>
      </c>
      <c r="C169" s="262">
        <v>0</v>
      </c>
      <c r="D169" s="262">
        <v>0</v>
      </c>
      <c r="E169" s="262">
        <v>0</v>
      </c>
      <c r="F169" s="262">
        <v>0</v>
      </c>
      <c r="G169" s="262">
        <v>0</v>
      </c>
      <c r="H169" s="262">
        <v>0</v>
      </c>
      <c r="I169" s="262">
        <v>0</v>
      </c>
      <c r="J169" s="262">
        <v>0</v>
      </c>
      <c r="K169" s="262">
        <v>0</v>
      </c>
      <c r="L169" s="262">
        <v>0</v>
      </c>
      <c r="M169" s="262">
        <v>0</v>
      </c>
      <c r="N169" s="262">
        <v>0</v>
      </c>
      <c r="O169" s="262">
        <f>O159*$F$18</f>
        <v>216.43319062046595</v>
      </c>
      <c r="P169" s="262">
        <f>P160*$R$18</f>
        <v>0</v>
      </c>
      <c r="Q169" s="262">
        <v>0</v>
      </c>
      <c r="R169" s="273">
        <f t="shared" si="93"/>
        <v>216.43319062046595</v>
      </c>
      <c r="U169" s="547"/>
      <c r="V169" s="271" t="s">
        <v>39</v>
      </c>
      <c r="W169" s="262">
        <v>0</v>
      </c>
      <c r="X169" s="262">
        <v>0</v>
      </c>
      <c r="Y169" s="262">
        <v>0</v>
      </c>
      <c r="Z169" s="262">
        <v>0</v>
      </c>
      <c r="AA169" s="262">
        <v>0</v>
      </c>
      <c r="AB169" s="262">
        <v>0</v>
      </c>
      <c r="AC169" s="262">
        <v>0</v>
      </c>
      <c r="AD169" s="262">
        <v>0</v>
      </c>
      <c r="AE169" s="262">
        <v>0</v>
      </c>
      <c r="AF169" s="262">
        <v>0</v>
      </c>
      <c r="AG169" s="262">
        <v>0</v>
      </c>
      <c r="AH169" s="262">
        <v>0</v>
      </c>
      <c r="AI169" s="262">
        <f>AI159*$F$18</f>
        <v>218.24766040067823</v>
      </c>
      <c r="AJ169" s="262">
        <f>AJ160*$R$18</f>
        <v>0</v>
      </c>
      <c r="AK169" s="262">
        <v>0</v>
      </c>
      <c r="AL169" s="273">
        <f t="shared" si="94"/>
        <v>218.24766040067823</v>
      </c>
    </row>
    <row r="170" spans="1:38" ht="14.4" customHeight="1">
      <c r="A170" s="547"/>
      <c r="B170" s="266" t="s">
        <v>40</v>
      </c>
      <c r="C170" s="267">
        <f>SUM(C158:C169)</f>
        <v>6869.3893308676679</v>
      </c>
      <c r="D170" s="267">
        <f t="shared" ref="D170:N170" si="97">SUM(D158:D169)</f>
        <v>0</v>
      </c>
      <c r="E170" s="267">
        <f t="shared" si="97"/>
        <v>4038.5516770980121</v>
      </c>
      <c r="F170" s="267">
        <f t="shared" si="97"/>
        <v>0</v>
      </c>
      <c r="G170" s="267">
        <f t="shared" si="97"/>
        <v>0</v>
      </c>
      <c r="H170" s="267">
        <f t="shared" si="97"/>
        <v>1103.5417545405014</v>
      </c>
      <c r="I170" s="267">
        <f t="shared" si="97"/>
        <v>12.337596024829276</v>
      </c>
      <c r="J170" s="267">
        <f t="shared" si="97"/>
        <v>0</v>
      </c>
      <c r="K170" s="267">
        <f t="shared" si="97"/>
        <v>0</v>
      </c>
      <c r="L170" s="267">
        <f t="shared" si="97"/>
        <v>0</v>
      </c>
      <c r="M170" s="267">
        <f t="shared" si="97"/>
        <v>0</v>
      </c>
      <c r="N170" s="267">
        <f t="shared" si="97"/>
        <v>0</v>
      </c>
      <c r="O170" s="267">
        <f>-O180</f>
        <v>-5036.5396887845745</v>
      </c>
      <c r="P170" s="267">
        <f>-P172</f>
        <v>0</v>
      </c>
      <c r="Q170" s="267">
        <f t="shared" ref="Q170" si="98">SUM(Q158:Q169)</f>
        <v>0</v>
      </c>
      <c r="R170" s="267">
        <f t="shared" si="93"/>
        <v>6987.2806697464366</v>
      </c>
      <c r="U170" s="547"/>
      <c r="V170" s="266" t="s">
        <v>40</v>
      </c>
      <c r="W170" s="267">
        <f>SUM(W158:W169)</f>
        <v>0</v>
      </c>
      <c r="X170" s="267">
        <f t="shared" ref="X170:AH170" si="99">SUM(X158:X169)</f>
        <v>0</v>
      </c>
      <c r="Y170" s="267">
        <f t="shared" si="99"/>
        <v>1817.4974609866599</v>
      </c>
      <c r="Z170" s="267">
        <f t="shared" si="99"/>
        <v>0</v>
      </c>
      <c r="AA170" s="267">
        <f t="shared" si="99"/>
        <v>0</v>
      </c>
      <c r="AB170" s="267">
        <f t="shared" si="99"/>
        <v>2932.2292370584782</v>
      </c>
      <c r="AC170" s="267">
        <f t="shared" si="99"/>
        <v>1332.8314713902173</v>
      </c>
      <c r="AD170" s="267">
        <f t="shared" si="99"/>
        <v>1332.8314713902173</v>
      </c>
      <c r="AE170" s="267">
        <f t="shared" si="99"/>
        <v>1332.8314713902187</v>
      </c>
      <c r="AF170" s="267">
        <f t="shared" si="99"/>
        <v>0</v>
      </c>
      <c r="AG170" s="267">
        <f t="shared" si="99"/>
        <v>0</v>
      </c>
      <c r="AH170" s="267">
        <f t="shared" si="99"/>
        <v>0</v>
      </c>
      <c r="AI170" s="267">
        <f>-AI180</f>
        <v>-5078.7635687539123</v>
      </c>
      <c r="AJ170" s="267">
        <f>-AJ172</f>
        <v>0</v>
      </c>
      <c r="AK170" s="267">
        <f t="shared" ref="AK170" si="100">SUM(AK158:AK169)</f>
        <v>0</v>
      </c>
      <c r="AL170" s="267">
        <f t="shared" si="94"/>
        <v>3669.4575434618791</v>
      </c>
    </row>
    <row r="171" spans="1:38" ht="14.4" customHeight="1">
      <c r="A171" s="547"/>
      <c r="B171" s="268"/>
      <c r="C171" s="269"/>
      <c r="D171" s="269"/>
      <c r="E171" s="276"/>
      <c r="F171" s="269"/>
      <c r="G171" s="269"/>
      <c r="H171" s="269"/>
      <c r="I171" s="276"/>
      <c r="J171" s="269"/>
      <c r="K171" s="269"/>
      <c r="L171" s="269"/>
      <c r="M171" s="277"/>
      <c r="N171" s="269"/>
      <c r="O171" s="269"/>
      <c r="P171" s="269"/>
      <c r="Q171" s="269"/>
      <c r="R171" s="269"/>
      <c r="U171" s="547"/>
      <c r="V171" s="268"/>
      <c r="W171" s="269"/>
      <c r="X171" s="269"/>
      <c r="Y171" s="276"/>
      <c r="Z171" s="269"/>
      <c r="AA171" s="269"/>
      <c r="AB171" s="269"/>
      <c r="AC171" s="276"/>
      <c r="AD171" s="269"/>
      <c r="AE171" s="269"/>
      <c r="AF171" s="269"/>
      <c r="AG171" s="277"/>
      <c r="AH171" s="269"/>
      <c r="AI171" s="269"/>
      <c r="AJ171" s="269"/>
      <c r="AK171" s="269"/>
      <c r="AL171" s="269"/>
    </row>
    <row r="172" spans="1:38" ht="14.4" customHeight="1">
      <c r="A172" s="547"/>
      <c r="B172" s="271" t="s">
        <v>41</v>
      </c>
      <c r="C172" s="262">
        <f>Industrie!$F$45</f>
        <v>1852.1481237121284</v>
      </c>
      <c r="D172" s="262">
        <v>0</v>
      </c>
      <c r="E172" s="262">
        <f>Industrie!$F$42</f>
        <v>4201.9007783833213</v>
      </c>
      <c r="F172" s="262">
        <v>0</v>
      </c>
      <c r="G172" s="262">
        <v>0</v>
      </c>
      <c r="H172" s="262">
        <v>0</v>
      </c>
      <c r="I172" s="262">
        <v>0</v>
      </c>
      <c r="J172" s="262">
        <v>0</v>
      </c>
      <c r="K172" s="262">
        <v>0</v>
      </c>
      <c r="L172" s="262">
        <v>0</v>
      </c>
      <c r="M172" s="262">
        <v>0</v>
      </c>
      <c r="N172" s="262">
        <v>0</v>
      </c>
      <c r="O172" s="262">
        <f>Industrie!$F$46</f>
        <v>4099.5141649245743</v>
      </c>
      <c r="P172" s="262">
        <f>Industrie!$F$52</f>
        <v>0</v>
      </c>
      <c r="Q172" s="262">
        <v>0</v>
      </c>
      <c r="R172" s="273">
        <f>SUM(C172:Q172)</f>
        <v>10153.563067020024</v>
      </c>
      <c r="S172" s="473">
        <f>R180+R170</f>
        <v>23715.188660172549</v>
      </c>
      <c r="U172" s="547"/>
      <c r="V172" s="271" t="s">
        <v>41</v>
      </c>
      <c r="W172" s="470">
        <f>Industrie!$F$75</f>
        <v>617.4030299154947</v>
      </c>
      <c r="X172" s="470">
        <v>0</v>
      </c>
      <c r="Y172" s="470">
        <f>Industrie!$F$72</f>
        <v>1110.6187139143833</v>
      </c>
      <c r="Z172" s="262">
        <v>0</v>
      </c>
      <c r="AA172" s="262">
        <v>0</v>
      </c>
      <c r="AB172" s="262">
        <v>0</v>
      </c>
      <c r="AC172" s="470">
        <f>Industrie!$F$85*V$13/SUM($V$13:$AA$13)</f>
        <v>587.5218668983199</v>
      </c>
      <c r="AD172" s="470">
        <f>Industrie!$F$85*W$13/SUM($V$13:$AA$13)</f>
        <v>0</v>
      </c>
      <c r="AE172" s="470">
        <f>Industrie!$F$85*X$13/SUM($V$13:$AA$13)</f>
        <v>0</v>
      </c>
      <c r="AF172" s="470">
        <f>Industrie!$F$85*Y$13/SUM($V$13:$AA$13)</f>
        <v>97.983073622469362</v>
      </c>
      <c r="AG172" s="470">
        <f>Industrie!$F$85*Z$13/SUM($V$13:$AA$13)</f>
        <v>0</v>
      </c>
      <c r="AH172" s="470">
        <f>Industrie!$F$85*AA$13/SUM($V$13:$AA$13)</f>
        <v>1.9975454672788573</v>
      </c>
      <c r="AI172" s="262">
        <f>Industrie!$F$76</f>
        <v>4512.3583110787022</v>
      </c>
      <c r="AJ172" s="262">
        <f>Industrie!$F$86</f>
        <v>0</v>
      </c>
      <c r="AK172" s="262">
        <v>0</v>
      </c>
      <c r="AL172" s="273">
        <f>SUM(W172:AK172)</f>
        <v>6927.8825408966486</v>
      </c>
    </row>
    <row r="173" spans="1:38" ht="14.4" customHeight="1">
      <c r="A173" s="547"/>
      <c r="B173" s="271" t="s">
        <v>42</v>
      </c>
      <c r="C173" s="262">
        <v>0</v>
      </c>
      <c r="D173" s="262">
        <v>0</v>
      </c>
      <c r="E173" s="262">
        <f>Transports!$H$49+Transports!$F$106+Transports!$F$203</f>
        <v>2292.4794288081948</v>
      </c>
      <c r="F173" s="262">
        <v>0</v>
      </c>
      <c r="G173" s="262">
        <v>0</v>
      </c>
      <c r="H173" s="262">
        <v>0</v>
      </c>
      <c r="I173" s="262">
        <v>0</v>
      </c>
      <c r="J173" s="262">
        <v>0</v>
      </c>
      <c r="K173" s="262">
        <v>0</v>
      </c>
      <c r="L173" s="262">
        <v>0</v>
      </c>
      <c r="M173" s="262">
        <v>0</v>
      </c>
      <c r="N173" s="262">
        <v>0</v>
      </c>
      <c r="O173" s="262">
        <f>Transports!$H$50+Transports!$F$107</f>
        <v>84.858022862002301</v>
      </c>
      <c r="P173" s="262">
        <v>0</v>
      </c>
      <c r="Q173" s="262">
        <v>0</v>
      </c>
      <c r="R173" s="273">
        <f t="shared" ref="R173:R180" si="101">SUM(C173:Q173)</f>
        <v>2377.337451670197</v>
      </c>
      <c r="U173" s="547"/>
      <c r="V173" s="271" t="s">
        <v>42</v>
      </c>
      <c r="W173" s="262">
        <v>0</v>
      </c>
      <c r="X173" s="262">
        <v>0</v>
      </c>
      <c r="Y173" s="262">
        <f>Transports!$H$76+Transports!$F$150+Transports!$F$238</f>
        <v>1970.9876760948773</v>
      </c>
      <c r="Z173" s="262">
        <v>0</v>
      </c>
      <c r="AA173" s="262">
        <v>0</v>
      </c>
      <c r="AB173" s="262">
        <v>0</v>
      </c>
      <c r="AC173" s="262">
        <v>0</v>
      </c>
      <c r="AD173" s="262">
        <v>0</v>
      </c>
      <c r="AE173" s="262">
        <f>Transports!$F$236+Transports!$F$237</f>
        <v>3.6484224373366563</v>
      </c>
      <c r="AF173" s="262">
        <v>0</v>
      </c>
      <c r="AG173" s="262">
        <v>0</v>
      </c>
      <c r="AH173" s="262">
        <v>0</v>
      </c>
      <c r="AI173" s="262">
        <f>Transports!$H$77+Transports!$F$151</f>
        <v>184.22030565424896</v>
      </c>
      <c r="AJ173" s="262">
        <v>0</v>
      </c>
      <c r="AK173" s="262">
        <v>0</v>
      </c>
      <c r="AL173" s="273">
        <f t="shared" ref="AL173:AL180" si="102">SUM(W173:AK173)</f>
        <v>2158.8564041864629</v>
      </c>
    </row>
    <row r="174" spans="1:38" ht="14.4" customHeight="1">
      <c r="A174" s="547"/>
      <c r="B174" s="271" t="s">
        <v>43</v>
      </c>
      <c r="C174" s="262">
        <v>0</v>
      </c>
      <c r="D174" s="262">
        <v>0</v>
      </c>
      <c r="E174" s="262">
        <f>'Résidentiel-tertiaire'!$F$167</f>
        <v>182.74865064922099</v>
      </c>
      <c r="F174" s="262">
        <v>0</v>
      </c>
      <c r="G174" s="262">
        <v>0</v>
      </c>
      <c r="H174" s="262">
        <v>0</v>
      </c>
      <c r="I174" s="262">
        <f>'Résidentiel-tertiaire'!$F$168*$I$51/SUM($I$51:$N$51)</f>
        <v>0</v>
      </c>
      <c r="J174" s="262">
        <f>'Résidentiel-tertiaire'!$F$168*$J$51/SUM($I$51:$N$51)</f>
        <v>0</v>
      </c>
      <c r="K174" s="262">
        <f>'Résidentiel-tertiaire'!$F$168*$K$51/SUM($I$51:$N$51)</f>
        <v>0</v>
      </c>
      <c r="L174" s="262">
        <f>'Résidentiel-tertiaire'!$F$168*$L$51/SUM($I$51:$N$51)</f>
        <v>0</v>
      </c>
      <c r="M174" s="262">
        <f>'Résidentiel-tertiaire'!$F$168*$M$51/SUM($I$51:$N$51)</f>
        <v>0</v>
      </c>
      <c r="N174" s="262">
        <f>'Résidentiel-tertiaire'!$F$168*$N$51/SUM($I$51:$N$51)</f>
        <v>49.707632976588116</v>
      </c>
      <c r="O174" s="262">
        <f>'Résidentiel-tertiaire'!$F$169</f>
        <v>371.71986928271474</v>
      </c>
      <c r="P174" s="262">
        <v>0</v>
      </c>
      <c r="Q174" s="262">
        <v>0</v>
      </c>
      <c r="R174" s="273">
        <f t="shared" si="101"/>
        <v>604.17615290852382</v>
      </c>
      <c r="U174" s="547"/>
      <c r="V174" s="271" t="s">
        <v>43</v>
      </c>
      <c r="W174" s="262">
        <v>0</v>
      </c>
      <c r="X174" s="262">
        <v>0</v>
      </c>
      <c r="Y174" s="262">
        <f>'Résidentiel-tertiaire'!$F$181</f>
        <v>81.41</v>
      </c>
      <c r="Z174" s="262">
        <v>0</v>
      </c>
      <c r="AA174" s="262">
        <v>0</v>
      </c>
      <c r="AB174" s="262">
        <v>0</v>
      </c>
      <c r="AC174" s="262">
        <f>'Résidentiel-tertiaire'!$F$182*$AC$51/SUM($I$51:$N$51)</f>
        <v>0</v>
      </c>
      <c r="AD174" s="262">
        <f>'Résidentiel-tertiaire'!$F$182*$AD$51/SUM($I$51:$N$51)</f>
        <v>0</v>
      </c>
      <c r="AE174" s="262">
        <f>'Résidentiel-tertiaire'!$F$182*$AE$51/SUM($I$51:$N$51)</f>
        <v>0</v>
      </c>
      <c r="AF174" s="262">
        <f>'Résidentiel-tertiaire'!$F$182*$AF$51/SUM($I$51:$N$51)</f>
        <v>0</v>
      </c>
      <c r="AG174" s="262">
        <f>'Résidentiel-tertiaire'!$F$182*$AG$51/SUM($I$51:$N$51)</f>
        <v>0</v>
      </c>
      <c r="AH174" s="262">
        <f>'Résidentiel-tertiaire'!$F$182*$AH$51/SUM($I$51:$N$51)</f>
        <v>67.094774249358323</v>
      </c>
      <c r="AI174" s="262">
        <f>'Résidentiel-tertiaire'!$F$183</f>
        <v>195.22250326111092</v>
      </c>
      <c r="AJ174" s="262">
        <v>0</v>
      </c>
      <c r="AK174" s="262">
        <v>0</v>
      </c>
      <c r="AL174" s="273">
        <f t="shared" si="102"/>
        <v>343.72727751046921</v>
      </c>
    </row>
    <row r="175" spans="1:38" ht="14.4" customHeight="1">
      <c r="A175" s="547"/>
      <c r="B175" s="271" t="s">
        <v>44</v>
      </c>
      <c r="C175" s="262">
        <v>0</v>
      </c>
      <c r="D175" s="262">
        <v>0</v>
      </c>
      <c r="E175" s="262">
        <f>'Résidentiel-tertiaire'!$F$172</f>
        <v>0</v>
      </c>
      <c r="F175" s="262">
        <v>0</v>
      </c>
      <c r="G175" s="262">
        <v>0</v>
      </c>
      <c r="H175" s="262">
        <v>0</v>
      </c>
      <c r="I175" s="262">
        <v>0</v>
      </c>
      <c r="J175" s="262">
        <v>0</v>
      </c>
      <c r="K175" s="262">
        <v>0</v>
      </c>
      <c r="L175" s="262">
        <v>0</v>
      </c>
      <c r="M175" s="262">
        <v>0</v>
      </c>
      <c r="N175" s="262">
        <v>0</v>
      </c>
      <c r="O175" s="262">
        <f>'Résidentiel-tertiaire'!$F$174</f>
        <v>480.44763171528325</v>
      </c>
      <c r="P175" s="262">
        <v>0</v>
      </c>
      <c r="Q175" s="262">
        <v>0</v>
      </c>
      <c r="R175" s="273">
        <f t="shared" si="101"/>
        <v>480.44763171528325</v>
      </c>
      <c r="U175" s="547"/>
      <c r="V175" s="271" t="s">
        <v>44</v>
      </c>
      <c r="W175" s="262">
        <v>0</v>
      </c>
      <c r="X175" s="262">
        <v>0</v>
      </c>
      <c r="Y175" s="262">
        <f>'Résidentiel-tertiaire'!$F$186</f>
        <v>0</v>
      </c>
      <c r="Z175" s="262">
        <v>0</v>
      </c>
      <c r="AA175" s="262">
        <v>0</v>
      </c>
      <c r="AB175" s="262">
        <v>0</v>
      </c>
      <c r="AC175" s="470">
        <v>0</v>
      </c>
      <c r="AD175" s="470">
        <v>0</v>
      </c>
      <c r="AE175" s="470">
        <v>0</v>
      </c>
      <c r="AF175" s="470">
        <v>0</v>
      </c>
      <c r="AG175" s="470">
        <v>0</v>
      </c>
      <c r="AH175" s="470">
        <v>0</v>
      </c>
      <c r="AI175" s="262">
        <f>'Résidentiel-tertiaire'!$F$188</f>
        <v>186.96244875984917</v>
      </c>
      <c r="AJ175" s="262">
        <v>0</v>
      </c>
      <c r="AK175" s="262">
        <v>0</v>
      </c>
      <c r="AL175" s="273">
        <f t="shared" si="102"/>
        <v>186.96244875984917</v>
      </c>
    </row>
    <row r="176" spans="1:38" ht="14.4" customHeight="1">
      <c r="A176" s="547"/>
      <c r="B176" s="271" t="s">
        <v>4</v>
      </c>
      <c r="C176" s="262">
        <v>0</v>
      </c>
      <c r="D176" s="262">
        <v>0</v>
      </c>
      <c r="E176" s="262">
        <f>Agriculture!$P$27</f>
        <v>64.171750176899067</v>
      </c>
      <c r="F176" s="262">
        <v>0</v>
      </c>
      <c r="G176" s="262">
        <v>0</v>
      </c>
      <c r="H176" s="262">
        <v>0</v>
      </c>
      <c r="I176" s="262">
        <v>0</v>
      </c>
      <c r="J176" s="262">
        <v>0</v>
      </c>
      <c r="K176" s="262">
        <v>0</v>
      </c>
      <c r="L176" s="262">
        <v>0</v>
      </c>
      <c r="M176" s="262">
        <v>0</v>
      </c>
      <c r="N176" s="262">
        <v>0</v>
      </c>
      <c r="O176" s="262">
        <f>Agriculture!$P$28</f>
        <v>0</v>
      </c>
      <c r="P176" s="262">
        <v>0</v>
      </c>
      <c r="Q176" s="262">
        <v>0</v>
      </c>
      <c r="R176" s="273">
        <f t="shared" si="101"/>
        <v>64.171750176899067</v>
      </c>
      <c r="U176" s="547"/>
      <c r="V176" s="271" t="s">
        <v>4</v>
      </c>
      <c r="W176" s="262">
        <v>0</v>
      </c>
      <c r="X176" s="262">
        <v>0</v>
      </c>
      <c r="Y176" s="262">
        <f>Agriculture!$U$43</f>
        <v>30.388064516129035</v>
      </c>
      <c r="Z176" s="262">
        <v>0</v>
      </c>
      <c r="AA176" s="262">
        <v>0</v>
      </c>
      <c r="AB176" s="262">
        <v>0</v>
      </c>
      <c r="AC176" s="262">
        <v>0</v>
      </c>
      <c r="AD176" s="262">
        <v>0</v>
      </c>
      <c r="AE176" s="262">
        <f>Agriculture!$U$45</f>
        <v>20.129053935483871</v>
      </c>
      <c r="AF176" s="262">
        <v>0</v>
      </c>
      <c r="AG176" s="262">
        <v>0</v>
      </c>
      <c r="AH176" s="262">
        <v>0</v>
      </c>
      <c r="AI176" s="262">
        <f>Agriculture!$U$44</f>
        <v>0</v>
      </c>
      <c r="AJ176" s="262">
        <v>0</v>
      </c>
      <c r="AK176" s="262">
        <v>0</v>
      </c>
      <c r="AL176" s="273">
        <f t="shared" si="102"/>
        <v>50.517118451612902</v>
      </c>
    </row>
    <row r="177" spans="1:38" ht="14.4" customHeight="1">
      <c r="A177" s="547"/>
      <c r="B177" s="271" t="s">
        <v>385</v>
      </c>
      <c r="C177" s="262">
        <v>0</v>
      </c>
      <c r="D177" s="262">
        <v>0</v>
      </c>
      <c r="E177" s="262">
        <v>0</v>
      </c>
      <c r="F177" s="262">
        <v>0</v>
      </c>
      <c r="G177" s="262">
        <v>0</v>
      </c>
      <c r="H177" s="262">
        <v>0</v>
      </c>
      <c r="I177" s="262">
        <v>0</v>
      </c>
      <c r="J177" s="262">
        <v>0</v>
      </c>
      <c r="K177" s="262">
        <v>0</v>
      </c>
      <c r="L177" s="262">
        <v>0</v>
      </c>
      <c r="M177" s="262">
        <v>0</v>
      </c>
      <c r="N177" s="262">
        <v>0</v>
      </c>
      <c r="O177" s="262">
        <v>0</v>
      </c>
      <c r="P177" s="262">
        <v>0</v>
      </c>
      <c r="Q177" s="262">
        <v>0</v>
      </c>
      <c r="R177" s="273">
        <f t="shared" si="101"/>
        <v>0</v>
      </c>
      <c r="U177" s="547"/>
      <c r="V177" s="271" t="s">
        <v>385</v>
      </c>
      <c r="W177" s="262">
        <v>0</v>
      </c>
      <c r="X177" s="262">
        <v>0</v>
      </c>
      <c r="Y177" s="262">
        <v>0</v>
      </c>
      <c r="Z177" s="262">
        <v>0</v>
      </c>
      <c r="AA177" s="262">
        <v>0</v>
      </c>
      <c r="AB177" s="262">
        <v>0</v>
      </c>
      <c r="AC177" s="262">
        <v>0</v>
      </c>
      <c r="AD177" s="262">
        <v>0</v>
      </c>
      <c r="AE177" s="262">
        <v>0</v>
      </c>
      <c r="AF177" s="262">
        <v>0</v>
      </c>
      <c r="AG177" s="262">
        <v>0</v>
      </c>
      <c r="AH177" s="262">
        <v>0</v>
      </c>
      <c r="AI177" s="262">
        <v>0</v>
      </c>
      <c r="AJ177" s="262">
        <v>0</v>
      </c>
      <c r="AK177" s="262">
        <v>0</v>
      </c>
      <c r="AL177" s="273">
        <f t="shared" si="102"/>
        <v>0</v>
      </c>
    </row>
    <row r="178" spans="1:38" ht="14.4" customHeight="1">
      <c r="A178" s="547"/>
      <c r="B178" s="266" t="s">
        <v>45</v>
      </c>
      <c r="C178" s="267">
        <f>SUM(C172:C177)</f>
        <v>1852.1481237121284</v>
      </c>
      <c r="D178" s="267">
        <f t="shared" ref="D178:Q178" si="103">SUM(D172:D177)</f>
        <v>0</v>
      </c>
      <c r="E178" s="267">
        <f t="shared" si="103"/>
        <v>6741.3006080176365</v>
      </c>
      <c r="F178" s="267">
        <f t="shared" si="103"/>
        <v>0</v>
      </c>
      <c r="G178" s="267">
        <f t="shared" si="103"/>
        <v>0</v>
      </c>
      <c r="H178" s="267">
        <f t="shared" si="103"/>
        <v>0</v>
      </c>
      <c r="I178" s="267">
        <f t="shared" si="103"/>
        <v>0</v>
      </c>
      <c r="J178" s="267">
        <f t="shared" si="103"/>
        <v>0</v>
      </c>
      <c r="K178" s="267">
        <f t="shared" si="103"/>
        <v>0</v>
      </c>
      <c r="L178" s="267">
        <f t="shared" si="103"/>
        <v>0</v>
      </c>
      <c r="M178" s="267">
        <f t="shared" si="103"/>
        <v>0</v>
      </c>
      <c r="N178" s="267">
        <f t="shared" si="103"/>
        <v>49.707632976588116</v>
      </c>
      <c r="O178" s="267">
        <f t="shared" si="103"/>
        <v>5036.5396887845745</v>
      </c>
      <c r="P178" s="267">
        <f t="shared" si="103"/>
        <v>0</v>
      </c>
      <c r="Q178" s="267">
        <f t="shared" si="103"/>
        <v>0</v>
      </c>
      <c r="R178" s="267">
        <f t="shared" si="101"/>
        <v>13679.696053490927</v>
      </c>
      <c r="U178" s="547"/>
      <c r="V178" s="266" t="s">
        <v>45</v>
      </c>
      <c r="W178" s="267">
        <f>SUM(W172:W177)</f>
        <v>617.4030299154947</v>
      </c>
      <c r="X178" s="267">
        <f t="shared" ref="X178:AK178" si="104">SUM(X172:X177)</f>
        <v>0</v>
      </c>
      <c r="Y178" s="267">
        <f t="shared" si="104"/>
        <v>3193.4044545253892</v>
      </c>
      <c r="Z178" s="267">
        <f t="shared" si="104"/>
        <v>0</v>
      </c>
      <c r="AA178" s="267">
        <f t="shared" si="104"/>
        <v>0</v>
      </c>
      <c r="AB178" s="267">
        <f t="shared" si="104"/>
        <v>0</v>
      </c>
      <c r="AC178" s="267">
        <f t="shared" si="104"/>
        <v>587.5218668983199</v>
      </c>
      <c r="AD178" s="267">
        <f t="shared" si="104"/>
        <v>0</v>
      </c>
      <c r="AE178" s="267">
        <f t="shared" si="104"/>
        <v>23.777476372820527</v>
      </c>
      <c r="AF178" s="267">
        <f t="shared" si="104"/>
        <v>97.983073622469362</v>
      </c>
      <c r="AG178" s="267">
        <f t="shared" si="104"/>
        <v>0</v>
      </c>
      <c r="AH178" s="267">
        <f t="shared" si="104"/>
        <v>69.092319716637178</v>
      </c>
      <c r="AI178" s="267">
        <f t="shared" si="104"/>
        <v>5078.7635687539123</v>
      </c>
      <c r="AJ178" s="267">
        <f t="shared" si="104"/>
        <v>0</v>
      </c>
      <c r="AK178" s="267">
        <f t="shared" si="104"/>
        <v>0</v>
      </c>
      <c r="AL178" s="267">
        <f t="shared" si="102"/>
        <v>9667.9457898050423</v>
      </c>
    </row>
    <row r="179" spans="1:38" ht="14.4" customHeight="1">
      <c r="A179" s="547"/>
      <c r="B179" s="261" t="s">
        <v>46</v>
      </c>
      <c r="C179" s="470">
        <f>Industrie!$F$50</f>
        <v>2762.557251188538</v>
      </c>
      <c r="D179" s="262">
        <v>0</v>
      </c>
      <c r="E179" s="262">
        <f>Industrie!$F$49</f>
        <v>285.65468574664675</v>
      </c>
      <c r="F179" s="262">
        <v>0</v>
      </c>
      <c r="G179" s="262">
        <v>0</v>
      </c>
      <c r="H179" s="262">
        <v>0</v>
      </c>
      <c r="I179" s="262">
        <v>0</v>
      </c>
      <c r="J179" s="262">
        <v>0</v>
      </c>
      <c r="K179" s="262">
        <v>0</v>
      </c>
      <c r="L179" s="262">
        <v>0</v>
      </c>
      <c r="M179" s="262">
        <v>0</v>
      </c>
      <c r="N179" s="262">
        <v>0</v>
      </c>
      <c r="O179" s="262">
        <v>0</v>
      </c>
      <c r="P179" s="262">
        <v>0</v>
      </c>
      <c r="Q179" s="262">
        <v>0</v>
      </c>
      <c r="R179" s="273">
        <f t="shared" si="101"/>
        <v>3048.2119369351849</v>
      </c>
      <c r="U179" s="547"/>
      <c r="V179" s="261" t="s">
        <v>46</v>
      </c>
      <c r="W179" s="470">
        <f>Industrie!$F$82</f>
        <v>2311.5274958924501</v>
      </c>
      <c r="X179" s="262">
        <v>0</v>
      </c>
      <c r="Y179" s="262">
        <f>Industrie!$F$80</f>
        <v>183.74474229940174</v>
      </c>
      <c r="Z179" s="262">
        <v>0</v>
      </c>
      <c r="AA179" s="262">
        <v>0</v>
      </c>
      <c r="AB179" s="262">
        <v>0</v>
      </c>
      <c r="AC179" s="470">
        <f>Industrie!$F$84</f>
        <v>27.561711344910261</v>
      </c>
      <c r="AD179" s="262">
        <v>0</v>
      </c>
      <c r="AE179" s="262">
        <v>0</v>
      </c>
      <c r="AF179" s="262">
        <v>0</v>
      </c>
      <c r="AG179" s="262">
        <v>0</v>
      </c>
      <c r="AH179" s="262">
        <v>0</v>
      </c>
      <c r="AI179" s="262">
        <v>0</v>
      </c>
      <c r="AJ179" s="262">
        <v>0</v>
      </c>
      <c r="AK179" s="262">
        <v>0</v>
      </c>
      <c r="AL179" s="273">
        <f t="shared" si="102"/>
        <v>2522.8339495367622</v>
      </c>
    </row>
    <row r="180" spans="1:38" ht="14.4" customHeight="1">
      <c r="A180" s="547"/>
      <c r="B180" s="266" t="s">
        <v>47</v>
      </c>
      <c r="C180" s="267">
        <f>C179+C178</f>
        <v>4614.7053749006664</v>
      </c>
      <c r="D180" s="267">
        <f t="shared" ref="D180:Q180" si="105">D179+D178</f>
        <v>0</v>
      </c>
      <c r="E180" s="267">
        <f t="shared" si="105"/>
        <v>7026.9552937642829</v>
      </c>
      <c r="F180" s="267">
        <f t="shared" si="105"/>
        <v>0</v>
      </c>
      <c r="G180" s="267">
        <f t="shared" si="105"/>
        <v>0</v>
      </c>
      <c r="H180" s="267">
        <f t="shared" si="105"/>
        <v>0</v>
      </c>
      <c r="I180" s="267">
        <f t="shared" si="105"/>
        <v>0</v>
      </c>
      <c r="J180" s="267">
        <f t="shared" si="105"/>
        <v>0</v>
      </c>
      <c r="K180" s="267">
        <f t="shared" si="105"/>
        <v>0</v>
      </c>
      <c r="L180" s="267">
        <f t="shared" si="105"/>
        <v>0</v>
      </c>
      <c r="M180" s="267">
        <f t="shared" si="105"/>
        <v>0</v>
      </c>
      <c r="N180" s="267">
        <f t="shared" si="105"/>
        <v>49.707632976588116</v>
      </c>
      <c r="O180" s="267">
        <f t="shared" si="105"/>
        <v>5036.5396887845745</v>
      </c>
      <c r="P180" s="267">
        <f t="shared" si="105"/>
        <v>0</v>
      </c>
      <c r="Q180" s="267">
        <f t="shared" si="105"/>
        <v>0</v>
      </c>
      <c r="R180" s="267">
        <f t="shared" si="101"/>
        <v>16727.907990426113</v>
      </c>
      <c r="U180" s="547"/>
      <c r="V180" s="266" t="s">
        <v>47</v>
      </c>
      <c r="W180" s="267">
        <f>W179+W178</f>
        <v>2928.9305258079448</v>
      </c>
      <c r="X180" s="267">
        <f t="shared" ref="X180:AK180" si="106">X179+X178</f>
        <v>0</v>
      </c>
      <c r="Y180" s="267">
        <f t="shared" si="106"/>
        <v>3377.149196824791</v>
      </c>
      <c r="Z180" s="267">
        <f t="shared" si="106"/>
        <v>0</v>
      </c>
      <c r="AA180" s="267">
        <f t="shared" si="106"/>
        <v>0</v>
      </c>
      <c r="AB180" s="267">
        <f t="shared" si="106"/>
        <v>0</v>
      </c>
      <c r="AC180" s="267">
        <f t="shared" si="106"/>
        <v>615.08357824323014</v>
      </c>
      <c r="AD180" s="267">
        <f t="shared" si="106"/>
        <v>0</v>
      </c>
      <c r="AE180" s="267">
        <f t="shared" si="106"/>
        <v>23.777476372820527</v>
      </c>
      <c r="AF180" s="267">
        <f t="shared" si="106"/>
        <v>97.983073622469362</v>
      </c>
      <c r="AG180" s="267">
        <f t="shared" si="106"/>
        <v>0</v>
      </c>
      <c r="AH180" s="267">
        <f t="shared" si="106"/>
        <v>69.092319716637178</v>
      </c>
      <c r="AI180" s="267">
        <f t="shared" si="106"/>
        <v>5078.7635687539123</v>
      </c>
      <c r="AJ180" s="267">
        <f t="shared" si="106"/>
        <v>0</v>
      </c>
      <c r="AK180" s="267">
        <f t="shared" si="106"/>
        <v>0</v>
      </c>
      <c r="AL180" s="267">
        <f t="shared" si="102"/>
        <v>12190.779739341806</v>
      </c>
    </row>
    <row r="189" spans="1:38" ht="14.4" customHeight="1">
      <c r="A189" s="547">
        <v>2040</v>
      </c>
      <c r="B189" s="548" t="s">
        <v>12</v>
      </c>
      <c r="C189" s="549" t="s">
        <v>14</v>
      </c>
      <c r="D189" s="549" t="s">
        <v>15</v>
      </c>
      <c r="E189" s="549" t="s">
        <v>16</v>
      </c>
      <c r="F189" s="549" t="s">
        <v>17</v>
      </c>
      <c r="G189" s="549" t="s">
        <v>370</v>
      </c>
      <c r="H189" s="549" t="s">
        <v>18</v>
      </c>
      <c r="I189" s="549" t="s">
        <v>19</v>
      </c>
      <c r="J189" s="549"/>
      <c r="K189" s="549"/>
      <c r="L189" s="549"/>
      <c r="M189" s="549"/>
      <c r="N189" s="549"/>
      <c r="O189" s="550" t="s">
        <v>371</v>
      </c>
      <c r="P189" s="550" t="s">
        <v>21</v>
      </c>
      <c r="Q189" s="550" t="s">
        <v>372</v>
      </c>
      <c r="R189" s="550" t="s">
        <v>23</v>
      </c>
      <c r="U189" s="547">
        <v>2040</v>
      </c>
      <c r="V189" s="555" t="s">
        <v>12</v>
      </c>
      <c r="W189" s="550" t="s">
        <v>14</v>
      </c>
      <c r="X189" s="550" t="s">
        <v>15</v>
      </c>
      <c r="Y189" s="550" t="s">
        <v>16</v>
      </c>
      <c r="Z189" s="550" t="s">
        <v>17</v>
      </c>
      <c r="AA189" s="550" t="s">
        <v>370</v>
      </c>
      <c r="AB189" s="550" t="s">
        <v>18</v>
      </c>
      <c r="AC189" s="552" t="s">
        <v>19</v>
      </c>
      <c r="AD189" s="553"/>
      <c r="AE189" s="553"/>
      <c r="AF189" s="553"/>
      <c r="AG189" s="553"/>
      <c r="AH189" s="554"/>
      <c r="AI189" s="550" t="s">
        <v>371</v>
      </c>
      <c r="AJ189" s="550" t="s">
        <v>21</v>
      </c>
      <c r="AK189" s="550" t="s">
        <v>372</v>
      </c>
      <c r="AL189" s="550" t="s">
        <v>23</v>
      </c>
    </row>
    <row r="190" spans="1:38" ht="45.6">
      <c r="A190" s="547"/>
      <c r="B190" s="548"/>
      <c r="C190" s="549"/>
      <c r="D190" s="549"/>
      <c r="E190" s="549"/>
      <c r="F190" s="549"/>
      <c r="G190" s="549"/>
      <c r="H190" s="549"/>
      <c r="I190" s="259" t="s">
        <v>359</v>
      </c>
      <c r="J190" s="259" t="s">
        <v>7</v>
      </c>
      <c r="K190" s="259" t="s">
        <v>360</v>
      </c>
      <c r="L190" s="259" t="s">
        <v>373</v>
      </c>
      <c r="M190" s="260" t="s">
        <v>374</v>
      </c>
      <c r="N190" s="259" t="s">
        <v>375</v>
      </c>
      <c r="O190" s="550"/>
      <c r="P190" s="550"/>
      <c r="Q190" s="550"/>
      <c r="R190" s="550"/>
      <c r="U190" s="547"/>
      <c r="V190" s="556"/>
      <c r="W190" s="551"/>
      <c r="X190" s="551"/>
      <c r="Y190" s="551"/>
      <c r="Z190" s="551"/>
      <c r="AA190" s="551"/>
      <c r="AB190" s="551"/>
      <c r="AC190" s="259" t="s">
        <v>359</v>
      </c>
      <c r="AD190" s="259" t="s">
        <v>7</v>
      </c>
      <c r="AE190" s="259" t="s">
        <v>360</v>
      </c>
      <c r="AF190" s="259" t="s">
        <v>373</v>
      </c>
      <c r="AG190" s="260" t="s">
        <v>374</v>
      </c>
      <c r="AH190" s="259" t="s">
        <v>375</v>
      </c>
      <c r="AI190" s="551"/>
      <c r="AJ190" s="551"/>
      <c r="AK190" s="551"/>
      <c r="AL190" s="550"/>
    </row>
    <row r="191" spans="1:38" ht="14.4" customHeight="1">
      <c r="A191" s="547"/>
      <c r="B191" s="261" t="s">
        <v>24</v>
      </c>
      <c r="C191" s="262">
        <v>0</v>
      </c>
      <c r="D191" s="263">
        <v>0</v>
      </c>
      <c r="E191" s="263">
        <v>0</v>
      </c>
      <c r="F191" s="262">
        <v>0</v>
      </c>
      <c r="G191" s="263">
        <v>0</v>
      </c>
      <c r="H191" s="263">
        <f>H197</f>
        <v>1103.5417545405014</v>
      </c>
      <c r="I191" s="263">
        <f>I197</f>
        <v>12.337596024829276</v>
      </c>
      <c r="J191" s="263">
        <v>0</v>
      </c>
      <c r="K191" s="263">
        <v>0</v>
      </c>
      <c r="L191" s="263">
        <f>L197</f>
        <v>0</v>
      </c>
      <c r="M191" s="263">
        <v>0</v>
      </c>
      <c r="N191" s="263">
        <f>N197</f>
        <v>52.884393281771899</v>
      </c>
      <c r="O191" s="264">
        <v>0</v>
      </c>
      <c r="P191" s="263">
        <v>0</v>
      </c>
      <c r="Q191" s="263">
        <v>0</v>
      </c>
      <c r="R191" s="265">
        <f>SUM(C191:Q191)</f>
        <v>1168.7637438471027</v>
      </c>
      <c r="U191" s="547"/>
      <c r="V191" s="261" t="s">
        <v>24</v>
      </c>
      <c r="W191" s="262">
        <v>0</v>
      </c>
      <c r="X191" s="263">
        <v>0</v>
      </c>
      <c r="Y191" s="263">
        <v>0</v>
      </c>
      <c r="Z191" s="262">
        <v>0</v>
      </c>
      <c r="AA191" s="263">
        <v>0</v>
      </c>
      <c r="AB191" s="263">
        <f>AB197</f>
        <v>3235.7487231613154</v>
      </c>
      <c r="AC191" s="471">
        <f>IF((AC197-$AC$27)&gt;0,$AC$27+(AC197-$AC$27)*0.5,AC197)</f>
        <v>1019.1804600514301</v>
      </c>
      <c r="AD191" s="471">
        <f>AD197</f>
        <v>1470.7948741642342</v>
      </c>
      <c r="AE191" s="471">
        <f>IF((AE197-$AE$27)&gt;0,$AE$27+(AE197-AE194-AE195-$AE$27)*0.5,AE197-AE194-AE$72)</f>
        <v>1910.5199968384418</v>
      </c>
      <c r="AF191" s="263">
        <f>AF197</f>
        <v>88.946589342148371</v>
      </c>
      <c r="AG191" s="263">
        <v>0</v>
      </c>
      <c r="AH191" s="263">
        <f>AH197</f>
        <v>59.092056884343307</v>
      </c>
      <c r="AI191" s="264">
        <v>0</v>
      </c>
      <c r="AJ191" s="263">
        <v>0</v>
      </c>
      <c r="AK191" s="263">
        <v>0</v>
      </c>
      <c r="AL191" s="265">
        <f>SUM(W191:AK191)</f>
        <v>7784.2827004419132</v>
      </c>
    </row>
    <row r="192" spans="1:38" ht="14.4" customHeight="1">
      <c r="A192" s="547"/>
      <c r="B192" s="261" t="s">
        <v>28</v>
      </c>
      <c r="C192" s="470">
        <f>C197</f>
        <v>11636.034697453979</v>
      </c>
      <c r="D192" s="263">
        <f>D197</f>
        <v>0</v>
      </c>
      <c r="E192" s="471">
        <f>E197-E194-E195</f>
        <v>11588.940350272207</v>
      </c>
      <c r="F192" s="262">
        <v>0</v>
      </c>
      <c r="G192" s="263">
        <v>0</v>
      </c>
      <c r="H192" s="263">
        <v>0</v>
      </c>
      <c r="I192" s="263">
        <v>0</v>
      </c>
      <c r="J192" s="263">
        <v>0</v>
      </c>
      <c r="K192" s="263">
        <f>K197</f>
        <v>0</v>
      </c>
      <c r="L192" s="263">
        <v>0</v>
      </c>
      <c r="M192" s="263">
        <v>0</v>
      </c>
      <c r="N192" s="263">
        <v>0</v>
      </c>
      <c r="O192" s="264">
        <v>0</v>
      </c>
      <c r="P192" s="263">
        <v>0</v>
      </c>
      <c r="Q192" s="263">
        <v>0</v>
      </c>
      <c r="R192" s="265">
        <f t="shared" ref="R192:R197" si="107">SUM(C192:Q192)</f>
        <v>23224.975047726184</v>
      </c>
      <c r="U192" s="547"/>
      <c r="V192" s="261" t="s">
        <v>28</v>
      </c>
      <c r="W192" s="262">
        <f>W197</f>
        <v>2587.7376992623076</v>
      </c>
      <c r="X192" s="263">
        <f>X197</f>
        <v>0</v>
      </c>
      <c r="Y192" s="471">
        <f>Y197-Y194-Y195</f>
        <v>2793.3016754456271</v>
      </c>
      <c r="Z192" s="470">
        <v>0</v>
      </c>
      <c r="AA192" s="471">
        <v>0</v>
      </c>
      <c r="AB192" s="471">
        <v>0</v>
      </c>
      <c r="AC192" s="471">
        <f>IF((AC197-$AC$27)&gt;0,(AC197-$AC$27)*0.5,0)</f>
        <v>1019.1804600514301</v>
      </c>
      <c r="AD192" s="471">
        <v>0</v>
      </c>
      <c r="AE192" s="471">
        <f>IF((AE197-AE194-AE195-$AE$27)&gt;0,(AE197-AE194-AE195-$AE$27)*0.5,0)</f>
        <v>1910.5199968384418</v>
      </c>
      <c r="AF192" s="263">
        <v>0</v>
      </c>
      <c r="AG192" s="263">
        <v>0</v>
      </c>
      <c r="AH192" s="263">
        <v>0</v>
      </c>
      <c r="AI192" s="264">
        <v>0</v>
      </c>
      <c r="AJ192" s="263">
        <v>0</v>
      </c>
      <c r="AK192" s="263">
        <v>0</v>
      </c>
      <c r="AL192" s="265">
        <f t="shared" ref="AL192:AL197" si="108">SUM(W192:AK192)</f>
        <v>8310.7398315978062</v>
      </c>
    </row>
    <row r="193" spans="1:38" ht="14.4" customHeight="1">
      <c r="A193" s="547"/>
      <c r="B193" s="261" t="s">
        <v>29</v>
      </c>
      <c r="C193" s="470">
        <v>0</v>
      </c>
      <c r="D193" s="263">
        <v>0</v>
      </c>
      <c r="E193" s="263">
        <v>0</v>
      </c>
      <c r="F193" s="262">
        <v>0</v>
      </c>
      <c r="G193" s="263">
        <v>0</v>
      </c>
      <c r="H193" s="263">
        <v>0</v>
      </c>
      <c r="I193" s="263">
        <v>0</v>
      </c>
      <c r="J193" s="263">
        <v>0</v>
      </c>
      <c r="K193" s="263">
        <v>0</v>
      </c>
      <c r="L193" s="263">
        <v>0</v>
      </c>
      <c r="M193" s="263">
        <v>0</v>
      </c>
      <c r="N193" s="263">
        <v>0</v>
      </c>
      <c r="O193" s="264">
        <v>0</v>
      </c>
      <c r="P193" s="263">
        <v>0</v>
      </c>
      <c r="Q193" s="263">
        <v>0</v>
      </c>
      <c r="R193" s="265">
        <f t="shared" si="107"/>
        <v>0</v>
      </c>
      <c r="U193" s="547"/>
      <c r="V193" s="261" t="s">
        <v>29</v>
      </c>
      <c r="W193" s="262">
        <v>0</v>
      </c>
      <c r="X193" s="263">
        <v>0</v>
      </c>
      <c r="Y193" s="263">
        <v>0</v>
      </c>
      <c r="Z193" s="262">
        <v>0</v>
      </c>
      <c r="AA193" s="263">
        <v>0</v>
      </c>
      <c r="AB193" s="263">
        <v>0</v>
      </c>
      <c r="AC193" s="263">
        <v>0</v>
      </c>
      <c r="AD193" s="471">
        <v>0</v>
      </c>
      <c r="AE193" s="263">
        <v>0</v>
      </c>
      <c r="AF193" s="263">
        <v>0</v>
      </c>
      <c r="AG193" s="263">
        <v>0</v>
      </c>
      <c r="AH193" s="263">
        <v>0</v>
      </c>
      <c r="AI193" s="264">
        <v>0</v>
      </c>
      <c r="AJ193" s="263">
        <v>0</v>
      </c>
      <c r="AK193" s="263">
        <v>0</v>
      </c>
      <c r="AL193" s="265">
        <f t="shared" si="108"/>
        <v>0</v>
      </c>
    </row>
    <row r="194" spans="1:38" ht="14.4" customHeight="1">
      <c r="A194" s="547"/>
      <c r="B194" s="261" t="s">
        <v>30</v>
      </c>
      <c r="C194" s="470">
        <v>0</v>
      </c>
      <c r="D194" s="263">
        <v>0</v>
      </c>
      <c r="E194" s="263">
        <f>-Transports!$G$125</f>
        <v>-218.92541978556881</v>
      </c>
      <c r="F194" s="262">
        <v>0</v>
      </c>
      <c r="G194" s="263">
        <v>0</v>
      </c>
      <c r="H194" s="263">
        <v>0</v>
      </c>
      <c r="I194" s="263">
        <v>0</v>
      </c>
      <c r="J194" s="263">
        <v>0</v>
      </c>
      <c r="K194" s="263">
        <v>0</v>
      </c>
      <c r="L194" s="263">
        <v>0</v>
      </c>
      <c r="M194" s="263">
        <v>0</v>
      </c>
      <c r="N194" s="263">
        <v>0</v>
      </c>
      <c r="O194" s="264">
        <v>0</v>
      </c>
      <c r="P194" s="263">
        <v>0</v>
      </c>
      <c r="Q194" s="263">
        <v>0</v>
      </c>
      <c r="R194" s="265">
        <f t="shared" si="107"/>
        <v>-218.92541978556881</v>
      </c>
      <c r="U194" s="547"/>
      <c r="V194" s="261" t="s">
        <v>30</v>
      </c>
      <c r="W194" s="262">
        <v>0</v>
      </c>
      <c r="X194" s="263">
        <v>0</v>
      </c>
      <c r="Y194" s="471">
        <f>-Transports!$G$172-Transports!$G$171</f>
        <v>-139.01925672057479</v>
      </c>
      <c r="Z194" s="470">
        <v>0</v>
      </c>
      <c r="AA194" s="471">
        <v>0</v>
      </c>
      <c r="AB194" s="471">
        <v>0</v>
      </c>
      <c r="AC194" s="471">
        <v>0</v>
      </c>
      <c r="AD194" s="471">
        <v>0</v>
      </c>
      <c r="AE194" s="471">
        <f>-Transports!$G$170</f>
        <v>-46.835364563616096</v>
      </c>
      <c r="AF194" s="263">
        <v>0</v>
      </c>
      <c r="AG194" s="263">
        <v>0</v>
      </c>
      <c r="AH194" s="263">
        <v>0</v>
      </c>
      <c r="AI194" s="264">
        <v>0</v>
      </c>
      <c r="AJ194" s="263">
        <v>0</v>
      </c>
      <c r="AK194" s="263">
        <v>0</v>
      </c>
      <c r="AL194" s="265">
        <f t="shared" si="108"/>
        <v>-185.8546212841909</v>
      </c>
    </row>
    <row r="195" spans="1:38" ht="14.4" customHeight="1">
      <c r="A195" s="547"/>
      <c r="B195" s="261" t="s">
        <v>31</v>
      </c>
      <c r="C195" s="470">
        <v>0</v>
      </c>
      <c r="D195" s="263">
        <v>0</v>
      </c>
      <c r="E195" s="263">
        <f>-Transports!$G$202</f>
        <v>-197.25037003750964</v>
      </c>
      <c r="F195" s="262">
        <v>0</v>
      </c>
      <c r="G195" s="263">
        <v>0</v>
      </c>
      <c r="H195" s="263">
        <v>0</v>
      </c>
      <c r="I195" s="263">
        <v>0</v>
      </c>
      <c r="J195" s="263">
        <v>0</v>
      </c>
      <c r="K195" s="263">
        <v>0</v>
      </c>
      <c r="L195" s="263">
        <v>0</v>
      </c>
      <c r="M195" s="263">
        <v>0</v>
      </c>
      <c r="N195" s="263">
        <v>0</v>
      </c>
      <c r="O195" s="264">
        <v>0</v>
      </c>
      <c r="P195" s="263">
        <v>0</v>
      </c>
      <c r="Q195" s="263">
        <v>0</v>
      </c>
      <c r="R195" s="265">
        <f t="shared" si="107"/>
        <v>-197.25037003750964</v>
      </c>
      <c r="U195" s="547"/>
      <c r="V195" s="261" t="s">
        <v>31</v>
      </c>
      <c r="W195" s="262">
        <v>0</v>
      </c>
      <c r="X195" s="263">
        <v>0</v>
      </c>
      <c r="Y195" s="471">
        <f>-Transports!$G$234</f>
        <v>-116.93626463544739</v>
      </c>
      <c r="Z195" s="470">
        <v>0</v>
      </c>
      <c r="AA195" s="471">
        <v>0</v>
      </c>
      <c r="AB195" s="471">
        <v>0</v>
      </c>
      <c r="AC195" s="471">
        <v>0</v>
      </c>
      <c r="AD195" s="471">
        <v>0</v>
      </c>
      <c r="AE195" s="471">
        <f>-Transports!$G$233-Transports!$G$232</f>
        <v>-55.844848173305436</v>
      </c>
      <c r="AF195" s="263">
        <v>0</v>
      </c>
      <c r="AG195" s="263">
        <v>0</v>
      </c>
      <c r="AH195" s="263">
        <v>0</v>
      </c>
      <c r="AI195" s="264">
        <v>0</v>
      </c>
      <c r="AJ195" s="263">
        <v>0</v>
      </c>
      <c r="AK195" s="263">
        <v>0</v>
      </c>
      <c r="AL195" s="265">
        <f t="shared" si="108"/>
        <v>-172.78111280875282</v>
      </c>
    </row>
    <row r="196" spans="1:38" ht="14.4" customHeight="1">
      <c r="A196" s="547"/>
      <c r="B196" s="261" t="s">
        <v>32</v>
      </c>
      <c r="C196" s="470">
        <v>0</v>
      </c>
      <c r="D196" s="263">
        <v>0</v>
      </c>
      <c r="E196" s="263">
        <v>0</v>
      </c>
      <c r="F196" s="262">
        <v>0</v>
      </c>
      <c r="G196" s="263">
        <v>0</v>
      </c>
      <c r="H196" s="263">
        <v>0</v>
      </c>
      <c r="I196" s="263">
        <v>0</v>
      </c>
      <c r="J196" s="263">
        <v>0</v>
      </c>
      <c r="K196" s="263">
        <v>0</v>
      </c>
      <c r="L196" s="263">
        <v>0</v>
      </c>
      <c r="M196" s="263">
        <v>0</v>
      </c>
      <c r="N196" s="263">
        <v>0</v>
      </c>
      <c r="O196" s="264">
        <v>0</v>
      </c>
      <c r="P196" s="263">
        <v>0</v>
      </c>
      <c r="Q196" s="263">
        <v>0</v>
      </c>
      <c r="R196" s="265">
        <f t="shared" si="107"/>
        <v>0</v>
      </c>
      <c r="U196" s="547"/>
      <c r="V196" s="261" t="s">
        <v>32</v>
      </c>
      <c r="W196" s="262">
        <v>0</v>
      </c>
      <c r="X196" s="263">
        <v>0</v>
      </c>
      <c r="Y196" s="263">
        <v>0</v>
      </c>
      <c r="Z196" s="262">
        <v>0</v>
      </c>
      <c r="AA196" s="263">
        <v>0</v>
      </c>
      <c r="AB196" s="263">
        <v>0</v>
      </c>
      <c r="AC196" s="263">
        <v>0</v>
      </c>
      <c r="AD196" s="471">
        <v>0</v>
      </c>
      <c r="AE196" s="263">
        <v>0</v>
      </c>
      <c r="AF196" s="263">
        <v>0</v>
      </c>
      <c r="AG196" s="263">
        <v>0</v>
      </c>
      <c r="AH196" s="263">
        <v>0</v>
      </c>
      <c r="AI196" s="264">
        <v>0</v>
      </c>
      <c r="AJ196" s="263">
        <v>0</v>
      </c>
      <c r="AK196" s="263">
        <v>0</v>
      </c>
      <c r="AL196" s="265">
        <f t="shared" si="108"/>
        <v>0</v>
      </c>
    </row>
    <row r="197" spans="1:38" ht="14.4" customHeight="1">
      <c r="A197" s="547"/>
      <c r="B197" s="266" t="s">
        <v>376</v>
      </c>
      <c r="C197" s="472">
        <f>C211+C221</f>
        <v>11636.034697453979</v>
      </c>
      <c r="D197" s="267">
        <f>D211+D221</f>
        <v>0</v>
      </c>
      <c r="E197" s="267">
        <f>E211+E221</f>
        <v>11172.76456044913</v>
      </c>
      <c r="F197" s="267">
        <f t="shared" ref="F197:G197" si="109">SUM(F191:F196)</f>
        <v>0</v>
      </c>
      <c r="G197" s="267">
        <f t="shared" si="109"/>
        <v>0</v>
      </c>
      <c r="H197" s="267">
        <f>H211</f>
        <v>1103.5417545405014</v>
      </c>
      <c r="I197" s="267">
        <f>I211+I219</f>
        <v>12.337596024829276</v>
      </c>
      <c r="J197" s="267">
        <f t="shared" ref="J197" si="110">SUM(J191:J196)</f>
        <v>0</v>
      </c>
      <c r="K197" s="267">
        <f>K211+K221</f>
        <v>0</v>
      </c>
      <c r="L197" s="267">
        <f>L211+L221</f>
        <v>0</v>
      </c>
      <c r="M197" s="267">
        <f t="shared" ref="M197" si="111">SUM(M191:M196)</f>
        <v>0</v>
      </c>
      <c r="N197" s="267">
        <f>N211+N221</f>
        <v>52.884393281771899</v>
      </c>
      <c r="O197" s="267">
        <f t="shared" ref="O197:Q197" si="112">SUM(O191:O196)</f>
        <v>0</v>
      </c>
      <c r="P197" s="267">
        <f t="shared" si="112"/>
        <v>0</v>
      </c>
      <c r="Q197" s="267">
        <f t="shared" si="112"/>
        <v>0</v>
      </c>
      <c r="R197" s="267">
        <f t="shared" si="107"/>
        <v>23977.563001750212</v>
      </c>
      <c r="U197" s="547"/>
      <c r="V197" s="266" t="s">
        <v>376</v>
      </c>
      <c r="W197" s="472">
        <f>W221+W211</f>
        <v>2587.7376992623076</v>
      </c>
      <c r="X197" s="267">
        <f>X211+X221</f>
        <v>0</v>
      </c>
      <c r="Y197" s="267">
        <f>Y211+Y221</f>
        <v>2537.3461540896046</v>
      </c>
      <c r="Z197" s="267">
        <f t="shared" ref="Z197:AA197" si="113">SUM(Z191:Z196)</f>
        <v>0</v>
      </c>
      <c r="AA197" s="267">
        <f t="shared" si="113"/>
        <v>0</v>
      </c>
      <c r="AB197" s="267">
        <f>AB211</f>
        <v>3235.7487231613154</v>
      </c>
      <c r="AC197" s="267">
        <f>AC211+AC221</f>
        <v>2038.3609201028603</v>
      </c>
      <c r="AD197" s="472">
        <f>AD211</f>
        <v>1470.7948741642342</v>
      </c>
      <c r="AE197" s="267">
        <f>AE211+AE221</f>
        <v>3718.3597809399621</v>
      </c>
      <c r="AF197" s="267">
        <f>AF211+AF221</f>
        <v>88.946589342148371</v>
      </c>
      <c r="AG197" s="267">
        <f t="shared" ref="AG197" si="114">SUM(AG191:AG196)</f>
        <v>0</v>
      </c>
      <c r="AH197" s="267">
        <f>AH211+AH221</f>
        <v>59.092056884343307</v>
      </c>
      <c r="AI197" s="267">
        <f t="shared" ref="AI197:AK197" si="115">SUM(AI191:AI196)</f>
        <v>0</v>
      </c>
      <c r="AJ197" s="267">
        <f t="shared" si="115"/>
        <v>0</v>
      </c>
      <c r="AK197" s="267">
        <f t="shared" si="115"/>
        <v>0</v>
      </c>
      <c r="AL197" s="267">
        <f t="shared" si="108"/>
        <v>15736.386797946774</v>
      </c>
    </row>
    <row r="198" spans="1:38" ht="14.4" customHeight="1">
      <c r="A198" s="547"/>
      <c r="B198" s="268"/>
      <c r="C198" s="269"/>
      <c r="D198" s="237"/>
      <c r="E198" s="270"/>
      <c r="F198" s="269"/>
      <c r="G198" s="269"/>
      <c r="H198" s="269"/>
      <c r="I198" s="269"/>
      <c r="J198" s="269"/>
      <c r="K198" s="269"/>
      <c r="L198" s="269"/>
      <c r="M198" s="269"/>
      <c r="N198" s="269"/>
      <c r="O198" s="278"/>
      <c r="P198" s="269"/>
      <c r="Q198" s="269"/>
      <c r="R198" s="269"/>
      <c r="U198" s="547"/>
      <c r="V198" s="268"/>
      <c r="W198" s="269"/>
      <c r="X198" s="237"/>
      <c r="Y198" s="270"/>
      <c r="Z198" s="269"/>
      <c r="AA198" s="269"/>
      <c r="AB198" s="269"/>
      <c r="AC198" s="269"/>
      <c r="AD198" s="269"/>
      <c r="AE198" s="269"/>
      <c r="AF198" s="269"/>
      <c r="AG198" s="269"/>
      <c r="AH198" s="269"/>
      <c r="AI198" s="278"/>
      <c r="AJ198" s="269"/>
      <c r="AK198" s="269"/>
      <c r="AL198" s="269"/>
    </row>
    <row r="199" spans="1:38" ht="14.4" customHeight="1">
      <c r="A199" s="547"/>
      <c r="B199" s="271" t="s">
        <v>377</v>
      </c>
      <c r="C199" s="262">
        <v>0</v>
      </c>
      <c r="D199" s="272">
        <v>0</v>
      </c>
      <c r="E199" s="272">
        <v>0</v>
      </c>
      <c r="F199" s="262">
        <v>0</v>
      </c>
      <c r="G199" s="262">
        <v>0</v>
      </c>
      <c r="H199" s="262">
        <v>0</v>
      </c>
      <c r="I199" s="262">
        <v>0</v>
      </c>
      <c r="J199" s="262">
        <v>0</v>
      </c>
      <c r="K199" s="262">
        <v>0</v>
      </c>
      <c r="L199" s="262">
        <v>0</v>
      </c>
      <c r="M199" s="262">
        <v>0</v>
      </c>
      <c r="N199" s="262">
        <v>0</v>
      </c>
      <c r="O199" s="262">
        <v>0</v>
      </c>
      <c r="P199" s="262">
        <v>0</v>
      </c>
      <c r="Q199" s="262">
        <v>0</v>
      </c>
      <c r="R199" s="273">
        <f>SUM(C199:Q199)</f>
        <v>0</v>
      </c>
      <c r="U199" s="547"/>
      <c r="V199" s="271" t="s">
        <v>377</v>
      </c>
      <c r="W199" s="262">
        <v>0</v>
      </c>
      <c r="X199" s="272">
        <v>0</v>
      </c>
      <c r="Y199" s="272">
        <v>0</v>
      </c>
      <c r="Z199" s="262">
        <v>0</v>
      </c>
      <c r="AA199" s="262">
        <v>0</v>
      </c>
      <c r="AB199" s="262">
        <v>0</v>
      </c>
      <c r="AC199" s="262">
        <v>0</v>
      </c>
      <c r="AD199" s="262">
        <v>0</v>
      </c>
      <c r="AE199" s="262">
        <v>0</v>
      </c>
      <c r="AF199" s="262">
        <v>0</v>
      </c>
      <c r="AG199" s="262">
        <v>0</v>
      </c>
      <c r="AH199" s="262">
        <v>0</v>
      </c>
      <c r="AI199" s="262">
        <v>0</v>
      </c>
      <c r="AJ199" s="262">
        <v>0</v>
      </c>
      <c r="AK199" s="262">
        <v>0</v>
      </c>
      <c r="AL199" s="273">
        <f>SUM(W199:AK199)</f>
        <v>0</v>
      </c>
    </row>
    <row r="200" spans="1:38" ht="14.4" customHeight="1">
      <c r="A200" s="547"/>
      <c r="B200" s="271" t="s">
        <v>378</v>
      </c>
      <c r="C200" s="262">
        <f>O200*'Prod Energie'!$G$37/(-$J$13)</f>
        <v>7021.526605261708</v>
      </c>
      <c r="D200" s="262">
        <v>0</v>
      </c>
      <c r="E200" s="262">
        <f>O200*'Prod Energie'!$G$38/(-$K$13)</f>
        <v>4127.9940154281885</v>
      </c>
      <c r="F200" s="262">
        <v>0</v>
      </c>
      <c r="G200" s="262">
        <v>0</v>
      </c>
      <c r="H200" s="262">
        <f>(O200)*('Prod Energie'!$G$39+'Prod Energie'!$G$44+'Prod Energie'!$G$45)/(-$L$13)</f>
        <v>1103.5417545405014</v>
      </c>
      <c r="I200" s="274">
        <f>(O200)*('Prod Energie'!$G$43)/(-$M$13)</f>
        <v>12.337596024829276</v>
      </c>
      <c r="J200" s="274">
        <f>(O200)*$L$17*('Prod Energie'!$G$41)</f>
        <v>0</v>
      </c>
      <c r="K200" s="274">
        <f>(O200)*$L$17*('Prod Energie'!$G$42)</f>
        <v>0</v>
      </c>
      <c r="L200" s="274">
        <f>(O200)*$L$17*('Prod Energie'!$G$46)</f>
        <v>0</v>
      </c>
      <c r="M200" s="274">
        <v>0</v>
      </c>
      <c r="N200" s="274">
        <f>0</f>
        <v>0</v>
      </c>
      <c r="O200" s="262">
        <f>O211/(1+$F$17+$F$18)</f>
        <v>-5379.5446064065418</v>
      </c>
      <c r="P200" s="262">
        <v>0</v>
      </c>
      <c r="Q200" s="262">
        <v>0</v>
      </c>
      <c r="R200" s="273">
        <f t="shared" ref="R200:R211" si="116">SUM(C200:Q200)</f>
        <v>6885.855364848685</v>
      </c>
      <c r="U200" s="547"/>
      <c r="V200" s="271" t="s">
        <v>378</v>
      </c>
      <c r="W200" s="470">
        <f>AI200*'Prod Energie'!$G$59/(-$J$13)</f>
        <v>0</v>
      </c>
      <c r="X200" s="470">
        <v>0</v>
      </c>
      <c r="Y200" s="470">
        <f>AI200*'Prod Energie'!$G$60/(-$K$13)</f>
        <v>0</v>
      </c>
      <c r="Z200" s="470">
        <v>0</v>
      </c>
      <c r="AA200" s="470">
        <v>0</v>
      </c>
      <c r="AB200" s="470">
        <f>(AI200)*('Prod Energie'!$G$61+'Prod Energie'!$G$66+'Prod Energie'!$G$67)/(-$L$13)</f>
        <v>3235.7487231613154</v>
      </c>
      <c r="AC200" s="274">
        <f>(AI200)*'Prod Energie'!$G$65/(-$M$13)</f>
        <v>1470.7948741642342</v>
      </c>
      <c r="AD200" s="274">
        <f>(AI200)*('Prod Energie'!$G$63)/(-$N$13)</f>
        <v>1470.7948741642342</v>
      </c>
      <c r="AE200" s="274">
        <f>(AI200)*('Prod Energie'!$G$64)/(-$M$13)</f>
        <v>3676.9871854105872</v>
      </c>
      <c r="AF200" s="274">
        <f>(AI200)*('Prod Energie'!$G$68)/(-$P$13)</f>
        <v>0</v>
      </c>
      <c r="AG200" s="274">
        <v>0</v>
      </c>
      <c r="AH200" s="274">
        <f>(AI200)*'Prod Energie'!$G$62/(-$Q$13)</f>
        <v>0</v>
      </c>
      <c r="AI200" s="262">
        <f>AI211/(1+$F$17+$F$18)</f>
        <v>-5883.1794966569369</v>
      </c>
      <c r="AJ200" s="262">
        <v>0</v>
      </c>
      <c r="AK200" s="262">
        <v>0</v>
      </c>
      <c r="AL200" s="273">
        <f t="shared" ref="AL200:AL211" si="117">SUM(W200:AK200)</f>
        <v>3971.1461602434347</v>
      </c>
    </row>
    <row r="201" spans="1:38" ht="14.4" customHeight="1">
      <c r="A201" s="547"/>
      <c r="B201" s="271" t="s">
        <v>379</v>
      </c>
      <c r="C201" s="262">
        <v>0</v>
      </c>
      <c r="D201" s="262">
        <v>0</v>
      </c>
      <c r="E201" s="262">
        <v>0</v>
      </c>
      <c r="F201" s="262">
        <v>0</v>
      </c>
      <c r="G201" s="262">
        <v>0</v>
      </c>
      <c r="H201" s="262">
        <v>0</v>
      </c>
      <c r="I201" s="274">
        <f>$P$201*$L$18*V$17</f>
        <v>0</v>
      </c>
      <c r="J201" s="274">
        <f t="shared" ref="J201:N201" si="118">$P$201*$L$18*W$17</f>
        <v>0</v>
      </c>
      <c r="K201" s="274">
        <f t="shared" si="118"/>
        <v>0</v>
      </c>
      <c r="L201" s="274">
        <f t="shared" si="118"/>
        <v>0</v>
      </c>
      <c r="M201" s="274">
        <f t="shared" si="118"/>
        <v>0</v>
      </c>
      <c r="N201" s="274">
        <f t="shared" si="118"/>
        <v>0</v>
      </c>
      <c r="O201" s="262">
        <v>0</v>
      </c>
      <c r="P201" s="262">
        <f>P211/(1+$R$18)</f>
        <v>0</v>
      </c>
      <c r="Q201" s="262">
        <v>0</v>
      </c>
      <c r="R201" s="273">
        <f t="shared" si="116"/>
        <v>0</v>
      </c>
      <c r="U201" s="547"/>
      <c r="V201" s="271" t="s">
        <v>379</v>
      </c>
      <c r="W201" s="262">
        <v>0</v>
      </c>
      <c r="X201" s="262">
        <v>0</v>
      </c>
      <c r="Y201" s="262">
        <v>0</v>
      </c>
      <c r="Z201" s="262">
        <v>0</v>
      </c>
      <c r="AA201" s="262">
        <v>0</v>
      </c>
      <c r="AB201" s="262">
        <v>0</v>
      </c>
      <c r="AC201" s="274">
        <f>$AJ$201*$L$18*V$17</f>
        <v>0</v>
      </c>
      <c r="AD201" s="274">
        <f t="shared" ref="AD201:AH201" si="119">$AJ$201*$L$18*W$17</f>
        <v>0</v>
      </c>
      <c r="AE201" s="274">
        <f t="shared" si="119"/>
        <v>0</v>
      </c>
      <c r="AF201" s="274">
        <f t="shared" si="119"/>
        <v>0</v>
      </c>
      <c r="AG201" s="274">
        <f t="shared" si="119"/>
        <v>0</v>
      </c>
      <c r="AH201" s="274">
        <f t="shared" si="119"/>
        <v>0</v>
      </c>
      <c r="AI201" s="262">
        <v>0</v>
      </c>
      <c r="AJ201" s="262">
        <f>AJ211/(1+$R$18)</f>
        <v>0</v>
      </c>
      <c r="AK201" s="262">
        <v>0</v>
      </c>
      <c r="AL201" s="273">
        <f t="shared" si="117"/>
        <v>0</v>
      </c>
    </row>
    <row r="202" spans="1:38" ht="14.4" customHeight="1">
      <c r="A202" s="547"/>
      <c r="B202" s="271" t="s">
        <v>380</v>
      </c>
      <c r="C202" s="262">
        <v>0</v>
      </c>
      <c r="D202" s="262">
        <v>0</v>
      </c>
      <c r="E202" s="262">
        <v>0</v>
      </c>
      <c r="F202" s="262">
        <v>0</v>
      </c>
      <c r="G202" s="262">
        <v>0</v>
      </c>
      <c r="H202" s="262">
        <v>0</v>
      </c>
      <c r="I202" s="275">
        <v>0</v>
      </c>
      <c r="J202" s="275">
        <v>0</v>
      </c>
      <c r="K202" s="275">
        <v>0</v>
      </c>
      <c r="L202" s="275">
        <v>0</v>
      </c>
      <c r="M202" s="275">
        <v>0</v>
      </c>
      <c r="N202" s="275">
        <v>0</v>
      </c>
      <c r="O202" s="262">
        <v>0</v>
      </c>
      <c r="P202" s="262">
        <v>0</v>
      </c>
      <c r="Q202" s="262">
        <v>0</v>
      </c>
      <c r="R202" s="273">
        <f t="shared" si="116"/>
        <v>0</v>
      </c>
      <c r="U202" s="547"/>
      <c r="V202" s="271" t="s">
        <v>380</v>
      </c>
      <c r="W202" s="262">
        <v>0</v>
      </c>
      <c r="X202" s="262">
        <v>0</v>
      </c>
      <c r="Y202" s="262">
        <v>0</v>
      </c>
      <c r="Z202" s="262">
        <v>0</v>
      </c>
      <c r="AA202" s="262">
        <v>0</v>
      </c>
      <c r="AB202" s="262">
        <v>0</v>
      </c>
      <c r="AC202" s="275">
        <v>0</v>
      </c>
      <c r="AD202" s="275">
        <v>0</v>
      </c>
      <c r="AE202" s="275">
        <v>0</v>
      </c>
      <c r="AF202" s="275">
        <v>0</v>
      </c>
      <c r="AG202" s="275">
        <v>0</v>
      </c>
      <c r="AH202" s="275">
        <v>0</v>
      </c>
      <c r="AI202" s="262">
        <v>0</v>
      </c>
      <c r="AJ202" s="262">
        <v>0</v>
      </c>
      <c r="AK202" s="262">
        <v>0</v>
      </c>
      <c r="AL202" s="273">
        <f t="shared" si="117"/>
        <v>0</v>
      </c>
    </row>
    <row r="203" spans="1:38" ht="14.4" customHeight="1">
      <c r="A203" s="547"/>
      <c r="B203" s="271" t="s">
        <v>381</v>
      </c>
      <c r="C203" s="262">
        <v>0</v>
      </c>
      <c r="D203" s="262">
        <v>0</v>
      </c>
      <c r="E203" s="262">
        <v>0</v>
      </c>
      <c r="F203" s="262">
        <v>0</v>
      </c>
      <c r="G203" s="262">
        <v>0</v>
      </c>
      <c r="H203" s="262">
        <v>0</v>
      </c>
      <c r="I203" s="262">
        <v>0</v>
      </c>
      <c r="J203" s="262">
        <v>0</v>
      </c>
      <c r="K203" s="262">
        <v>0</v>
      </c>
      <c r="L203" s="262">
        <v>0</v>
      </c>
      <c r="M203" s="262">
        <v>0</v>
      </c>
      <c r="N203" s="262">
        <v>0</v>
      </c>
      <c r="O203" s="262">
        <v>0</v>
      </c>
      <c r="P203" s="262">
        <v>0</v>
      </c>
      <c r="Q203" s="262">
        <v>0</v>
      </c>
      <c r="R203" s="273">
        <f t="shared" si="116"/>
        <v>0</v>
      </c>
      <c r="U203" s="547"/>
      <c r="V203" s="271" t="s">
        <v>381</v>
      </c>
      <c r="W203" s="262">
        <v>0</v>
      </c>
      <c r="X203" s="262">
        <v>0</v>
      </c>
      <c r="Y203" s="262">
        <v>0</v>
      </c>
      <c r="Z203" s="262">
        <v>0</v>
      </c>
      <c r="AA203" s="262">
        <v>0</v>
      </c>
      <c r="AB203" s="262">
        <v>0</v>
      </c>
      <c r="AC203" s="262">
        <v>0</v>
      </c>
      <c r="AD203" s="262">
        <v>0</v>
      </c>
      <c r="AE203" s="262">
        <v>0</v>
      </c>
      <c r="AF203" s="262">
        <v>0</v>
      </c>
      <c r="AG203" s="262">
        <v>0</v>
      </c>
      <c r="AH203" s="262">
        <v>0</v>
      </c>
      <c r="AI203" s="262">
        <v>0</v>
      </c>
      <c r="AJ203" s="262">
        <v>0</v>
      </c>
      <c r="AK203" s="262">
        <v>0</v>
      </c>
      <c r="AL203" s="273">
        <f t="shared" si="117"/>
        <v>0</v>
      </c>
    </row>
    <row r="204" spans="1:38" ht="14.4" customHeight="1">
      <c r="A204" s="547"/>
      <c r="B204" s="271" t="s">
        <v>36</v>
      </c>
      <c r="C204" s="262">
        <v>0</v>
      </c>
      <c r="D204" s="262">
        <v>0</v>
      </c>
      <c r="E204" s="262">
        <v>0</v>
      </c>
      <c r="F204" s="262">
        <v>0</v>
      </c>
      <c r="G204" s="262">
        <v>0</v>
      </c>
      <c r="H204" s="262">
        <v>0</v>
      </c>
      <c r="I204" s="262">
        <v>0</v>
      </c>
      <c r="J204" s="262">
        <v>0</v>
      </c>
      <c r="K204" s="262">
        <v>0</v>
      </c>
      <c r="L204" s="262">
        <v>0</v>
      </c>
      <c r="M204" s="262">
        <v>0</v>
      </c>
      <c r="N204" s="262">
        <v>0</v>
      </c>
      <c r="O204" s="262">
        <v>0</v>
      </c>
      <c r="P204" s="262">
        <v>0</v>
      </c>
      <c r="Q204" s="262">
        <v>0</v>
      </c>
      <c r="R204" s="273">
        <f t="shared" si="116"/>
        <v>0</v>
      </c>
      <c r="U204" s="547"/>
      <c r="V204" s="271" t="s">
        <v>36</v>
      </c>
      <c r="W204" s="262">
        <v>0</v>
      </c>
      <c r="X204" s="262">
        <v>0</v>
      </c>
      <c r="Y204" s="262">
        <v>0</v>
      </c>
      <c r="Z204" s="262">
        <v>0</v>
      </c>
      <c r="AA204" s="262">
        <v>0</v>
      </c>
      <c r="AB204" s="262">
        <v>0</v>
      </c>
      <c r="AC204" s="262">
        <v>0</v>
      </c>
      <c r="AD204" s="262">
        <v>0</v>
      </c>
      <c r="AE204" s="262">
        <v>0</v>
      </c>
      <c r="AF204" s="262">
        <v>0</v>
      </c>
      <c r="AG204" s="262">
        <v>0</v>
      </c>
      <c r="AH204" s="262">
        <v>0</v>
      </c>
      <c r="AI204" s="262">
        <v>0</v>
      </c>
      <c r="AJ204" s="262">
        <v>0</v>
      </c>
      <c r="AK204" s="262">
        <v>0</v>
      </c>
      <c r="AL204" s="273">
        <f t="shared" si="117"/>
        <v>0</v>
      </c>
    </row>
    <row r="205" spans="1:38" ht="14.4" customHeight="1">
      <c r="A205" s="547"/>
      <c r="B205" s="271" t="s">
        <v>382</v>
      </c>
      <c r="C205" s="262">
        <v>0</v>
      </c>
      <c r="D205" s="262">
        <v>0</v>
      </c>
      <c r="E205" s="262">
        <v>0</v>
      </c>
      <c r="F205" s="262">
        <v>0</v>
      </c>
      <c r="G205" s="262">
        <v>0</v>
      </c>
      <c r="H205" s="262">
        <v>0</v>
      </c>
      <c r="I205" s="262">
        <v>0</v>
      </c>
      <c r="J205" s="262">
        <v>0</v>
      </c>
      <c r="K205" s="262">
        <v>0</v>
      </c>
      <c r="L205" s="262">
        <v>0</v>
      </c>
      <c r="M205" s="262">
        <v>0</v>
      </c>
      <c r="N205" s="262">
        <v>0</v>
      </c>
      <c r="O205" s="262">
        <v>0</v>
      </c>
      <c r="P205" s="262">
        <v>0</v>
      </c>
      <c r="Q205" s="262">
        <v>0</v>
      </c>
      <c r="R205" s="273">
        <f t="shared" si="116"/>
        <v>0</v>
      </c>
      <c r="U205" s="547"/>
      <c r="V205" s="271" t="s">
        <v>382</v>
      </c>
      <c r="W205" s="262">
        <v>0</v>
      </c>
      <c r="X205" s="262">
        <v>0</v>
      </c>
      <c r="Y205" s="262">
        <v>0</v>
      </c>
      <c r="Z205" s="262">
        <v>0</v>
      </c>
      <c r="AA205" s="262">
        <v>0</v>
      </c>
      <c r="AB205" s="262">
        <v>0</v>
      </c>
      <c r="AC205" s="262">
        <v>0</v>
      </c>
      <c r="AD205" s="262">
        <v>0</v>
      </c>
      <c r="AE205" s="262">
        <v>0</v>
      </c>
      <c r="AF205" s="262">
        <v>0</v>
      </c>
      <c r="AG205" s="262">
        <v>0</v>
      </c>
      <c r="AH205" s="262">
        <v>0</v>
      </c>
      <c r="AI205" s="262">
        <v>0</v>
      </c>
      <c r="AJ205" s="262">
        <v>0</v>
      </c>
      <c r="AK205" s="262">
        <v>0</v>
      </c>
      <c r="AL205" s="273">
        <f t="shared" si="117"/>
        <v>0</v>
      </c>
    </row>
    <row r="206" spans="1:38" ht="14.4" customHeight="1">
      <c r="A206" s="547"/>
      <c r="B206" s="271" t="s">
        <v>383</v>
      </c>
      <c r="C206" s="262">
        <v>0</v>
      </c>
      <c r="D206" s="262">
        <v>0</v>
      </c>
      <c r="E206" s="262">
        <v>0</v>
      </c>
      <c r="F206" s="262">
        <v>0</v>
      </c>
      <c r="G206" s="262">
        <v>0</v>
      </c>
      <c r="H206" s="262">
        <v>0</v>
      </c>
      <c r="I206" s="262">
        <v>0</v>
      </c>
      <c r="J206" s="262">
        <v>0</v>
      </c>
      <c r="K206" s="262">
        <v>0</v>
      </c>
      <c r="L206" s="262">
        <v>0</v>
      </c>
      <c r="M206" s="262">
        <v>0</v>
      </c>
      <c r="N206" s="262">
        <v>0</v>
      </c>
      <c r="O206" s="262">
        <v>0</v>
      </c>
      <c r="P206" s="262">
        <v>0</v>
      </c>
      <c r="Q206" s="262">
        <v>0</v>
      </c>
      <c r="R206" s="273">
        <f t="shared" si="116"/>
        <v>0</v>
      </c>
      <c r="U206" s="547"/>
      <c r="V206" s="271" t="s">
        <v>383</v>
      </c>
      <c r="W206" s="262">
        <v>0</v>
      </c>
      <c r="X206" s="262">
        <v>0</v>
      </c>
      <c r="Y206" s="262">
        <v>0</v>
      </c>
      <c r="Z206" s="262">
        <v>0</v>
      </c>
      <c r="AA206" s="262">
        <v>0</v>
      </c>
      <c r="AB206" s="262">
        <v>0</v>
      </c>
      <c r="AC206" s="262">
        <v>0</v>
      </c>
      <c r="AD206" s="262">
        <v>0</v>
      </c>
      <c r="AE206" s="262">
        <v>0</v>
      </c>
      <c r="AF206" s="262">
        <v>0</v>
      </c>
      <c r="AG206" s="262">
        <v>0</v>
      </c>
      <c r="AH206" s="262">
        <v>0</v>
      </c>
      <c r="AI206" s="262">
        <v>0</v>
      </c>
      <c r="AJ206" s="262">
        <v>0</v>
      </c>
      <c r="AK206" s="262">
        <v>0</v>
      </c>
      <c r="AL206" s="273">
        <f t="shared" si="117"/>
        <v>0</v>
      </c>
    </row>
    <row r="207" spans="1:38" ht="14.4" customHeight="1">
      <c r="A207" s="547"/>
      <c r="B207" s="271" t="s">
        <v>384</v>
      </c>
      <c r="C207" s="262">
        <v>0</v>
      </c>
      <c r="D207" s="262">
        <v>0</v>
      </c>
      <c r="E207" s="262">
        <v>0</v>
      </c>
      <c r="F207" s="262">
        <v>0</v>
      </c>
      <c r="G207" s="262">
        <v>0</v>
      </c>
      <c r="H207" s="262">
        <v>0</v>
      </c>
      <c r="I207" s="262">
        <v>0</v>
      </c>
      <c r="J207" s="262">
        <v>0</v>
      </c>
      <c r="K207" s="262">
        <v>0</v>
      </c>
      <c r="L207" s="262">
        <v>0</v>
      </c>
      <c r="M207" s="262">
        <v>0</v>
      </c>
      <c r="N207" s="262">
        <v>0</v>
      </c>
      <c r="O207" s="262">
        <v>0</v>
      </c>
      <c r="P207" s="262">
        <v>0</v>
      </c>
      <c r="Q207" s="262">
        <v>0</v>
      </c>
      <c r="R207" s="273">
        <f t="shared" si="116"/>
        <v>0</v>
      </c>
      <c r="U207" s="547"/>
      <c r="V207" s="271" t="s">
        <v>384</v>
      </c>
      <c r="W207" s="262">
        <v>0</v>
      </c>
      <c r="X207" s="262">
        <v>0</v>
      </c>
      <c r="Y207" s="262">
        <v>0</v>
      </c>
      <c r="Z207" s="262">
        <v>0</v>
      </c>
      <c r="AA207" s="262">
        <v>0</v>
      </c>
      <c r="AB207" s="262">
        <v>0</v>
      </c>
      <c r="AC207" s="262">
        <v>0</v>
      </c>
      <c r="AD207" s="262">
        <v>0</v>
      </c>
      <c r="AE207" s="262">
        <v>0</v>
      </c>
      <c r="AF207" s="262">
        <v>0</v>
      </c>
      <c r="AG207" s="262">
        <v>0</v>
      </c>
      <c r="AH207" s="262">
        <v>0</v>
      </c>
      <c r="AI207" s="262">
        <v>0</v>
      </c>
      <c r="AJ207" s="262">
        <v>0</v>
      </c>
      <c r="AK207" s="262">
        <v>0</v>
      </c>
      <c r="AL207" s="273">
        <f t="shared" si="117"/>
        <v>0</v>
      </c>
    </row>
    <row r="208" spans="1:38" ht="14.4" customHeight="1">
      <c r="A208" s="547"/>
      <c r="B208" s="271" t="s">
        <v>37</v>
      </c>
      <c r="C208" s="262">
        <v>0</v>
      </c>
      <c r="D208" s="262">
        <v>0</v>
      </c>
      <c r="E208" s="262">
        <v>0</v>
      </c>
      <c r="F208" s="262">
        <v>0</v>
      </c>
      <c r="G208" s="262">
        <v>0</v>
      </c>
      <c r="H208" s="262">
        <v>0</v>
      </c>
      <c r="I208" s="262">
        <v>0</v>
      </c>
      <c r="J208" s="262">
        <v>0</v>
      </c>
      <c r="K208" s="262">
        <v>0</v>
      </c>
      <c r="L208" s="262">
        <v>0</v>
      </c>
      <c r="M208" s="262">
        <v>0</v>
      </c>
      <c r="N208" s="262">
        <v>0</v>
      </c>
      <c r="O208" s="262">
        <v>0</v>
      </c>
      <c r="P208" s="262">
        <v>0</v>
      </c>
      <c r="Q208" s="262">
        <v>0</v>
      </c>
      <c r="R208" s="273">
        <f t="shared" si="116"/>
        <v>0</v>
      </c>
      <c r="U208" s="547"/>
      <c r="V208" s="271" t="s">
        <v>37</v>
      </c>
      <c r="W208" s="262">
        <v>0</v>
      </c>
      <c r="X208" s="262">
        <v>0</v>
      </c>
      <c r="Y208" s="262">
        <v>0</v>
      </c>
      <c r="Z208" s="262">
        <v>0</v>
      </c>
      <c r="AA208" s="262">
        <v>0</v>
      </c>
      <c r="AB208" s="262">
        <v>0</v>
      </c>
      <c r="AC208" s="262">
        <v>0</v>
      </c>
      <c r="AD208" s="262">
        <v>0</v>
      </c>
      <c r="AE208" s="262">
        <v>0</v>
      </c>
      <c r="AF208" s="262">
        <v>0</v>
      </c>
      <c r="AG208" s="262">
        <v>0</v>
      </c>
      <c r="AH208" s="262">
        <v>0</v>
      </c>
      <c r="AI208" s="262">
        <v>0</v>
      </c>
      <c r="AJ208" s="262">
        <v>0</v>
      </c>
      <c r="AK208" s="262">
        <v>0</v>
      </c>
      <c r="AL208" s="273">
        <f t="shared" si="117"/>
        <v>0</v>
      </c>
    </row>
    <row r="209" spans="1:38" ht="14.4" customHeight="1">
      <c r="A209" s="547"/>
      <c r="B209" s="271" t="s">
        <v>38</v>
      </c>
      <c r="C209" s="262">
        <v>0</v>
      </c>
      <c r="D209" s="262">
        <v>0</v>
      </c>
      <c r="E209" s="262">
        <v>0</v>
      </c>
      <c r="F209" s="262">
        <v>0</v>
      </c>
      <c r="G209" s="262">
        <v>0</v>
      </c>
      <c r="H209" s="262">
        <v>0</v>
      </c>
      <c r="I209" s="262">
        <v>0</v>
      </c>
      <c r="J209" s="262">
        <v>0</v>
      </c>
      <c r="K209" s="262">
        <v>0</v>
      </c>
      <c r="L209" s="262">
        <v>0</v>
      </c>
      <c r="M209" s="262">
        <v>0</v>
      </c>
      <c r="N209" s="262">
        <v>0</v>
      </c>
      <c r="O209" s="262">
        <f>O200*$F$17</f>
        <v>34.625012380324684</v>
      </c>
      <c r="P209" s="262">
        <v>0</v>
      </c>
      <c r="Q209" s="262">
        <v>0</v>
      </c>
      <c r="R209" s="273">
        <f t="shared" si="116"/>
        <v>34.625012380324684</v>
      </c>
      <c r="U209" s="547"/>
      <c r="V209" s="271" t="s">
        <v>38</v>
      </c>
      <c r="W209" s="262">
        <v>0</v>
      </c>
      <c r="X209" s="262">
        <v>0</v>
      </c>
      <c r="Y209" s="262">
        <v>0</v>
      </c>
      <c r="Z209" s="262">
        <v>0</v>
      </c>
      <c r="AA209" s="262">
        <v>0</v>
      </c>
      <c r="AB209" s="262">
        <v>0</v>
      </c>
      <c r="AC209" s="262">
        <v>0</v>
      </c>
      <c r="AD209" s="262">
        <v>0</v>
      </c>
      <c r="AE209" s="262">
        <v>0</v>
      </c>
      <c r="AF209" s="262">
        <v>0</v>
      </c>
      <c r="AG209" s="262">
        <v>0</v>
      </c>
      <c r="AH209" s="262">
        <v>0</v>
      </c>
      <c r="AI209" s="262">
        <f>AI200*$F$17</f>
        <v>37.866618424322517</v>
      </c>
      <c r="AJ209" s="262">
        <v>0</v>
      </c>
      <c r="AK209" s="262">
        <v>0</v>
      </c>
      <c r="AL209" s="273">
        <f t="shared" si="117"/>
        <v>37.866618424322517</v>
      </c>
    </row>
    <row r="210" spans="1:38" ht="14.4" customHeight="1">
      <c r="A210" s="547"/>
      <c r="B210" s="271" t="s">
        <v>39</v>
      </c>
      <c r="C210" s="262">
        <v>0</v>
      </c>
      <c r="D210" s="262">
        <v>0</v>
      </c>
      <c r="E210" s="262">
        <v>0</v>
      </c>
      <c r="F210" s="262">
        <v>0</v>
      </c>
      <c r="G210" s="262">
        <v>0</v>
      </c>
      <c r="H210" s="262">
        <v>0</v>
      </c>
      <c r="I210" s="262">
        <v>0</v>
      </c>
      <c r="J210" s="262">
        <v>0</v>
      </c>
      <c r="K210" s="262">
        <v>0</v>
      </c>
      <c r="L210" s="262">
        <v>0</v>
      </c>
      <c r="M210" s="262">
        <v>0</v>
      </c>
      <c r="N210" s="262">
        <v>0</v>
      </c>
      <c r="O210" s="262">
        <f>O200*$F$18</f>
        <v>220.22158269280132</v>
      </c>
      <c r="P210" s="262">
        <f>P201*$R$18</f>
        <v>0</v>
      </c>
      <c r="Q210" s="262">
        <v>0</v>
      </c>
      <c r="R210" s="273">
        <f t="shared" si="116"/>
        <v>220.22158269280132</v>
      </c>
      <c r="U210" s="547"/>
      <c r="V210" s="271" t="s">
        <v>39</v>
      </c>
      <c r="W210" s="262">
        <v>0</v>
      </c>
      <c r="X210" s="262">
        <v>0</v>
      </c>
      <c r="Y210" s="262">
        <v>0</v>
      </c>
      <c r="Z210" s="262">
        <v>0</v>
      </c>
      <c r="AA210" s="262">
        <v>0</v>
      </c>
      <c r="AB210" s="262">
        <v>0</v>
      </c>
      <c r="AC210" s="262">
        <v>0</v>
      </c>
      <c r="AD210" s="262">
        <v>0</v>
      </c>
      <c r="AE210" s="262">
        <v>0</v>
      </c>
      <c r="AF210" s="262">
        <v>0</v>
      </c>
      <c r="AG210" s="262">
        <v>0</v>
      </c>
      <c r="AH210" s="262">
        <v>0</v>
      </c>
      <c r="AI210" s="262">
        <f>AI200*$F$18</f>
        <v>240.83880603512145</v>
      </c>
      <c r="AJ210" s="262">
        <f>AJ201*$R$18</f>
        <v>0</v>
      </c>
      <c r="AK210" s="262">
        <v>0</v>
      </c>
      <c r="AL210" s="273">
        <f t="shared" si="117"/>
        <v>240.83880603512145</v>
      </c>
    </row>
    <row r="211" spans="1:38" ht="14.4" customHeight="1">
      <c r="A211" s="547"/>
      <c r="B211" s="266" t="s">
        <v>40</v>
      </c>
      <c r="C211" s="267">
        <f>SUM(C199:C210)</f>
        <v>7021.526605261708</v>
      </c>
      <c r="D211" s="267">
        <f t="shared" ref="D211:N211" si="120">SUM(D199:D210)</f>
        <v>0</v>
      </c>
      <c r="E211" s="267">
        <f t="shared" si="120"/>
        <v>4127.9940154281885</v>
      </c>
      <c r="F211" s="267">
        <f t="shared" si="120"/>
        <v>0</v>
      </c>
      <c r="G211" s="267">
        <f t="shared" si="120"/>
        <v>0</v>
      </c>
      <c r="H211" s="267">
        <f t="shared" si="120"/>
        <v>1103.5417545405014</v>
      </c>
      <c r="I211" s="267">
        <f t="shared" si="120"/>
        <v>12.337596024829276</v>
      </c>
      <c r="J211" s="267">
        <f t="shared" si="120"/>
        <v>0</v>
      </c>
      <c r="K211" s="267">
        <f t="shared" si="120"/>
        <v>0</v>
      </c>
      <c r="L211" s="267">
        <f t="shared" si="120"/>
        <v>0</v>
      </c>
      <c r="M211" s="267">
        <f t="shared" si="120"/>
        <v>0</v>
      </c>
      <c r="N211" s="267">
        <f t="shared" si="120"/>
        <v>0</v>
      </c>
      <c r="O211" s="267">
        <f>-O221</f>
        <v>-5124.6980113334157</v>
      </c>
      <c r="P211" s="267">
        <f>-P213</f>
        <v>0</v>
      </c>
      <c r="Q211" s="267">
        <f t="shared" ref="Q211" si="121">SUM(Q199:Q210)</f>
        <v>0</v>
      </c>
      <c r="R211" s="267">
        <f t="shared" si="116"/>
        <v>7140.7019599218111</v>
      </c>
      <c r="U211" s="547"/>
      <c r="V211" s="266" t="s">
        <v>40</v>
      </c>
      <c r="W211" s="267">
        <f>SUM(W199:W210)</f>
        <v>0</v>
      </c>
      <c r="X211" s="267">
        <f t="shared" ref="X211:AH211" si="122">SUM(X199:X210)</f>
        <v>0</v>
      </c>
      <c r="Y211" s="267">
        <f t="shared" si="122"/>
        <v>0</v>
      </c>
      <c r="Z211" s="267">
        <f t="shared" si="122"/>
        <v>0</v>
      </c>
      <c r="AA211" s="267">
        <f t="shared" si="122"/>
        <v>0</v>
      </c>
      <c r="AB211" s="267">
        <f t="shared" si="122"/>
        <v>3235.7487231613154</v>
      </c>
      <c r="AC211" s="267">
        <f t="shared" si="122"/>
        <v>1470.7948741642342</v>
      </c>
      <c r="AD211" s="267">
        <f t="shared" si="122"/>
        <v>1470.7948741642342</v>
      </c>
      <c r="AE211" s="267">
        <f t="shared" si="122"/>
        <v>3676.9871854105872</v>
      </c>
      <c r="AF211" s="267">
        <f t="shared" si="122"/>
        <v>0</v>
      </c>
      <c r="AG211" s="267">
        <f t="shared" si="122"/>
        <v>0</v>
      </c>
      <c r="AH211" s="267">
        <f t="shared" si="122"/>
        <v>0</v>
      </c>
      <c r="AI211" s="267">
        <f>-AI221</f>
        <v>-5604.4740721974922</v>
      </c>
      <c r="AJ211" s="267">
        <f>-AJ213</f>
        <v>0</v>
      </c>
      <c r="AK211" s="267">
        <f t="shared" ref="AK211" si="123">SUM(AK199:AK210)</f>
        <v>0</v>
      </c>
      <c r="AL211" s="267">
        <f t="shared" si="117"/>
        <v>4249.8515847028793</v>
      </c>
    </row>
    <row r="212" spans="1:38" ht="14.4" customHeight="1">
      <c r="A212" s="547"/>
      <c r="B212" s="268"/>
      <c r="C212" s="269"/>
      <c r="D212" s="269"/>
      <c r="E212" s="276"/>
      <c r="F212" s="269"/>
      <c r="G212" s="269"/>
      <c r="H212" s="269"/>
      <c r="I212" s="276"/>
      <c r="J212" s="269"/>
      <c r="K212" s="269"/>
      <c r="L212" s="269"/>
      <c r="M212" s="277"/>
      <c r="N212" s="269"/>
      <c r="O212" s="269"/>
      <c r="P212" s="269"/>
      <c r="Q212" s="269"/>
      <c r="R212" s="269"/>
      <c r="U212" s="547"/>
      <c r="V212" s="268"/>
      <c r="W212" s="269"/>
      <c r="X212" s="269"/>
      <c r="Y212" s="276"/>
      <c r="Z212" s="269"/>
      <c r="AA212" s="269"/>
      <c r="AB212" s="269"/>
      <c r="AC212" s="276"/>
      <c r="AD212" s="269"/>
      <c r="AE212" s="269"/>
      <c r="AF212" s="269"/>
      <c r="AG212" s="277"/>
      <c r="AH212" s="269"/>
      <c r="AI212" s="269"/>
      <c r="AJ212" s="269"/>
      <c r="AK212" s="269"/>
      <c r="AL212" s="269"/>
    </row>
    <row r="213" spans="1:38" ht="14.4" customHeight="1">
      <c r="A213" s="547"/>
      <c r="B213" s="271" t="s">
        <v>41</v>
      </c>
      <c r="C213" s="262">
        <f>Industrie!$G$45</f>
        <v>1852.0689427528882</v>
      </c>
      <c r="D213" s="262">
        <v>0</v>
      </c>
      <c r="E213" s="262">
        <f>Industrie!$G$42</f>
        <v>4219.1812039283241</v>
      </c>
      <c r="F213" s="262">
        <v>0</v>
      </c>
      <c r="G213" s="262">
        <v>0</v>
      </c>
      <c r="H213" s="262">
        <v>0</v>
      </c>
      <c r="I213" s="262">
        <v>0</v>
      </c>
      <c r="J213" s="262">
        <v>0</v>
      </c>
      <c r="K213" s="262">
        <v>0</v>
      </c>
      <c r="L213" s="262">
        <v>0</v>
      </c>
      <c r="M213" s="262">
        <v>0</v>
      </c>
      <c r="N213" s="262">
        <v>0</v>
      </c>
      <c r="O213" s="262">
        <f>Industrie!$G$46</f>
        <v>4114.288161235897</v>
      </c>
      <c r="P213" s="262">
        <f>Industrie!$G$52</f>
        <v>0</v>
      </c>
      <c r="Q213" s="262">
        <v>0</v>
      </c>
      <c r="R213" s="273">
        <f>SUM(C213:Q213)</f>
        <v>10185.538307917108</v>
      </c>
      <c r="S213" s="473">
        <f>R211+R221</f>
        <v>23977.563001750212</v>
      </c>
      <c r="U213" s="547"/>
      <c r="V213" s="271" t="s">
        <v>41</v>
      </c>
      <c r="W213" s="470">
        <f>Industrie!$G$75</f>
        <v>427.49116717476255</v>
      </c>
      <c r="X213" s="470">
        <v>0</v>
      </c>
      <c r="Y213" s="470">
        <f>Industrie!$G$72</f>
        <v>760.78007574605647</v>
      </c>
      <c r="Z213" s="262">
        <v>0</v>
      </c>
      <c r="AA213" s="262">
        <v>0</v>
      </c>
      <c r="AB213" s="262">
        <v>0</v>
      </c>
      <c r="AC213" s="470">
        <f>Industrie!$G$85*V$13/SUM($V$13:$AA$13)</f>
        <v>533.33769081268599</v>
      </c>
      <c r="AD213" s="470">
        <f>Industrie!$G$85*W$13/SUM($V$13:$AA$13)</f>
        <v>0</v>
      </c>
      <c r="AE213" s="470">
        <f>Industrie!$G$85*X$13/SUM($V$13:$AA$13)</f>
        <v>0</v>
      </c>
      <c r="AF213" s="470">
        <f>Industrie!$G$85*Y$13/SUM($V$13:$AA$13)</f>
        <v>88.946589342148371</v>
      </c>
      <c r="AG213" s="470">
        <f>Industrie!$G$85*Z$13/SUM($V$13:$AA$13)</f>
        <v>0</v>
      </c>
      <c r="AH213" s="470">
        <f>Industrie!$G$85*AA$13/SUM($V$13:$AA$13)</f>
        <v>1.8133219320605001</v>
      </c>
      <c r="AI213" s="262">
        <f>Industrie!$G$76</f>
        <v>4887.3859182668648</v>
      </c>
      <c r="AJ213" s="262">
        <f>Industrie!$G$86</f>
        <v>0</v>
      </c>
      <c r="AK213" s="262">
        <v>0</v>
      </c>
      <c r="AL213" s="273">
        <f>SUM(W213:AK213)</f>
        <v>6699.7547632745791</v>
      </c>
    </row>
    <row r="214" spans="1:38" ht="14.4" customHeight="1">
      <c r="A214" s="547"/>
      <c r="B214" s="271" t="s">
        <v>42</v>
      </c>
      <c r="C214" s="262">
        <v>0</v>
      </c>
      <c r="D214" s="262">
        <v>0</v>
      </c>
      <c r="E214" s="262">
        <f>Transports!$I$49+Transports!$G$106+Transports!$G$203</f>
        <v>2281.0220810657238</v>
      </c>
      <c r="F214" s="262">
        <v>0</v>
      </c>
      <c r="G214" s="262">
        <v>0</v>
      </c>
      <c r="H214" s="262">
        <v>0</v>
      </c>
      <c r="I214" s="262">
        <v>0</v>
      </c>
      <c r="J214" s="262">
        <v>0</v>
      </c>
      <c r="K214" s="262">
        <v>0</v>
      </c>
      <c r="L214" s="262">
        <v>0</v>
      </c>
      <c r="M214" s="262">
        <v>0</v>
      </c>
      <c r="N214" s="262">
        <v>0</v>
      </c>
      <c r="O214" s="262">
        <f>Transports!$I$50+Transports!$G$107</f>
        <v>100.90875503764617</v>
      </c>
      <c r="P214" s="262">
        <v>0</v>
      </c>
      <c r="Q214" s="262">
        <v>0</v>
      </c>
      <c r="R214" s="273">
        <f t="shared" ref="R214:R221" si="124">SUM(C214:Q214)</f>
        <v>2381.93083610337</v>
      </c>
      <c r="U214" s="547"/>
      <c r="V214" s="271" t="s">
        <v>42</v>
      </c>
      <c r="W214" s="262">
        <v>0</v>
      </c>
      <c r="X214" s="262">
        <v>0</v>
      </c>
      <c r="Y214" s="262">
        <f>Transports!$I76+Transports!$G$150+Transports!$G$238</f>
        <v>1530.8922597030942</v>
      </c>
      <c r="Z214" s="262">
        <v>0</v>
      </c>
      <c r="AA214" s="262">
        <v>0</v>
      </c>
      <c r="AB214" s="262">
        <v>0</v>
      </c>
      <c r="AC214" s="262">
        <v>0</v>
      </c>
      <c r="AD214" s="262">
        <v>0</v>
      </c>
      <c r="AE214" s="262">
        <f>Transports!$G$236+Transports!$G$237</f>
        <v>14.953212239052476</v>
      </c>
      <c r="AF214" s="262">
        <v>0</v>
      </c>
      <c r="AG214" s="262">
        <v>0</v>
      </c>
      <c r="AH214" s="262">
        <v>0</v>
      </c>
      <c r="AI214" s="262">
        <f>Transports!$I$77+Transports!$G$151</f>
        <v>367.8196211499129</v>
      </c>
      <c r="AJ214" s="262">
        <v>0</v>
      </c>
      <c r="AK214" s="262">
        <v>0</v>
      </c>
      <c r="AL214" s="273">
        <f t="shared" ref="AL214:AL221" si="125">SUM(W214:AK214)</f>
        <v>1913.6650930920596</v>
      </c>
    </row>
    <row r="215" spans="1:38" ht="14.4" customHeight="1">
      <c r="A215" s="547"/>
      <c r="B215" s="271" t="s">
        <v>43</v>
      </c>
      <c r="C215" s="262">
        <v>0</v>
      </c>
      <c r="D215" s="262">
        <v>0</v>
      </c>
      <c r="E215" s="262">
        <f>'Résidentiel-tertiaire'!$G$167</f>
        <v>194.42791647710254</v>
      </c>
      <c r="F215" s="262">
        <v>0</v>
      </c>
      <c r="G215" s="262">
        <v>0</v>
      </c>
      <c r="H215" s="262">
        <v>0</v>
      </c>
      <c r="I215" s="262">
        <f>'Résidentiel-tertiaire'!$G$168*$I$51/SUM($I$51:$N$51)</f>
        <v>0</v>
      </c>
      <c r="J215" s="262">
        <f>'Résidentiel-tertiaire'!$G$168*$J$51/SUM($I$51:$N$51)</f>
        <v>0</v>
      </c>
      <c r="K215" s="262">
        <f>'Résidentiel-tertiaire'!$G$168*$K$51/SUM($I$51:$N$51)</f>
        <v>0</v>
      </c>
      <c r="L215" s="262">
        <f>'Résidentiel-tertiaire'!$G$168*$L$51/SUM($I$51:$N$51)</f>
        <v>0</v>
      </c>
      <c r="M215" s="262">
        <f>'Résidentiel-tertiaire'!$G$168*$M$51/SUM($I$51:$N$51)</f>
        <v>0</v>
      </c>
      <c r="N215" s="262">
        <f>'Résidentiel-tertiaire'!$G$168*$N$51/SUM($I$51:$N$51)</f>
        <v>52.884393281771899</v>
      </c>
      <c r="O215" s="262">
        <f>'Résidentiel-tertiaire'!$G$169</f>
        <v>395.47607843356303</v>
      </c>
      <c r="P215" s="262">
        <v>0</v>
      </c>
      <c r="Q215" s="262">
        <v>0</v>
      </c>
      <c r="R215" s="273">
        <f t="shared" si="124"/>
        <v>642.78838819243742</v>
      </c>
      <c r="U215" s="547"/>
      <c r="V215" s="271" t="s">
        <v>43</v>
      </c>
      <c r="W215" s="262">
        <v>0</v>
      </c>
      <c r="X215" s="262">
        <v>0</v>
      </c>
      <c r="Y215" s="262">
        <f>'Résidentiel-tertiaire'!$G$181</f>
        <v>54.273333333333326</v>
      </c>
      <c r="Z215" s="262">
        <v>0</v>
      </c>
      <c r="AA215" s="262">
        <v>0</v>
      </c>
      <c r="AB215" s="262">
        <v>0</v>
      </c>
      <c r="AC215" s="262">
        <f>'Résidentiel-tertiaire'!$G$182*$AC$51/SUM($I$51:$N$51)</f>
        <v>0</v>
      </c>
      <c r="AD215" s="262">
        <f>'Résidentiel-tertiaire'!$G$182*$AD$51/SUM($I$51:$N$51)</f>
        <v>0</v>
      </c>
      <c r="AE215" s="262">
        <f>'Résidentiel-tertiaire'!$G$182*$AE$51/SUM($I$51:$N$51)</f>
        <v>0</v>
      </c>
      <c r="AF215" s="262">
        <f>'Résidentiel-tertiaire'!$G$182*$AF$51/SUM($I$51:$N$51)</f>
        <v>0</v>
      </c>
      <c r="AG215" s="262">
        <f>'Résidentiel-tertiaire'!$G$182*$AG$51/SUM($I$51:$N$51)</f>
        <v>0</v>
      </c>
      <c r="AH215" s="262">
        <f>'Résidentiel-tertiaire'!$G$182*$AH$51/SUM($I$51:$N$51)</f>
        <v>57.278734952282804</v>
      </c>
      <c r="AI215" s="262">
        <f>'Résidentiel-tertiaire'!$G$183</f>
        <v>181.88753032187483</v>
      </c>
      <c r="AJ215" s="262">
        <v>0</v>
      </c>
      <c r="AK215" s="262">
        <v>0</v>
      </c>
      <c r="AL215" s="273">
        <f t="shared" si="125"/>
        <v>293.43959860749095</v>
      </c>
    </row>
    <row r="216" spans="1:38" ht="14.4" customHeight="1">
      <c r="A216" s="547"/>
      <c r="B216" s="271" t="s">
        <v>44</v>
      </c>
      <c r="C216" s="262">
        <v>0</v>
      </c>
      <c r="D216" s="262">
        <v>0</v>
      </c>
      <c r="E216" s="262">
        <f>'Résidentiel-tertiaire'!$G$172</f>
        <v>0</v>
      </c>
      <c r="F216" s="262">
        <v>0</v>
      </c>
      <c r="G216" s="262">
        <v>0</v>
      </c>
      <c r="H216" s="262">
        <v>0</v>
      </c>
      <c r="I216" s="262">
        <v>0</v>
      </c>
      <c r="J216" s="262">
        <v>0</v>
      </c>
      <c r="K216" s="262">
        <v>0</v>
      </c>
      <c r="L216" s="262">
        <v>0</v>
      </c>
      <c r="M216" s="262">
        <v>0</v>
      </c>
      <c r="N216" s="262">
        <v>0</v>
      </c>
      <c r="O216" s="262">
        <f>'Résidentiel-tertiaire'!$G$174</f>
        <v>514.02501662630925</v>
      </c>
      <c r="P216" s="262">
        <v>0</v>
      </c>
      <c r="Q216" s="262">
        <v>0</v>
      </c>
      <c r="R216" s="273">
        <f t="shared" si="124"/>
        <v>514.02501662630925</v>
      </c>
      <c r="U216" s="547"/>
      <c r="V216" s="271" t="s">
        <v>44</v>
      </c>
      <c r="W216" s="262">
        <v>0</v>
      </c>
      <c r="X216" s="262">
        <v>0</v>
      </c>
      <c r="Y216" s="262">
        <f>'Résidentiel-tertiaire'!$G$186</f>
        <v>0</v>
      </c>
      <c r="Z216" s="262">
        <v>0</v>
      </c>
      <c r="AA216" s="262">
        <v>0</v>
      </c>
      <c r="AB216" s="262">
        <v>0</v>
      </c>
      <c r="AC216" s="470">
        <v>0</v>
      </c>
      <c r="AD216" s="470">
        <v>0</v>
      </c>
      <c r="AE216" s="470">
        <v>0</v>
      </c>
      <c r="AF216" s="470">
        <v>0</v>
      </c>
      <c r="AG216" s="470">
        <v>0</v>
      </c>
      <c r="AH216" s="470">
        <v>0</v>
      </c>
      <c r="AI216" s="262">
        <f>'Résidentiel-tertiaire'!$G$188</f>
        <v>167.3810024588405</v>
      </c>
      <c r="AJ216" s="262">
        <v>0</v>
      </c>
      <c r="AK216" s="262">
        <v>0</v>
      </c>
      <c r="AL216" s="273">
        <f t="shared" si="125"/>
        <v>167.3810024588405</v>
      </c>
    </row>
    <row r="217" spans="1:38" ht="14.4" customHeight="1">
      <c r="A217" s="547"/>
      <c r="B217" s="271" t="s">
        <v>4</v>
      </c>
      <c r="C217" s="262">
        <v>0</v>
      </c>
      <c r="D217" s="262">
        <v>0</v>
      </c>
      <c r="E217" s="262">
        <f>Agriculture!$S$27</f>
        <v>64.496869791883455</v>
      </c>
      <c r="F217" s="262">
        <v>0</v>
      </c>
      <c r="G217" s="262">
        <v>0</v>
      </c>
      <c r="H217" s="262">
        <v>0</v>
      </c>
      <c r="I217" s="262">
        <v>0</v>
      </c>
      <c r="J217" s="262">
        <v>0</v>
      </c>
      <c r="K217" s="262">
        <v>0</v>
      </c>
      <c r="L217" s="262">
        <v>0</v>
      </c>
      <c r="M217" s="262">
        <v>0</v>
      </c>
      <c r="N217" s="262">
        <v>0</v>
      </c>
      <c r="O217" s="262">
        <f>Agriculture!$S$28</f>
        <v>0</v>
      </c>
      <c r="P217" s="262">
        <v>0</v>
      </c>
      <c r="Q217" s="262">
        <v>0</v>
      </c>
      <c r="R217" s="273">
        <f t="shared" si="124"/>
        <v>64.496869791883455</v>
      </c>
      <c r="U217" s="547"/>
      <c r="V217" s="271" t="s">
        <v>4</v>
      </c>
      <c r="W217" s="262">
        <v>0</v>
      </c>
      <c r="X217" s="262">
        <v>0</v>
      </c>
      <c r="Y217" s="262">
        <f>Agriculture!$Y$43</f>
        <v>20.258709677419361</v>
      </c>
      <c r="Z217" s="262">
        <v>0</v>
      </c>
      <c r="AA217" s="262">
        <v>0</v>
      </c>
      <c r="AB217" s="262">
        <v>0</v>
      </c>
      <c r="AC217" s="262">
        <v>0</v>
      </c>
      <c r="AD217" s="262">
        <v>0</v>
      </c>
      <c r="AE217" s="262">
        <f>Agriculture!$Y$45</f>
        <v>26.419383290322582</v>
      </c>
      <c r="AF217" s="262">
        <v>0</v>
      </c>
      <c r="AG217" s="262">
        <v>0</v>
      </c>
      <c r="AH217" s="262">
        <v>0</v>
      </c>
      <c r="AI217" s="262">
        <f>Agriculture!$Y$44</f>
        <v>0</v>
      </c>
      <c r="AJ217" s="262">
        <v>0</v>
      </c>
      <c r="AK217" s="262">
        <v>0</v>
      </c>
      <c r="AL217" s="273">
        <f t="shared" si="125"/>
        <v>46.678092967741946</v>
      </c>
    </row>
    <row r="218" spans="1:38" ht="14.4" customHeight="1">
      <c r="A218" s="547"/>
      <c r="B218" s="271" t="s">
        <v>385</v>
      </c>
      <c r="C218" s="262">
        <v>0</v>
      </c>
      <c r="D218" s="262">
        <v>0</v>
      </c>
      <c r="E218" s="262">
        <v>0</v>
      </c>
      <c r="F218" s="262">
        <v>0</v>
      </c>
      <c r="G218" s="262">
        <v>0</v>
      </c>
      <c r="H218" s="262">
        <v>0</v>
      </c>
      <c r="I218" s="262">
        <v>0</v>
      </c>
      <c r="J218" s="262">
        <v>0</v>
      </c>
      <c r="K218" s="262">
        <v>0</v>
      </c>
      <c r="L218" s="262">
        <v>0</v>
      </c>
      <c r="M218" s="262">
        <v>0</v>
      </c>
      <c r="N218" s="262">
        <v>0</v>
      </c>
      <c r="O218" s="262">
        <v>0</v>
      </c>
      <c r="P218" s="262">
        <v>0</v>
      </c>
      <c r="Q218" s="262">
        <v>0</v>
      </c>
      <c r="R218" s="273">
        <f t="shared" si="124"/>
        <v>0</v>
      </c>
      <c r="U218" s="547"/>
      <c r="V218" s="271" t="s">
        <v>385</v>
      </c>
      <c r="W218" s="262">
        <v>0</v>
      </c>
      <c r="X218" s="262">
        <v>0</v>
      </c>
      <c r="Y218" s="262">
        <v>0</v>
      </c>
      <c r="Z218" s="262">
        <v>0</v>
      </c>
      <c r="AA218" s="262">
        <v>0</v>
      </c>
      <c r="AB218" s="262">
        <v>0</v>
      </c>
      <c r="AC218" s="262">
        <v>0</v>
      </c>
      <c r="AD218" s="262">
        <v>0</v>
      </c>
      <c r="AE218" s="262">
        <v>0</v>
      </c>
      <c r="AF218" s="262">
        <v>0</v>
      </c>
      <c r="AG218" s="262">
        <v>0</v>
      </c>
      <c r="AH218" s="262">
        <v>0</v>
      </c>
      <c r="AI218" s="262">
        <v>0</v>
      </c>
      <c r="AJ218" s="262">
        <v>0</v>
      </c>
      <c r="AK218" s="262">
        <v>0</v>
      </c>
      <c r="AL218" s="273">
        <f t="shared" si="125"/>
        <v>0</v>
      </c>
    </row>
    <row r="219" spans="1:38" ht="14.4" customHeight="1">
      <c r="A219" s="547"/>
      <c r="B219" s="266" t="s">
        <v>45</v>
      </c>
      <c r="C219" s="267">
        <f>SUM(C213:C218)</f>
        <v>1852.0689427528882</v>
      </c>
      <c r="D219" s="267">
        <f t="shared" ref="D219:Q219" si="126">SUM(D213:D218)</f>
        <v>0</v>
      </c>
      <c r="E219" s="267">
        <f t="shared" si="126"/>
        <v>6759.1280712630341</v>
      </c>
      <c r="F219" s="267">
        <f t="shared" si="126"/>
        <v>0</v>
      </c>
      <c r="G219" s="267">
        <f t="shared" si="126"/>
        <v>0</v>
      </c>
      <c r="H219" s="267">
        <f t="shared" si="126"/>
        <v>0</v>
      </c>
      <c r="I219" s="267">
        <f t="shared" si="126"/>
        <v>0</v>
      </c>
      <c r="J219" s="267">
        <f t="shared" si="126"/>
        <v>0</v>
      </c>
      <c r="K219" s="267">
        <f t="shared" si="126"/>
        <v>0</v>
      </c>
      <c r="L219" s="267">
        <f t="shared" si="126"/>
        <v>0</v>
      </c>
      <c r="M219" s="267">
        <f t="shared" si="126"/>
        <v>0</v>
      </c>
      <c r="N219" s="267">
        <f t="shared" si="126"/>
        <v>52.884393281771899</v>
      </c>
      <c r="O219" s="267">
        <f t="shared" si="126"/>
        <v>5124.6980113334157</v>
      </c>
      <c r="P219" s="267">
        <f t="shared" si="126"/>
        <v>0</v>
      </c>
      <c r="Q219" s="267">
        <f t="shared" si="126"/>
        <v>0</v>
      </c>
      <c r="R219" s="267">
        <f t="shared" si="124"/>
        <v>13788.779418631111</v>
      </c>
      <c r="U219" s="547"/>
      <c r="V219" s="266" t="s">
        <v>45</v>
      </c>
      <c r="W219" s="267">
        <f>SUM(W213:W218)</f>
        <v>427.49116717476255</v>
      </c>
      <c r="X219" s="267">
        <f t="shared" ref="X219:AK219" si="127">SUM(X213:X218)</f>
        <v>0</v>
      </c>
      <c r="Y219" s="267">
        <f t="shared" si="127"/>
        <v>2366.2043784599036</v>
      </c>
      <c r="Z219" s="267">
        <f t="shared" si="127"/>
        <v>0</v>
      </c>
      <c r="AA219" s="267">
        <f t="shared" si="127"/>
        <v>0</v>
      </c>
      <c r="AB219" s="267">
        <f t="shared" si="127"/>
        <v>0</v>
      </c>
      <c r="AC219" s="267">
        <f t="shared" si="127"/>
        <v>533.33769081268599</v>
      </c>
      <c r="AD219" s="267">
        <f t="shared" si="127"/>
        <v>0</v>
      </c>
      <c r="AE219" s="267">
        <f t="shared" si="127"/>
        <v>41.372595529375062</v>
      </c>
      <c r="AF219" s="267">
        <f t="shared" si="127"/>
        <v>88.946589342148371</v>
      </c>
      <c r="AG219" s="267">
        <f t="shared" si="127"/>
        <v>0</v>
      </c>
      <c r="AH219" s="267">
        <f t="shared" si="127"/>
        <v>59.092056884343307</v>
      </c>
      <c r="AI219" s="267">
        <f t="shared" si="127"/>
        <v>5604.4740721974922</v>
      </c>
      <c r="AJ219" s="267">
        <f t="shared" si="127"/>
        <v>0</v>
      </c>
      <c r="AK219" s="267">
        <f t="shared" si="127"/>
        <v>0</v>
      </c>
      <c r="AL219" s="267">
        <f t="shared" si="125"/>
        <v>9120.918550400711</v>
      </c>
    </row>
    <row r="220" spans="1:38" ht="14.4" customHeight="1">
      <c r="A220" s="547"/>
      <c r="B220" s="261" t="s">
        <v>46</v>
      </c>
      <c r="C220" s="470">
        <f>Industrie!$G$50</f>
        <v>2762.4391494393831</v>
      </c>
      <c r="D220" s="262">
        <v>0</v>
      </c>
      <c r="E220" s="262">
        <f>Industrie!$G$49</f>
        <v>285.64247375790814</v>
      </c>
      <c r="F220" s="262">
        <v>0</v>
      </c>
      <c r="G220" s="262">
        <v>0</v>
      </c>
      <c r="H220" s="262">
        <v>0</v>
      </c>
      <c r="I220" s="262">
        <v>0</v>
      </c>
      <c r="J220" s="262">
        <v>0</v>
      </c>
      <c r="K220" s="262">
        <v>0</v>
      </c>
      <c r="L220" s="262">
        <v>0</v>
      </c>
      <c r="M220" s="262">
        <v>0</v>
      </c>
      <c r="N220" s="262">
        <v>0</v>
      </c>
      <c r="O220" s="262">
        <v>0</v>
      </c>
      <c r="P220" s="262">
        <v>0</v>
      </c>
      <c r="Q220" s="262">
        <v>0</v>
      </c>
      <c r="R220" s="273">
        <f t="shared" si="124"/>
        <v>3048.0816231972913</v>
      </c>
      <c r="U220" s="547"/>
      <c r="V220" s="261" t="s">
        <v>46</v>
      </c>
      <c r="W220" s="470">
        <f>Industrie!$G$82</f>
        <v>2160.2465320875449</v>
      </c>
      <c r="X220" s="262">
        <v>0</v>
      </c>
      <c r="Y220" s="262">
        <f>Industrie!$G$80</f>
        <v>171.14177562970102</v>
      </c>
      <c r="Z220" s="262">
        <v>0</v>
      </c>
      <c r="AA220" s="262">
        <v>0</v>
      </c>
      <c r="AB220" s="262">
        <v>0</v>
      </c>
      <c r="AC220" s="470">
        <f>Industrie!$G$84</f>
        <v>34.228355125940197</v>
      </c>
      <c r="AD220" s="262">
        <v>0</v>
      </c>
      <c r="AE220" s="262">
        <v>0</v>
      </c>
      <c r="AF220" s="262">
        <v>0</v>
      </c>
      <c r="AG220" s="262">
        <v>0</v>
      </c>
      <c r="AH220" s="262">
        <v>0</v>
      </c>
      <c r="AI220" s="262">
        <v>0</v>
      </c>
      <c r="AJ220" s="262">
        <v>0</v>
      </c>
      <c r="AK220" s="262">
        <v>0</v>
      </c>
      <c r="AL220" s="273">
        <f t="shared" si="125"/>
        <v>2365.6166628431861</v>
      </c>
    </row>
    <row r="221" spans="1:38" ht="14.4" customHeight="1">
      <c r="A221" s="547"/>
      <c r="B221" s="266" t="s">
        <v>47</v>
      </c>
      <c r="C221" s="267">
        <f>C220+C219</f>
        <v>4614.5080921922709</v>
      </c>
      <c r="D221" s="267">
        <f t="shared" ref="D221:Q221" si="128">D220+D219</f>
        <v>0</v>
      </c>
      <c r="E221" s="267">
        <f t="shared" si="128"/>
        <v>7044.7705450209423</v>
      </c>
      <c r="F221" s="267">
        <f t="shared" si="128"/>
        <v>0</v>
      </c>
      <c r="G221" s="267">
        <f t="shared" si="128"/>
        <v>0</v>
      </c>
      <c r="H221" s="267">
        <f t="shared" si="128"/>
        <v>0</v>
      </c>
      <c r="I221" s="267">
        <f t="shared" si="128"/>
        <v>0</v>
      </c>
      <c r="J221" s="267">
        <f t="shared" si="128"/>
        <v>0</v>
      </c>
      <c r="K221" s="267">
        <f t="shared" si="128"/>
        <v>0</v>
      </c>
      <c r="L221" s="267">
        <f t="shared" si="128"/>
        <v>0</v>
      </c>
      <c r="M221" s="267">
        <f t="shared" si="128"/>
        <v>0</v>
      </c>
      <c r="N221" s="267">
        <f t="shared" si="128"/>
        <v>52.884393281771899</v>
      </c>
      <c r="O221" s="267">
        <f t="shared" si="128"/>
        <v>5124.6980113334157</v>
      </c>
      <c r="P221" s="267">
        <f t="shared" si="128"/>
        <v>0</v>
      </c>
      <c r="Q221" s="267">
        <f t="shared" si="128"/>
        <v>0</v>
      </c>
      <c r="R221" s="267">
        <f t="shared" si="124"/>
        <v>16836.861041828401</v>
      </c>
      <c r="U221" s="547"/>
      <c r="V221" s="266" t="s">
        <v>47</v>
      </c>
      <c r="W221" s="267">
        <f>W220+W219</f>
        <v>2587.7376992623076</v>
      </c>
      <c r="X221" s="267">
        <f t="shared" ref="X221:AK221" si="129">X220+X219</f>
        <v>0</v>
      </c>
      <c r="Y221" s="267">
        <f t="shared" si="129"/>
        <v>2537.3461540896046</v>
      </c>
      <c r="Z221" s="267">
        <f t="shared" si="129"/>
        <v>0</v>
      </c>
      <c r="AA221" s="267">
        <f t="shared" si="129"/>
        <v>0</v>
      </c>
      <c r="AB221" s="267">
        <f t="shared" si="129"/>
        <v>0</v>
      </c>
      <c r="AC221" s="267">
        <f t="shared" si="129"/>
        <v>567.56604593862619</v>
      </c>
      <c r="AD221" s="267">
        <f t="shared" si="129"/>
        <v>0</v>
      </c>
      <c r="AE221" s="267">
        <f t="shared" si="129"/>
        <v>41.372595529375062</v>
      </c>
      <c r="AF221" s="267">
        <f t="shared" si="129"/>
        <v>88.946589342148371</v>
      </c>
      <c r="AG221" s="267">
        <f t="shared" si="129"/>
        <v>0</v>
      </c>
      <c r="AH221" s="267">
        <f t="shared" si="129"/>
        <v>59.092056884343307</v>
      </c>
      <c r="AI221" s="267">
        <f t="shared" si="129"/>
        <v>5604.4740721974922</v>
      </c>
      <c r="AJ221" s="267">
        <f t="shared" si="129"/>
        <v>0</v>
      </c>
      <c r="AK221" s="267">
        <f t="shared" si="129"/>
        <v>0</v>
      </c>
      <c r="AL221" s="267">
        <f t="shared" si="125"/>
        <v>11486.535213243897</v>
      </c>
    </row>
    <row r="230" spans="1:38" ht="14.4" customHeight="1">
      <c r="A230" s="547">
        <v>2045</v>
      </c>
      <c r="B230" s="548" t="s">
        <v>12</v>
      </c>
      <c r="C230" s="549" t="s">
        <v>14</v>
      </c>
      <c r="D230" s="549" t="s">
        <v>15</v>
      </c>
      <c r="E230" s="549" t="s">
        <v>16</v>
      </c>
      <c r="F230" s="549" t="s">
        <v>17</v>
      </c>
      <c r="G230" s="549" t="s">
        <v>370</v>
      </c>
      <c r="H230" s="549" t="s">
        <v>18</v>
      </c>
      <c r="I230" s="549" t="s">
        <v>19</v>
      </c>
      <c r="J230" s="549"/>
      <c r="K230" s="549"/>
      <c r="L230" s="549"/>
      <c r="M230" s="549"/>
      <c r="N230" s="549"/>
      <c r="O230" s="550" t="s">
        <v>371</v>
      </c>
      <c r="P230" s="550" t="s">
        <v>21</v>
      </c>
      <c r="Q230" s="550" t="s">
        <v>372</v>
      </c>
      <c r="R230" s="550" t="s">
        <v>23</v>
      </c>
      <c r="U230" s="547">
        <v>2045</v>
      </c>
      <c r="V230" s="555" t="s">
        <v>12</v>
      </c>
      <c r="W230" s="550" t="s">
        <v>14</v>
      </c>
      <c r="X230" s="550" t="s">
        <v>15</v>
      </c>
      <c r="Y230" s="550" t="s">
        <v>16</v>
      </c>
      <c r="Z230" s="550" t="s">
        <v>17</v>
      </c>
      <c r="AA230" s="550" t="s">
        <v>370</v>
      </c>
      <c r="AB230" s="550" t="s">
        <v>18</v>
      </c>
      <c r="AC230" s="552" t="s">
        <v>19</v>
      </c>
      <c r="AD230" s="553"/>
      <c r="AE230" s="553"/>
      <c r="AF230" s="553"/>
      <c r="AG230" s="553"/>
      <c r="AH230" s="554"/>
      <c r="AI230" s="550" t="s">
        <v>371</v>
      </c>
      <c r="AJ230" s="550" t="s">
        <v>21</v>
      </c>
      <c r="AK230" s="550" t="s">
        <v>372</v>
      </c>
      <c r="AL230" s="550" t="s">
        <v>23</v>
      </c>
    </row>
    <row r="231" spans="1:38" ht="45.6">
      <c r="A231" s="547"/>
      <c r="B231" s="548"/>
      <c r="C231" s="549"/>
      <c r="D231" s="549"/>
      <c r="E231" s="549"/>
      <c r="F231" s="549"/>
      <c r="G231" s="549"/>
      <c r="H231" s="549"/>
      <c r="I231" s="259" t="s">
        <v>359</v>
      </c>
      <c r="J231" s="259" t="s">
        <v>7</v>
      </c>
      <c r="K231" s="259" t="s">
        <v>360</v>
      </c>
      <c r="L231" s="259" t="s">
        <v>373</v>
      </c>
      <c r="M231" s="260" t="s">
        <v>374</v>
      </c>
      <c r="N231" s="259" t="s">
        <v>375</v>
      </c>
      <c r="O231" s="550"/>
      <c r="P231" s="550"/>
      <c r="Q231" s="550"/>
      <c r="R231" s="550"/>
      <c r="U231" s="547"/>
      <c r="V231" s="556"/>
      <c r="W231" s="551"/>
      <c r="X231" s="551"/>
      <c r="Y231" s="551"/>
      <c r="Z231" s="551"/>
      <c r="AA231" s="551"/>
      <c r="AB231" s="551"/>
      <c r="AC231" s="259" t="s">
        <v>359</v>
      </c>
      <c r="AD231" s="259" t="s">
        <v>7</v>
      </c>
      <c r="AE231" s="259" t="s">
        <v>360</v>
      </c>
      <c r="AF231" s="259" t="s">
        <v>373</v>
      </c>
      <c r="AG231" s="260" t="s">
        <v>374</v>
      </c>
      <c r="AH231" s="259" t="s">
        <v>375</v>
      </c>
      <c r="AI231" s="551"/>
      <c r="AJ231" s="551"/>
      <c r="AK231" s="551"/>
      <c r="AL231" s="550"/>
    </row>
    <row r="232" spans="1:38" ht="14.4" customHeight="1">
      <c r="A232" s="547"/>
      <c r="B232" s="261" t="s">
        <v>24</v>
      </c>
      <c r="C232" s="262">
        <v>0</v>
      </c>
      <c r="D232" s="263">
        <v>0</v>
      </c>
      <c r="E232" s="263">
        <v>0</v>
      </c>
      <c r="F232" s="262">
        <v>0</v>
      </c>
      <c r="G232" s="263">
        <v>0</v>
      </c>
      <c r="H232" s="263">
        <f>H238</f>
        <v>1103.5417545405014</v>
      </c>
      <c r="I232" s="263">
        <f>I238</f>
        <v>12.337596024829276</v>
      </c>
      <c r="J232" s="263">
        <v>0</v>
      </c>
      <c r="K232" s="263">
        <v>0</v>
      </c>
      <c r="L232" s="263">
        <f>L238</f>
        <v>0</v>
      </c>
      <c r="M232" s="263">
        <v>0</v>
      </c>
      <c r="N232" s="263">
        <f>N238</f>
        <v>56.061153586955669</v>
      </c>
      <c r="O232" s="264">
        <v>0</v>
      </c>
      <c r="P232" s="263">
        <v>0</v>
      </c>
      <c r="Q232" s="263">
        <v>0</v>
      </c>
      <c r="R232" s="265">
        <f>SUM(C232:Q232)</f>
        <v>1171.9405041522864</v>
      </c>
      <c r="U232" s="547"/>
      <c r="V232" s="261" t="s">
        <v>24</v>
      </c>
      <c r="W232" s="262">
        <v>0</v>
      </c>
      <c r="X232" s="263">
        <v>0</v>
      </c>
      <c r="Y232" s="263">
        <v>0</v>
      </c>
      <c r="Z232" s="262">
        <v>0</v>
      </c>
      <c r="AA232" s="263">
        <v>0</v>
      </c>
      <c r="AB232" s="263">
        <f>AB238</f>
        <v>3532.3055758349492</v>
      </c>
      <c r="AC232" s="471">
        <f>IF((AC238-$AC$27)&gt;0,$AC$27+(AC238-$AC$27)*0.5,AC238)</f>
        <v>1045.0227054523637</v>
      </c>
      <c r="AD232" s="471">
        <f>AD238</f>
        <v>1605.5934435613403</v>
      </c>
      <c r="AE232" s="471">
        <f>IF((AE238-$AE$27)&gt;0,$AE$27+(AE238-AE235-AE236-$AE$27)*0.5,AE238-AE235-AE$72)</f>
        <v>2102.0568113931681</v>
      </c>
      <c r="AF232" s="263">
        <f>AF238</f>
        <v>74.214539931635798</v>
      </c>
      <c r="AG232" s="263">
        <v>0</v>
      </c>
      <c r="AH232" s="263">
        <f>AH238</f>
        <v>48.975680626650636</v>
      </c>
      <c r="AI232" s="264">
        <v>0</v>
      </c>
      <c r="AJ232" s="263">
        <v>0</v>
      </c>
      <c r="AK232" s="263">
        <v>0</v>
      </c>
      <c r="AL232" s="265">
        <f>SUM(W232:AK232)</f>
        <v>8408.1687568001071</v>
      </c>
    </row>
    <row r="233" spans="1:38" ht="14.4" customHeight="1">
      <c r="A233" s="547"/>
      <c r="B233" s="261" t="s">
        <v>28</v>
      </c>
      <c r="C233" s="470">
        <f>C238</f>
        <v>11789.337605513738</v>
      </c>
      <c r="D233" s="263">
        <f>D238</f>
        <v>0</v>
      </c>
      <c r="E233" s="471">
        <f>E238-E235-E236</f>
        <v>11740.161273533484</v>
      </c>
      <c r="F233" s="262">
        <v>0</v>
      </c>
      <c r="G233" s="263">
        <v>0</v>
      </c>
      <c r="H233" s="263">
        <v>0</v>
      </c>
      <c r="I233" s="263">
        <v>0</v>
      </c>
      <c r="J233" s="263">
        <v>0</v>
      </c>
      <c r="K233" s="263">
        <f>K238</f>
        <v>0</v>
      </c>
      <c r="L233" s="263">
        <v>0</v>
      </c>
      <c r="M233" s="263">
        <v>0</v>
      </c>
      <c r="N233" s="263">
        <v>0</v>
      </c>
      <c r="O233" s="264">
        <v>0</v>
      </c>
      <c r="P233" s="263">
        <v>0</v>
      </c>
      <c r="Q233" s="263">
        <v>0</v>
      </c>
      <c r="R233" s="265">
        <f t="shared" ref="R233:R238" si="130">SUM(C233:Q233)</f>
        <v>23529.49887904722</v>
      </c>
      <c r="U233" s="547"/>
      <c r="V233" s="261" t="s">
        <v>28</v>
      </c>
      <c r="W233" s="262">
        <f>W238</f>
        <v>2279.3613688659525</v>
      </c>
      <c r="X233" s="263">
        <f>X238</f>
        <v>0</v>
      </c>
      <c r="Y233" s="471">
        <f>Y238-Y235-Y236</f>
        <v>1900.6490297915639</v>
      </c>
      <c r="Z233" s="470">
        <v>0</v>
      </c>
      <c r="AA233" s="471">
        <v>0</v>
      </c>
      <c r="AB233" s="471">
        <v>0</v>
      </c>
      <c r="AC233" s="471">
        <f>IF((AC238-$AC$27)&gt;0,(AC238-$AC$27)*0.5,0)</f>
        <v>1045.0227054523637</v>
      </c>
      <c r="AD233" s="471">
        <v>0</v>
      </c>
      <c r="AE233" s="471">
        <f>IF((AE238-AE235-AE236-$AE$27)&gt;0,(AE238-AE235-AE236-$AE$27)*0.5,0)</f>
        <v>2102.0568113931681</v>
      </c>
      <c r="AF233" s="263">
        <v>0</v>
      </c>
      <c r="AG233" s="263">
        <v>0</v>
      </c>
      <c r="AH233" s="263">
        <v>0</v>
      </c>
      <c r="AI233" s="264">
        <v>0</v>
      </c>
      <c r="AJ233" s="263">
        <v>0</v>
      </c>
      <c r="AK233" s="263">
        <v>0</v>
      </c>
      <c r="AL233" s="265">
        <f t="shared" ref="AL233:AL238" si="131">SUM(W233:AK233)</f>
        <v>7327.0899155030475</v>
      </c>
    </row>
    <row r="234" spans="1:38" ht="14.4" customHeight="1">
      <c r="A234" s="547"/>
      <c r="B234" s="261" t="s">
        <v>29</v>
      </c>
      <c r="C234" s="470">
        <v>0</v>
      </c>
      <c r="D234" s="263">
        <v>0</v>
      </c>
      <c r="E234" s="263">
        <v>0</v>
      </c>
      <c r="F234" s="262">
        <v>0</v>
      </c>
      <c r="G234" s="263">
        <v>0</v>
      </c>
      <c r="H234" s="263">
        <v>0</v>
      </c>
      <c r="I234" s="263">
        <v>0</v>
      </c>
      <c r="J234" s="263">
        <v>0</v>
      </c>
      <c r="K234" s="263">
        <v>0</v>
      </c>
      <c r="L234" s="263">
        <v>0</v>
      </c>
      <c r="M234" s="263">
        <v>0</v>
      </c>
      <c r="N234" s="263">
        <v>0</v>
      </c>
      <c r="O234" s="264">
        <v>0</v>
      </c>
      <c r="P234" s="263">
        <v>0</v>
      </c>
      <c r="Q234" s="263">
        <v>0</v>
      </c>
      <c r="R234" s="265">
        <f t="shared" si="130"/>
        <v>0</v>
      </c>
      <c r="U234" s="547"/>
      <c r="V234" s="261" t="s">
        <v>29</v>
      </c>
      <c r="W234" s="262">
        <v>0</v>
      </c>
      <c r="X234" s="263">
        <v>0</v>
      </c>
      <c r="Y234" s="263">
        <v>0</v>
      </c>
      <c r="Z234" s="262">
        <v>0</v>
      </c>
      <c r="AA234" s="263">
        <v>0</v>
      </c>
      <c r="AB234" s="263">
        <v>0</v>
      </c>
      <c r="AC234" s="263">
        <v>0</v>
      </c>
      <c r="AD234" s="471">
        <v>0</v>
      </c>
      <c r="AE234" s="263">
        <v>0</v>
      </c>
      <c r="AF234" s="263">
        <v>0</v>
      </c>
      <c r="AG234" s="263">
        <v>0</v>
      </c>
      <c r="AH234" s="263">
        <v>0</v>
      </c>
      <c r="AI234" s="264">
        <v>0</v>
      </c>
      <c r="AJ234" s="263">
        <v>0</v>
      </c>
      <c r="AK234" s="263">
        <v>0</v>
      </c>
      <c r="AL234" s="265">
        <f t="shared" si="131"/>
        <v>0</v>
      </c>
    </row>
    <row r="235" spans="1:38" ht="14.4" customHeight="1">
      <c r="A235" s="547"/>
      <c r="B235" s="261" t="s">
        <v>30</v>
      </c>
      <c r="C235" s="470">
        <v>0</v>
      </c>
      <c r="D235" s="263">
        <v>0</v>
      </c>
      <c r="E235" s="263">
        <f>-Transports!$H$125</f>
        <v>-210.66029503939109</v>
      </c>
      <c r="F235" s="262">
        <v>0</v>
      </c>
      <c r="G235" s="263">
        <v>0</v>
      </c>
      <c r="H235" s="263">
        <v>0</v>
      </c>
      <c r="I235" s="263">
        <v>0</v>
      </c>
      <c r="J235" s="263">
        <v>0</v>
      </c>
      <c r="K235" s="263">
        <v>0</v>
      </c>
      <c r="L235" s="263">
        <v>0</v>
      </c>
      <c r="M235" s="263">
        <v>0</v>
      </c>
      <c r="N235" s="263">
        <v>0</v>
      </c>
      <c r="O235" s="264">
        <v>0</v>
      </c>
      <c r="P235" s="263">
        <v>0</v>
      </c>
      <c r="Q235" s="263">
        <v>0</v>
      </c>
      <c r="R235" s="265">
        <f t="shared" si="130"/>
        <v>-210.66029503939109</v>
      </c>
      <c r="U235" s="547"/>
      <c r="V235" s="261" t="s">
        <v>30</v>
      </c>
      <c r="W235" s="262">
        <v>0</v>
      </c>
      <c r="X235" s="263">
        <v>0</v>
      </c>
      <c r="Y235" s="471">
        <f>-Transports!$H$172-Transports!$H$171</f>
        <v>-103.81475293696248</v>
      </c>
      <c r="Z235" s="470">
        <v>0</v>
      </c>
      <c r="AA235" s="471">
        <v>0</v>
      </c>
      <c r="AB235" s="471">
        <v>0</v>
      </c>
      <c r="AC235" s="471">
        <v>0</v>
      </c>
      <c r="AD235" s="471">
        <v>0</v>
      </c>
      <c r="AE235" s="471">
        <f>-Transports!$H$170</f>
        <v>-62.555043436374824</v>
      </c>
      <c r="AF235" s="263">
        <v>0</v>
      </c>
      <c r="AG235" s="263">
        <v>0</v>
      </c>
      <c r="AH235" s="263">
        <v>0</v>
      </c>
      <c r="AI235" s="264">
        <v>0</v>
      </c>
      <c r="AJ235" s="263">
        <v>0</v>
      </c>
      <c r="AK235" s="263">
        <v>0</v>
      </c>
      <c r="AL235" s="265">
        <f t="shared" si="131"/>
        <v>-166.36979637333729</v>
      </c>
    </row>
    <row r="236" spans="1:38" ht="14.4" customHeight="1">
      <c r="A236" s="547"/>
      <c r="B236" s="261" t="s">
        <v>31</v>
      </c>
      <c r="C236" s="470">
        <v>0</v>
      </c>
      <c r="D236" s="263">
        <v>0</v>
      </c>
      <c r="E236" s="263">
        <f>-Transports!$H$202</f>
        <v>-205.92666027907836</v>
      </c>
      <c r="F236" s="262">
        <v>0</v>
      </c>
      <c r="G236" s="263">
        <v>0</v>
      </c>
      <c r="H236" s="263">
        <v>0</v>
      </c>
      <c r="I236" s="263">
        <v>0</v>
      </c>
      <c r="J236" s="263">
        <v>0</v>
      </c>
      <c r="K236" s="263">
        <v>0</v>
      </c>
      <c r="L236" s="263">
        <v>0</v>
      </c>
      <c r="M236" s="263">
        <v>0</v>
      </c>
      <c r="N236" s="263">
        <v>0</v>
      </c>
      <c r="O236" s="264">
        <v>0</v>
      </c>
      <c r="P236" s="263">
        <v>0</v>
      </c>
      <c r="Q236" s="263">
        <v>0</v>
      </c>
      <c r="R236" s="265">
        <f t="shared" si="130"/>
        <v>-205.92666027907836</v>
      </c>
      <c r="U236" s="547"/>
      <c r="V236" s="261" t="s">
        <v>31</v>
      </c>
      <c r="W236" s="262">
        <v>0</v>
      </c>
      <c r="X236" s="263">
        <v>0</v>
      </c>
      <c r="Y236" s="471">
        <f>-Transports!$H$234</f>
        <v>-109.38343095971929</v>
      </c>
      <c r="Z236" s="470">
        <v>0</v>
      </c>
      <c r="AA236" s="471">
        <v>0</v>
      </c>
      <c r="AB236" s="471">
        <v>0</v>
      </c>
      <c r="AC236" s="471">
        <v>0</v>
      </c>
      <c r="AD236" s="471">
        <v>0</v>
      </c>
      <c r="AE236" s="471">
        <f>-Transports!$H$233-Transports!$H$232</f>
        <v>-69.565877264045469</v>
      </c>
      <c r="AF236" s="263">
        <v>0</v>
      </c>
      <c r="AG236" s="263">
        <v>0</v>
      </c>
      <c r="AH236" s="263">
        <v>0</v>
      </c>
      <c r="AI236" s="264">
        <v>0</v>
      </c>
      <c r="AJ236" s="263">
        <v>0</v>
      </c>
      <c r="AK236" s="263">
        <v>0</v>
      </c>
      <c r="AL236" s="265">
        <f t="shared" si="131"/>
        <v>-178.94930822376477</v>
      </c>
    </row>
    <row r="237" spans="1:38" ht="14.4" customHeight="1">
      <c r="A237" s="547"/>
      <c r="B237" s="261" t="s">
        <v>32</v>
      </c>
      <c r="C237" s="470">
        <v>0</v>
      </c>
      <c r="D237" s="263">
        <v>0</v>
      </c>
      <c r="E237" s="263">
        <v>0</v>
      </c>
      <c r="F237" s="262">
        <v>0</v>
      </c>
      <c r="G237" s="263">
        <v>0</v>
      </c>
      <c r="H237" s="263">
        <v>0</v>
      </c>
      <c r="I237" s="263">
        <v>0</v>
      </c>
      <c r="J237" s="263">
        <v>0</v>
      </c>
      <c r="K237" s="263">
        <v>0</v>
      </c>
      <c r="L237" s="263">
        <v>0</v>
      </c>
      <c r="M237" s="263">
        <v>0</v>
      </c>
      <c r="N237" s="263">
        <v>0</v>
      </c>
      <c r="O237" s="264">
        <v>0</v>
      </c>
      <c r="P237" s="263">
        <v>0</v>
      </c>
      <c r="Q237" s="263">
        <v>0</v>
      </c>
      <c r="R237" s="265">
        <f t="shared" si="130"/>
        <v>0</v>
      </c>
      <c r="U237" s="547"/>
      <c r="V237" s="261" t="s">
        <v>32</v>
      </c>
      <c r="W237" s="262">
        <v>0</v>
      </c>
      <c r="X237" s="263">
        <v>0</v>
      </c>
      <c r="Y237" s="263">
        <v>0</v>
      </c>
      <c r="Z237" s="262">
        <v>0</v>
      </c>
      <c r="AA237" s="263">
        <v>0</v>
      </c>
      <c r="AB237" s="263">
        <v>0</v>
      </c>
      <c r="AC237" s="263">
        <v>0</v>
      </c>
      <c r="AD237" s="471">
        <v>0</v>
      </c>
      <c r="AE237" s="263">
        <v>0</v>
      </c>
      <c r="AF237" s="263">
        <v>0</v>
      </c>
      <c r="AG237" s="263">
        <v>0</v>
      </c>
      <c r="AH237" s="263">
        <v>0</v>
      </c>
      <c r="AI237" s="264">
        <v>0</v>
      </c>
      <c r="AJ237" s="263">
        <v>0</v>
      </c>
      <c r="AK237" s="263">
        <v>0</v>
      </c>
      <c r="AL237" s="265">
        <f t="shared" si="131"/>
        <v>0</v>
      </c>
    </row>
    <row r="238" spans="1:38" ht="14.4" customHeight="1">
      <c r="A238" s="547"/>
      <c r="B238" s="266" t="s">
        <v>376</v>
      </c>
      <c r="C238" s="472">
        <f>C252+C262</f>
        <v>11789.337605513738</v>
      </c>
      <c r="D238" s="267">
        <f>D252+D262</f>
        <v>0</v>
      </c>
      <c r="E238" s="267">
        <f>E252+E262</f>
        <v>11323.574318215015</v>
      </c>
      <c r="F238" s="267">
        <f t="shared" ref="F238:G238" si="132">SUM(F232:F237)</f>
        <v>0</v>
      </c>
      <c r="G238" s="267">
        <f t="shared" si="132"/>
        <v>0</v>
      </c>
      <c r="H238" s="267">
        <f>H252</f>
        <v>1103.5417545405014</v>
      </c>
      <c r="I238" s="267">
        <f>I252+I260</f>
        <v>12.337596024829276</v>
      </c>
      <c r="J238" s="267">
        <f t="shared" ref="J238" si="133">SUM(J232:J237)</f>
        <v>0</v>
      </c>
      <c r="K238" s="267">
        <f>K252+K262</f>
        <v>0</v>
      </c>
      <c r="L238" s="267">
        <f>L252+L262</f>
        <v>0</v>
      </c>
      <c r="M238" s="267">
        <f t="shared" ref="M238" si="134">SUM(M232:M237)</f>
        <v>0</v>
      </c>
      <c r="N238" s="267">
        <f>N252+N262</f>
        <v>56.061153586955669</v>
      </c>
      <c r="O238" s="267">
        <f t="shared" ref="O238:Q238" si="135">SUM(O232:O237)</f>
        <v>0</v>
      </c>
      <c r="P238" s="267">
        <f t="shared" si="135"/>
        <v>0</v>
      </c>
      <c r="Q238" s="267">
        <f t="shared" si="135"/>
        <v>0</v>
      </c>
      <c r="R238" s="267">
        <f t="shared" si="130"/>
        <v>24284.852427881036</v>
      </c>
      <c r="U238" s="547"/>
      <c r="V238" s="266" t="s">
        <v>376</v>
      </c>
      <c r="W238" s="472">
        <f>W262+W252</f>
        <v>2279.3613688659525</v>
      </c>
      <c r="X238" s="267">
        <f>X252+X262</f>
        <v>0</v>
      </c>
      <c r="Y238" s="267">
        <f>Y252+Y262</f>
        <v>1687.4508458948819</v>
      </c>
      <c r="Z238" s="267">
        <f t="shared" ref="Z238:AA238" si="136">SUM(Z232:Z237)</f>
        <v>0</v>
      </c>
      <c r="AA238" s="267">
        <f t="shared" si="136"/>
        <v>0</v>
      </c>
      <c r="AB238" s="267">
        <f>AB252</f>
        <v>3532.3055758349492</v>
      </c>
      <c r="AC238" s="267">
        <f>AC252+AC262</f>
        <v>2090.0454109047273</v>
      </c>
      <c r="AD238" s="472">
        <f>AD252</f>
        <v>1605.5934435613403</v>
      </c>
      <c r="AE238" s="267">
        <f>AE252+AE262</f>
        <v>4071.9927020859159</v>
      </c>
      <c r="AF238" s="267">
        <f>AF252+AF262</f>
        <v>74.214539931635798</v>
      </c>
      <c r="AG238" s="267">
        <f t="shared" ref="AG238" si="137">SUM(AG232:AG237)</f>
        <v>0</v>
      </c>
      <c r="AH238" s="267">
        <f>AH252+AH262</f>
        <v>48.975680626650636</v>
      </c>
      <c r="AI238" s="267">
        <f t="shared" ref="AI238:AK238" si="138">SUM(AI232:AI237)</f>
        <v>0</v>
      </c>
      <c r="AJ238" s="267">
        <f t="shared" si="138"/>
        <v>0</v>
      </c>
      <c r="AK238" s="267">
        <f t="shared" si="138"/>
        <v>0</v>
      </c>
      <c r="AL238" s="267">
        <f t="shared" si="131"/>
        <v>15389.939567706053</v>
      </c>
    </row>
    <row r="239" spans="1:38" ht="14.4" customHeight="1">
      <c r="A239" s="547"/>
      <c r="B239" s="268"/>
      <c r="C239" s="269"/>
      <c r="D239" s="237"/>
      <c r="E239" s="270"/>
      <c r="F239" s="269"/>
      <c r="G239" s="269"/>
      <c r="H239" s="269"/>
      <c r="I239" s="269"/>
      <c r="J239" s="269"/>
      <c r="K239" s="269"/>
      <c r="L239" s="269"/>
      <c r="M239" s="269"/>
      <c r="N239" s="269"/>
      <c r="O239" s="278"/>
      <c r="P239" s="269"/>
      <c r="Q239" s="269"/>
      <c r="R239" s="269"/>
      <c r="U239" s="547"/>
      <c r="V239" s="268"/>
      <c r="W239" s="269"/>
      <c r="X239" s="237"/>
      <c r="Y239" s="270"/>
      <c r="Z239" s="269"/>
      <c r="AA239" s="269"/>
      <c r="AB239" s="269"/>
      <c r="AC239" s="269"/>
      <c r="AD239" s="269"/>
      <c r="AE239" s="269"/>
      <c r="AF239" s="269"/>
      <c r="AG239" s="269"/>
      <c r="AH239" s="269"/>
      <c r="AI239" s="278"/>
      <c r="AJ239" s="269"/>
      <c r="AK239" s="269"/>
      <c r="AL239" s="269"/>
    </row>
    <row r="240" spans="1:38" ht="14.4" customHeight="1">
      <c r="A240" s="547"/>
      <c r="B240" s="271" t="s">
        <v>377</v>
      </c>
      <c r="C240" s="262">
        <v>0</v>
      </c>
      <c r="D240" s="272">
        <v>0</v>
      </c>
      <c r="E240" s="272">
        <v>0</v>
      </c>
      <c r="F240" s="262">
        <v>0</v>
      </c>
      <c r="G240" s="262">
        <v>0</v>
      </c>
      <c r="H240" s="262">
        <v>0</v>
      </c>
      <c r="I240" s="262">
        <v>0</v>
      </c>
      <c r="J240" s="262">
        <v>0</v>
      </c>
      <c r="K240" s="262">
        <v>0</v>
      </c>
      <c r="L240" s="262">
        <v>0</v>
      </c>
      <c r="M240" s="262">
        <v>0</v>
      </c>
      <c r="N240" s="262">
        <v>0</v>
      </c>
      <c r="O240" s="262">
        <v>0</v>
      </c>
      <c r="P240" s="262">
        <v>0</v>
      </c>
      <c r="Q240" s="262">
        <v>0</v>
      </c>
      <c r="R240" s="273">
        <f>SUM(C240:Q240)</f>
        <v>0</v>
      </c>
      <c r="U240" s="547"/>
      <c r="V240" s="271" t="s">
        <v>377</v>
      </c>
      <c r="W240" s="262">
        <v>0</v>
      </c>
      <c r="X240" s="272">
        <v>0</v>
      </c>
      <c r="Y240" s="272">
        <v>0</v>
      </c>
      <c r="Z240" s="262">
        <v>0</v>
      </c>
      <c r="AA240" s="262">
        <v>0</v>
      </c>
      <c r="AB240" s="262">
        <v>0</v>
      </c>
      <c r="AC240" s="262">
        <v>0</v>
      </c>
      <c r="AD240" s="262">
        <v>0</v>
      </c>
      <c r="AE240" s="262">
        <v>0</v>
      </c>
      <c r="AF240" s="262">
        <v>0</v>
      </c>
      <c r="AG240" s="262">
        <v>0</v>
      </c>
      <c r="AH240" s="262">
        <v>0</v>
      </c>
      <c r="AI240" s="262">
        <v>0</v>
      </c>
      <c r="AJ240" s="262">
        <v>0</v>
      </c>
      <c r="AK240" s="262">
        <v>0</v>
      </c>
      <c r="AL240" s="273">
        <f>SUM(W240:AK240)</f>
        <v>0</v>
      </c>
    </row>
    <row r="241" spans="1:38" ht="14.4" customHeight="1">
      <c r="A241" s="547"/>
      <c r="B241" s="271" t="s">
        <v>378</v>
      </c>
      <c r="C241" s="262">
        <f>O241*'Prod Energie'!$H$37/(-$J$13)</f>
        <v>7171.7443245695431</v>
      </c>
      <c r="D241" s="262">
        <v>0</v>
      </c>
      <c r="E241" s="262">
        <f>O241*'Prod Energie'!$H$38/(-$K$13)</f>
        <v>4216.3078367913859</v>
      </c>
      <c r="F241" s="262">
        <v>0</v>
      </c>
      <c r="G241" s="262">
        <v>0</v>
      </c>
      <c r="H241" s="262">
        <f>(O241)*('Prod Energie'!$H$39+'Prod Energie'!$H$44+'Prod Energie'!$H$45)/(-$L$13)</f>
        <v>1103.5417545405014</v>
      </c>
      <c r="I241" s="274">
        <f>(O241)*('Prod Energie'!$H$43)/(-$M$13)</f>
        <v>12.337596024829276</v>
      </c>
      <c r="J241" s="274">
        <f>(O241)*$L$17*('Prod Energie'!$H$41)</f>
        <v>0</v>
      </c>
      <c r="K241" s="274">
        <f>(O241)*$L$17*('Prod Energie'!$H$42)</f>
        <v>0</v>
      </c>
      <c r="L241" s="274">
        <f>(O241)*$L$17*('Prod Energie'!$H$46)</f>
        <v>0</v>
      </c>
      <c r="M241" s="274">
        <v>0</v>
      </c>
      <c r="N241" s="274">
        <f>0</f>
        <v>0</v>
      </c>
      <c r="O241" s="262">
        <f>O252/(1+$F$17+$F$18)</f>
        <v>-5470.9193318780217</v>
      </c>
      <c r="P241" s="262">
        <v>0</v>
      </c>
      <c r="Q241" s="262">
        <v>0</v>
      </c>
      <c r="R241" s="273">
        <f t="shared" ref="R241:R252" si="139">SUM(C241:Q241)</f>
        <v>7033.0121800482375</v>
      </c>
      <c r="U241" s="547"/>
      <c r="V241" s="271" t="s">
        <v>378</v>
      </c>
      <c r="W241" s="470">
        <f>AI241*'Prod Energie'!$H$59/(-$J$13)</f>
        <v>0</v>
      </c>
      <c r="X241" s="470">
        <v>0</v>
      </c>
      <c r="Y241" s="470">
        <f>AI241*'Prod Energie'!$H$60/(-$K$13)</f>
        <v>0</v>
      </c>
      <c r="Z241" s="470">
        <v>0</v>
      </c>
      <c r="AA241" s="470">
        <v>0</v>
      </c>
      <c r="AB241" s="470">
        <f>(AI241)*('Prod Energie'!$H$61+'Prod Energie'!$H$66+'Prod Energie'!$H$67)/(-$L$13)</f>
        <v>3532.3055758349492</v>
      </c>
      <c r="AC241" s="274">
        <f>(AI241)*'Prod Energie'!$H$65/(-$M$13)</f>
        <v>1605.5934435613403</v>
      </c>
      <c r="AD241" s="274">
        <f>(AI241)*('Prod Energie'!$H$63)/(-$N$13)</f>
        <v>1605.5934435613403</v>
      </c>
      <c r="AE241" s="274">
        <f>(AI241)*('Prod Energie'!$H$64)/(-$M$13)</f>
        <v>4013.9836089033524</v>
      </c>
      <c r="AF241" s="274">
        <f>(AI241)*('Prod Energie'!$H$68)/(-$P$13)</f>
        <v>0</v>
      </c>
      <c r="AG241" s="274">
        <v>0</v>
      </c>
      <c r="AH241" s="274">
        <f>(AI241)*'Prod Energie'!$H$62/(-$Q$13)</f>
        <v>0</v>
      </c>
      <c r="AI241" s="262">
        <f>AI252/(1+$F$17+$F$18)</f>
        <v>-6422.3737742453613</v>
      </c>
      <c r="AJ241" s="262">
        <v>0</v>
      </c>
      <c r="AK241" s="262">
        <v>0</v>
      </c>
      <c r="AL241" s="273">
        <f t="shared" ref="AL241:AL252" si="140">SUM(W241:AK241)</f>
        <v>4335.10229761562</v>
      </c>
    </row>
    <row r="242" spans="1:38" ht="14.4" customHeight="1">
      <c r="A242" s="547"/>
      <c r="B242" s="271" t="s">
        <v>379</v>
      </c>
      <c r="C242" s="262">
        <v>0</v>
      </c>
      <c r="D242" s="262">
        <v>0</v>
      </c>
      <c r="E242" s="262">
        <v>0</v>
      </c>
      <c r="F242" s="262">
        <v>0</v>
      </c>
      <c r="G242" s="262">
        <v>0</v>
      </c>
      <c r="H242" s="262">
        <v>0</v>
      </c>
      <c r="I242" s="274">
        <f>$P$242*$L$18*V$17</f>
        <v>0</v>
      </c>
      <c r="J242" s="274">
        <f t="shared" ref="J242:N242" si="141">$P$242*$L$18*W$17</f>
        <v>0</v>
      </c>
      <c r="K242" s="274">
        <f t="shared" si="141"/>
        <v>0</v>
      </c>
      <c r="L242" s="274">
        <f t="shared" si="141"/>
        <v>0</v>
      </c>
      <c r="M242" s="274">
        <f t="shared" si="141"/>
        <v>0</v>
      </c>
      <c r="N242" s="274">
        <f t="shared" si="141"/>
        <v>0</v>
      </c>
      <c r="O242" s="262">
        <v>0</v>
      </c>
      <c r="P242" s="262">
        <f>P252/(1+$R$18)</f>
        <v>0</v>
      </c>
      <c r="Q242" s="262">
        <v>0</v>
      </c>
      <c r="R242" s="273">
        <f t="shared" si="139"/>
        <v>0</v>
      </c>
      <c r="U242" s="547"/>
      <c r="V242" s="271" t="s">
        <v>379</v>
      </c>
      <c r="W242" s="262">
        <v>0</v>
      </c>
      <c r="X242" s="262">
        <v>0</v>
      </c>
      <c r="Y242" s="262">
        <v>0</v>
      </c>
      <c r="Z242" s="262">
        <v>0</v>
      </c>
      <c r="AA242" s="262">
        <v>0</v>
      </c>
      <c r="AB242" s="262">
        <v>0</v>
      </c>
      <c r="AC242" s="274">
        <f>$AJ$242*$L$18*V$17</f>
        <v>0</v>
      </c>
      <c r="AD242" s="274">
        <f t="shared" ref="AD242:AH242" si="142">$AJ$242*$L$18*W$17</f>
        <v>0</v>
      </c>
      <c r="AE242" s="274">
        <f t="shared" si="142"/>
        <v>0</v>
      </c>
      <c r="AF242" s="274">
        <f t="shared" si="142"/>
        <v>0</v>
      </c>
      <c r="AG242" s="274">
        <f t="shared" si="142"/>
        <v>0</v>
      </c>
      <c r="AH242" s="274">
        <f t="shared" si="142"/>
        <v>0</v>
      </c>
      <c r="AI242" s="262">
        <v>0</v>
      </c>
      <c r="AJ242" s="262">
        <f>AJ252/(1+$R$18)</f>
        <v>0</v>
      </c>
      <c r="AK242" s="262">
        <v>0</v>
      </c>
      <c r="AL242" s="273">
        <f t="shared" si="140"/>
        <v>0</v>
      </c>
    </row>
    <row r="243" spans="1:38" ht="14.4" customHeight="1">
      <c r="A243" s="547"/>
      <c r="B243" s="271" t="s">
        <v>380</v>
      </c>
      <c r="C243" s="262">
        <v>0</v>
      </c>
      <c r="D243" s="262">
        <v>0</v>
      </c>
      <c r="E243" s="262">
        <v>0</v>
      </c>
      <c r="F243" s="262">
        <v>0</v>
      </c>
      <c r="G243" s="262">
        <v>0</v>
      </c>
      <c r="H243" s="262">
        <v>0</v>
      </c>
      <c r="I243" s="275">
        <v>0</v>
      </c>
      <c r="J243" s="275">
        <v>0</v>
      </c>
      <c r="K243" s="275">
        <v>0</v>
      </c>
      <c r="L243" s="275">
        <v>0</v>
      </c>
      <c r="M243" s="275">
        <v>0</v>
      </c>
      <c r="N243" s="275">
        <v>0</v>
      </c>
      <c r="O243" s="262">
        <v>0</v>
      </c>
      <c r="P243" s="262">
        <v>0</v>
      </c>
      <c r="Q243" s="262">
        <v>0</v>
      </c>
      <c r="R243" s="273">
        <f t="shared" si="139"/>
        <v>0</v>
      </c>
      <c r="U243" s="547"/>
      <c r="V243" s="271" t="s">
        <v>380</v>
      </c>
      <c r="W243" s="262">
        <v>0</v>
      </c>
      <c r="X243" s="262">
        <v>0</v>
      </c>
      <c r="Y243" s="262">
        <v>0</v>
      </c>
      <c r="Z243" s="262">
        <v>0</v>
      </c>
      <c r="AA243" s="262">
        <v>0</v>
      </c>
      <c r="AB243" s="262">
        <v>0</v>
      </c>
      <c r="AC243" s="275">
        <v>0</v>
      </c>
      <c r="AD243" s="275">
        <v>0</v>
      </c>
      <c r="AE243" s="275">
        <v>0</v>
      </c>
      <c r="AF243" s="275">
        <v>0</v>
      </c>
      <c r="AG243" s="275">
        <v>0</v>
      </c>
      <c r="AH243" s="275">
        <v>0</v>
      </c>
      <c r="AI243" s="262">
        <v>0</v>
      </c>
      <c r="AJ243" s="262">
        <v>0</v>
      </c>
      <c r="AK243" s="262">
        <v>0</v>
      </c>
      <c r="AL243" s="273">
        <f t="shared" si="140"/>
        <v>0</v>
      </c>
    </row>
    <row r="244" spans="1:38" ht="14.4" customHeight="1">
      <c r="A244" s="547"/>
      <c r="B244" s="271" t="s">
        <v>381</v>
      </c>
      <c r="C244" s="262">
        <v>0</v>
      </c>
      <c r="D244" s="262">
        <v>0</v>
      </c>
      <c r="E244" s="262">
        <v>0</v>
      </c>
      <c r="F244" s="262">
        <v>0</v>
      </c>
      <c r="G244" s="262">
        <v>0</v>
      </c>
      <c r="H244" s="262">
        <v>0</v>
      </c>
      <c r="I244" s="262">
        <v>0</v>
      </c>
      <c r="J244" s="262">
        <v>0</v>
      </c>
      <c r="K244" s="262">
        <v>0</v>
      </c>
      <c r="L244" s="262">
        <v>0</v>
      </c>
      <c r="M244" s="262">
        <v>0</v>
      </c>
      <c r="N244" s="262">
        <v>0</v>
      </c>
      <c r="O244" s="262">
        <v>0</v>
      </c>
      <c r="P244" s="262">
        <v>0</v>
      </c>
      <c r="Q244" s="262">
        <v>0</v>
      </c>
      <c r="R244" s="273">
        <f t="shared" si="139"/>
        <v>0</v>
      </c>
      <c r="U244" s="547"/>
      <c r="V244" s="271" t="s">
        <v>381</v>
      </c>
      <c r="W244" s="262">
        <v>0</v>
      </c>
      <c r="X244" s="262">
        <v>0</v>
      </c>
      <c r="Y244" s="262">
        <v>0</v>
      </c>
      <c r="Z244" s="262">
        <v>0</v>
      </c>
      <c r="AA244" s="262">
        <v>0</v>
      </c>
      <c r="AB244" s="262">
        <v>0</v>
      </c>
      <c r="AC244" s="262">
        <v>0</v>
      </c>
      <c r="AD244" s="262">
        <v>0</v>
      </c>
      <c r="AE244" s="262">
        <v>0</v>
      </c>
      <c r="AF244" s="262">
        <v>0</v>
      </c>
      <c r="AG244" s="262">
        <v>0</v>
      </c>
      <c r="AH244" s="262">
        <v>0</v>
      </c>
      <c r="AI244" s="262">
        <v>0</v>
      </c>
      <c r="AJ244" s="262">
        <v>0</v>
      </c>
      <c r="AK244" s="262">
        <v>0</v>
      </c>
      <c r="AL244" s="273">
        <f t="shared" si="140"/>
        <v>0</v>
      </c>
    </row>
    <row r="245" spans="1:38" ht="14.4" customHeight="1">
      <c r="A245" s="547"/>
      <c r="B245" s="271" t="s">
        <v>36</v>
      </c>
      <c r="C245" s="262">
        <v>0</v>
      </c>
      <c r="D245" s="262">
        <v>0</v>
      </c>
      <c r="E245" s="262">
        <v>0</v>
      </c>
      <c r="F245" s="262">
        <v>0</v>
      </c>
      <c r="G245" s="262">
        <v>0</v>
      </c>
      <c r="H245" s="262">
        <v>0</v>
      </c>
      <c r="I245" s="262">
        <v>0</v>
      </c>
      <c r="J245" s="262">
        <v>0</v>
      </c>
      <c r="K245" s="262">
        <v>0</v>
      </c>
      <c r="L245" s="262">
        <v>0</v>
      </c>
      <c r="M245" s="262">
        <v>0</v>
      </c>
      <c r="N245" s="262">
        <v>0</v>
      </c>
      <c r="O245" s="262">
        <v>0</v>
      </c>
      <c r="P245" s="262">
        <v>0</v>
      </c>
      <c r="Q245" s="262">
        <v>0</v>
      </c>
      <c r="R245" s="273">
        <f t="shared" si="139"/>
        <v>0</v>
      </c>
      <c r="U245" s="547"/>
      <c r="V245" s="271" t="s">
        <v>36</v>
      </c>
      <c r="W245" s="262">
        <v>0</v>
      </c>
      <c r="X245" s="262">
        <v>0</v>
      </c>
      <c r="Y245" s="262">
        <v>0</v>
      </c>
      <c r="Z245" s="262">
        <v>0</v>
      </c>
      <c r="AA245" s="262">
        <v>0</v>
      </c>
      <c r="AB245" s="262">
        <v>0</v>
      </c>
      <c r="AC245" s="262">
        <v>0</v>
      </c>
      <c r="AD245" s="262">
        <v>0</v>
      </c>
      <c r="AE245" s="262">
        <v>0</v>
      </c>
      <c r="AF245" s="262">
        <v>0</v>
      </c>
      <c r="AG245" s="262">
        <v>0</v>
      </c>
      <c r="AH245" s="262">
        <v>0</v>
      </c>
      <c r="AI245" s="262">
        <v>0</v>
      </c>
      <c r="AJ245" s="262">
        <v>0</v>
      </c>
      <c r="AK245" s="262">
        <v>0</v>
      </c>
      <c r="AL245" s="273">
        <f t="shared" si="140"/>
        <v>0</v>
      </c>
    </row>
    <row r="246" spans="1:38" ht="14.4" customHeight="1">
      <c r="A246" s="547"/>
      <c r="B246" s="271" t="s">
        <v>382</v>
      </c>
      <c r="C246" s="262">
        <v>0</v>
      </c>
      <c r="D246" s="262">
        <v>0</v>
      </c>
      <c r="E246" s="262">
        <v>0</v>
      </c>
      <c r="F246" s="262">
        <v>0</v>
      </c>
      <c r="G246" s="262">
        <v>0</v>
      </c>
      <c r="H246" s="262">
        <v>0</v>
      </c>
      <c r="I246" s="262">
        <v>0</v>
      </c>
      <c r="J246" s="262">
        <v>0</v>
      </c>
      <c r="K246" s="262">
        <v>0</v>
      </c>
      <c r="L246" s="262">
        <v>0</v>
      </c>
      <c r="M246" s="262">
        <v>0</v>
      </c>
      <c r="N246" s="262">
        <v>0</v>
      </c>
      <c r="O246" s="262">
        <v>0</v>
      </c>
      <c r="P246" s="262">
        <v>0</v>
      </c>
      <c r="Q246" s="262">
        <v>0</v>
      </c>
      <c r="R246" s="273">
        <f t="shared" si="139"/>
        <v>0</v>
      </c>
      <c r="U246" s="547"/>
      <c r="V246" s="271" t="s">
        <v>382</v>
      </c>
      <c r="W246" s="262">
        <v>0</v>
      </c>
      <c r="X246" s="262">
        <v>0</v>
      </c>
      <c r="Y246" s="262">
        <v>0</v>
      </c>
      <c r="Z246" s="262">
        <v>0</v>
      </c>
      <c r="AA246" s="262">
        <v>0</v>
      </c>
      <c r="AB246" s="262">
        <v>0</v>
      </c>
      <c r="AC246" s="262">
        <v>0</v>
      </c>
      <c r="AD246" s="262">
        <v>0</v>
      </c>
      <c r="AE246" s="262">
        <v>0</v>
      </c>
      <c r="AF246" s="262">
        <v>0</v>
      </c>
      <c r="AG246" s="262">
        <v>0</v>
      </c>
      <c r="AH246" s="262">
        <v>0</v>
      </c>
      <c r="AI246" s="262">
        <v>0</v>
      </c>
      <c r="AJ246" s="262">
        <v>0</v>
      </c>
      <c r="AK246" s="262">
        <v>0</v>
      </c>
      <c r="AL246" s="273">
        <f t="shared" si="140"/>
        <v>0</v>
      </c>
    </row>
    <row r="247" spans="1:38" ht="14.4" customHeight="1">
      <c r="A247" s="547"/>
      <c r="B247" s="271" t="s">
        <v>383</v>
      </c>
      <c r="C247" s="262">
        <v>0</v>
      </c>
      <c r="D247" s="262">
        <v>0</v>
      </c>
      <c r="E247" s="262">
        <v>0</v>
      </c>
      <c r="F247" s="262">
        <v>0</v>
      </c>
      <c r="G247" s="262">
        <v>0</v>
      </c>
      <c r="H247" s="262">
        <v>0</v>
      </c>
      <c r="I247" s="262">
        <v>0</v>
      </c>
      <c r="J247" s="262">
        <v>0</v>
      </c>
      <c r="K247" s="262">
        <v>0</v>
      </c>
      <c r="L247" s="262">
        <v>0</v>
      </c>
      <c r="M247" s="262">
        <v>0</v>
      </c>
      <c r="N247" s="262">
        <v>0</v>
      </c>
      <c r="O247" s="262">
        <v>0</v>
      </c>
      <c r="P247" s="262">
        <v>0</v>
      </c>
      <c r="Q247" s="262">
        <v>0</v>
      </c>
      <c r="R247" s="273">
        <f t="shared" si="139"/>
        <v>0</v>
      </c>
      <c r="U247" s="547"/>
      <c r="V247" s="271" t="s">
        <v>383</v>
      </c>
      <c r="W247" s="262">
        <v>0</v>
      </c>
      <c r="X247" s="262">
        <v>0</v>
      </c>
      <c r="Y247" s="262">
        <v>0</v>
      </c>
      <c r="Z247" s="262">
        <v>0</v>
      </c>
      <c r="AA247" s="262">
        <v>0</v>
      </c>
      <c r="AB247" s="262">
        <v>0</v>
      </c>
      <c r="AC247" s="262">
        <v>0</v>
      </c>
      <c r="AD247" s="262">
        <v>0</v>
      </c>
      <c r="AE247" s="262">
        <v>0</v>
      </c>
      <c r="AF247" s="262">
        <v>0</v>
      </c>
      <c r="AG247" s="262">
        <v>0</v>
      </c>
      <c r="AH247" s="262">
        <v>0</v>
      </c>
      <c r="AI247" s="262">
        <v>0</v>
      </c>
      <c r="AJ247" s="262">
        <v>0</v>
      </c>
      <c r="AK247" s="262">
        <v>0</v>
      </c>
      <c r="AL247" s="273">
        <f t="shared" si="140"/>
        <v>0</v>
      </c>
    </row>
    <row r="248" spans="1:38" ht="14.4" customHeight="1">
      <c r="A248" s="547"/>
      <c r="B248" s="271" t="s">
        <v>384</v>
      </c>
      <c r="C248" s="262">
        <v>0</v>
      </c>
      <c r="D248" s="262">
        <v>0</v>
      </c>
      <c r="E248" s="262">
        <v>0</v>
      </c>
      <c r="F248" s="262">
        <v>0</v>
      </c>
      <c r="G248" s="262">
        <v>0</v>
      </c>
      <c r="H248" s="262">
        <v>0</v>
      </c>
      <c r="I248" s="262">
        <v>0</v>
      </c>
      <c r="J248" s="262">
        <v>0</v>
      </c>
      <c r="K248" s="262">
        <v>0</v>
      </c>
      <c r="L248" s="262">
        <v>0</v>
      </c>
      <c r="M248" s="262">
        <v>0</v>
      </c>
      <c r="N248" s="262">
        <v>0</v>
      </c>
      <c r="O248" s="262">
        <v>0</v>
      </c>
      <c r="P248" s="262">
        <v>0</v>
      </c>
      <c r="Q248" s="262">
        <v>0</v>
      </c>
      <c r="R248" s="273">
        <f t="shared" si="139"/>
        <v>0</v>
      </c>
      <c r="U248" s="547"/>
      <c r="V248" s="271" t="s">
        <v>384</v>
      </c>
      <c r="W248" s="262">
        <v>0</v>
      </c>
      <c r="X248" s="262">
        <v>0</v>
      </c>
      <c r="Y248" s="262">
        <v>0</v>
      </c>
      <c r="Z248" s="262">
        <v>0</v>
      </c>
      <c r="AA248" s="262">
        <v>0</v>
      </c>
      <c r="AB248" s="262">
        <v>0</v>
      </c>
      <c r="AC248" s="262">
        <v>0</v>
      </c>
      <c r="AD248" s="262">
        <v>0</v>
      </c>
      <c r="AE248" s="262">
        <v>0</v>
      </c>
      <c r="AF248" s="262">
        <v>0</v>
      </c>
      <c r="AG248" s="262">
        <v>0</v>
      </c>
      <c r="AH248" s="262">
        <v>0</v>
      </c>
      <c r="AI248" s="262">
        <v>0</v>
      </c>
      <c r="AJ248" s="262">
        <v>0</v>
      </c>
      <c r="AK248" s="262">
        <v>0</v>
      </c>
      <c r="AL248" s="273">
        <f t="shared" si="140"/>
        <v>0</v>
      </c>
    </row>
    <row r="249" spans="1:38" ht="14.4" customHeight="1">
      <c r="A249" s="547"/>
      <c r="B249" s="271" t="s">
        <v>37</v>
      </c>
      <c r="C249" s="262">
        <v>0</v>
      </c>
      <c r="D249" s="262">
        <v>0</v>
      </c>
      <c r="E249" s="262">
        <v>0</v>
      </c>
      <c r="F249" s="262">
        <v>0</v>
      </c>
      <c r="G249" s="262">
        <v>0</v>
      </c>
      <c r="H249" s="262">
        <v>0</v>
      </c>
      <c r="I249" s="262">
        <v>0</v>
      </c>
      <c r="J249" s="262">
        <v>0</v>
      </c>
      <c r="K249" s="262">
        <v>0</v>
      </c>
      <c r="L249" s="262">
        <v>0</v>
      </c>
      <c r="M249" s="262">
        <v>0</v>
      </c>
      <c r="N249" s="262">
        <v>0</v>
      </c>
      <c r="O249" s="262">
        <v>0</v>
      </c>
      <c r="P249" s="262">
        <v>0</v>
      </c>
      <c r="Q249" s="262">
        <v>0</v>
      </c>
      <c r="R249" s="273">
        <f t="shared" si="139"/>
        <v>0</v>
      </c>
      <c r="U249" s="547"/>
      <c r="V249" s="271" t="s">
        <v>37</v>
      </c>
      <c r="W249" s="262">
        <v>0</v>
      </c>
      <c r="X249" s="262">
        <v>0</v>
      </c>
      <c r="Y249" s="262">
        <v>0</v>
      </c>
      <c r="Z249" s="262">
        <v>0</v>
      </c>
      <c r="AA249" s="262">
        <v>0</v>
      </c>
      <c r="AB249" s="262">
        <v>0</v>
      </c>
      <c r="AC249" s="262">
        <v>0</v>
      </c>
      <c r="AD249" s="262">
        <v>0</v>
      </c>
      <c r="AE249" s="262">
        <v>0</v>
      </c>
      <c r="AF249" s="262">
        <v>0</v>
      </c>
      <c r="AG249" s="262">
        <v>0</v>
      </c>
      <c r="AH249" s="262">
        <v>0</v>
      </c>
      <c r="AI249" s="262">
        <v>0</v>
      </c>
      <c r="AJ249" s="262">
        <v>0</v>
      </c>
      <c r="AK249" s="262">
        <v>0</v>
      </c>
      <c r="AL249" s="273">
        <f t="shared" si="140"/>
        <v>0</v>
      </c>
    </row>
    <row r="250" spans="1:38" ht="14.4" customHeight="1">
      <c r="A250" s="547"/>
      <c r="B250" s="271" t="s">
        <v>38</v>
      </c>
      <c r="C250" s="262">
        <v>0</v>
      </c>
      <c r="D250" s="262">
        <v>0</v>
      </c>
      <c r="E250" s="262">
        <v>0</v>
      </c>
      <c r="F250" s="262">
        <v>0</v>
      </c>
      <c r="G250" s="262">
        <v>0</v>
      </c>
      <c r="H250" s="262">
        <v>0</v>
      </c>
      <c r="I250" s="262">
        <v>0</v>
      </c>
      <c r="J250" s="262">
        <v>0</v>
      </c>
      <c r="K250" s="262">
        <v>0</v>
      </c>
      <c r="L250" s="262">
        <v>0</v>
      </c>
      <c r="M250" s="262">
        <v>0</v>
      </c>
      <c r="N250" s="262">
        <v>0</v>
      </c>
      <c r="O250" s="262">
        <f>O241*$F$17</f>
        <v>35.21313855682871</v>
      </c>
      <c r="P250" s="262">
        <v>0</v>
      </c>
      <c r="Q250" s="262">
        <v>0</v>
      </c>
      <c r="R250" s="273">
        <f t="shared" si="139"/>
        <v>35.21313855682871</v>
      </c>
      <c r="U250" s="547"/>
      <c r="V250" s="271" t="s">
        <v>38</v>
      </c>
      <c r="W250" s="262">
        <v>0</v>
      </c>
      <c r="X250" s="262">
        <v>0</v>
      </c>
      <c r="Y250" s="262">
        <v>0</v>
      </c>
      <c r="Z250" s="262">
        <v>0</v>
      </c>
      <c r="AA250" s="262">
        <v>0</v>
      </c>
      <c r="AB250" s="262">
        <v>0</v>
      </c>
      <c r="AC250" s="262">
        <v>0</v>
      </c>
      <c r="AD250" s="262">
        <v>0</v>
      </c>
      <c r="AE250" s="262">
        <v>0</v>
      </c>
      <c r="AF250" s="262">
        <v>0</v>
      </c>
      <c r="AG250" s="262">
        <v>0</v>
      </c>
      <c r="AH250" s="262">
        <v>0</v>
      </c>
      <c r="AI250" s="262">
        <f>AI241*$F$17</f>
        <v>41.337099645849264</v>
      </c>
      <c r="AJ250" s="262">
        <v>0</v>
      </c>
      <c r="AK250" s="262">
        <v>0</v>
      </c>
      <c r="AL250" s="273">
        <f t="shared" si="140"/>
        <v>41.337099645849264</v>
      </c>
    </row>
    <row r="251" spans="1:38" ht="14.4" customHeight="1">
      <c r="A251" s="547"/>
      <c r="B251" s="271" t="s">
        <v>39</v>
      </c>
      <c r="C251" s="262">
        <v>0</v>
      </c>
      <c r="D251" s="262">
        <v>0</v>
      </c>
      <c r="E251" s="262">
        <v>0</v>
      </c>
      <c r="F251" s="262">
        <v>0</v>
      </c>
      <c r="G251" s="262">
        <v>0</v>
      </c>
      <c r="H251" s="262">
        <v>0</v>
      </c>
      <c r="I251" s="262">
        <v>0</v>
      </c>
      <c r="J251" s="262">
        <v>0</v>
      </c>
      <c r="K251" s="262">
        <v>0</v>
      </c>
      <c r="L251" s="262">
        <v>0</v>
      </c>
      <c r="M251" s="262">
        <v>0</v>
      </c>
      <c r="N251" s="262">
        <v>0</v>
      </c>
      <c r="O251" s="262">
        <f>O241*$F$18</f>
        <v>223.96217564884546</v>
      </c>
      <c r="P251" s="262">
        <f>P242*$R$18</f>
        <v>0</v>
      </c>
      <c r="Q251" s="262">
        <v>0</v>
      </c>
      <c r="R251" s="273">
        <f t="shared" si="139"/>
        <v>223.96217564884546</v>
      </c>
      <c r="U251" s="547"/>
      <c r="V251" s="271" t="s">
        <v>39</v>
      </c>
      <c r="W251" s="262">
        <v>0</v>
      </c>
      <c r="X251" s="262">
        <v>0</v>
      </c>
      <c r="Y251" s="262">
        <v>0</v>
      </c>
      <c r="Z251" s="262">
        <v>0</v>
      </c>
      <c r="AA251" s="262">
        <v>0</v>
      </c>
      <c r="AB251" s="262">
        <v>0</v>
      </c>
      <c r="AC251" s="262">
        <v>0</v>
      </c>
      <c r="AD251" s="262">
        <v>0</v>
      </c>
      <c r="AE251" s="262">
        <v>0</v>
      </c>
      <c r="AF251" s="262">
        <v>0</v>
      </c>
      <c r="AG251" s="262">
        <v>0</v>
      </c>
      <c r="AH251" s="262">
        <v>0</v>
      </c>
      <c r="AI251" s="262">
        <f>AI241*$F$18</f>
        <v>262.91171849838338</v>
      </c>
      <c r="AJ251" s="262">
        <f>AJ242*$R$18</f>
        <v>0</v>
      </c>
      <c r="AK251" s="262">
        <v>0</v>
      </c>
      <c r="AL251" s="273">
        <f t="shared" si="140"/>
        <v>262.91171849838338</v>
      </c>
    </row>
    <row r="252" spans="1:38" ht="14.4" customHeight="1">
      <c r="A252" s="547"/>
      <c r="B252" s="266" t="s">
        <v>40</v>
      </c>
      <c r="C252" s="267">
        <f>SUM(C240:C251)</f>
        <v>7171.7443245695431</v>
      </c>
      <c r="D252" s="267">
        <f t="shared" ref="D252:N252" si="143">SUM(D240:D251)</f>
        <v>0</v>
      </c>
      <c r="E252" s="267">
        <f t="shared" si="143"/>
        <v>4216.3078367913859</v>
      </c>
      <c r="F252" s="267">
        <f t="shared" si="143"/>
        <v>0</v>
      </c>
      <c r="G252" s="267">
        <f t="shared" si="143"/>
        <v>0</v>
      </c>
      <c r="H252" s="267">
        <f t="shared" si="143"/>
        <v>1103.5417545405014</v>
      </c>
      <c r="I252" s="267">
        <f t="shared" si="143"/>
        <v>12.337596024829276</v>
      </c>
      <c r="J252" s="267">
        <f t="shared" si="143"/>
        <v>0</v>
      </c>
      <c r="K252" s="267">
        <f t="shared" si="143"/>
        <v>0</v>
      </c>
      <c r="L252" s="267">
        <f t="shared" si="143"/>
        <v>0</v>
      </c>
      <c r="M252" s="267">
        <f t="shared" si="143"/>
        <v>0</v>
      </c>
      <c r="N252" s="267">
        <f t="shared" si="143"/>
        <v>0</v>
      </c>
      <c r="O252" s="267">
        <f>-O262</f>
        <v>-5211.7440176723476</v>
      </c>
      <c r="P252" s="267">
        <f>-P254</f>
        <v>0</v>
      </c>
      <c r="Q252" s="267">
        <f t="shared" ref="Q252" si="144">SUM(Q240:Q251)</f>
        <v>0</v>
      </c>
      <c r="R252" s="267">
        <f t="shared" si="139"/>
        <v>7292.1874942539116</v>
      </c>
      <c r="U252" s="547"/>
      <c r="V252" s="266" t="s">
        <v>40</v>
      </c>
      <c r="W252" s="267">
        <f>SUM(W240:W251)</f>
        <v>0</v>
      </c>
      <c r="X252" s="267">
        <f t="shared" ref="X252:AH252" si="145">SUM(X240:X251)</f>
        <v>0</v>
      </c>
      <c r="Y252" s="267">
        <f t="shared" si="145"/>
        <v>0</v>
      </c>
      <c r="Z252" s="267">
        <f t="shared" si="145"/>
        <v>0</v>
      </c>
      <c r="AA252" s="267">
        <f t="shared" si="145"/>
        <v>0</v>
      </c>
      <c r="AB252" s="267">
        <f t="shared" si="145"/>
        <v>3532.3055758349492</v>
      </c>
      <c r="AC252" s="267">
        <f t="shared" si="145"/>
        <v>1605.5934435613403</v>
      </c>
      <c r="AD252" s="267">
        <f t="shared" si="145"/>
        <v>1605.5934435613403</v>
      </c>
      <c r="AE252" s="267">
        <f t="shared" si="145"/>
        <v>4013.9836089033524</v>
      </c>
      <c r="AF252" s="267">
        <f t="shared" si="145"/>
        <v>0</v>
      </c>
      <c r="AG252" s="267">
        <f t="shared" si="145"/>
        <v>0</v>
      </c>
      <c r="AH252" s="267">
        <f t="shared" si="145"/>
        <v>0</v>
      </c>
      <c r="AI252" s="267">
        <f>-AI262</f>
        <v>-6118.1249561011282</v>
      </c>
      <c r="AJ252" s="267">
        <f>-AJ254</f>
        <v>0</v>
      </c>
      <c r="AK252" s="267">
        <f t="shared" ref="AK252" si="146">SUM(AK240:AK251)</f>
        <v>0</v>
      </c>
      <c r="AL252" s="267">
        <f t="shared" si="140"/>
        <v>4639.3511157598532</v>
      </c>
    </row>
    <row r="253" spans="1:38" ht="14.4" customHeight="1">
      <c r="A253" s="547"/>
      <c r="B253" s="268"/>
      <c r="C253" s="269"/>
      <c r="D253" s="269"/>
      <c r="E253" s="276"/>
      <c r="F253" s="269"/>
      <c r="G253" s="269"/>
      <c r="H253" s="269"/>
      <c r="I253" s="276"/>
      <c r="J253" s="269"/>
      <c r="K253" s="269"/>
      <c r="L253" s="269"/>
      <c r="M253" s="277"/>
      <c r="N253" s="269"/>
      <c r="O253" s="269"/>
      <c r="P253" s="269"/>
      <c r="Q253" s="269"/>
      <c r="R253" s="269"/>
      <c r="U253" s="547"/>
      <c r="V253" s="268"/>
      <c r="W253" s="269"/>
      <c r="X253" s="269"/>
      <c r="Y253" s="276"/>
      <c r="Z253" s="269"/>
      <c r="AA253" s="269"/>
      <c r="AB253" s="269"/>
      <c r="AC253" s="276"/>
      <c r="AD253" s="269"/>
      <c r="AE253" s="269"/>
      <c r="AF253" s="269"/>
      <c r="AG253" s="277"/>
      <c r="AH253" s="269"/>
      <c r="AI253" s="269"/>
      <c r="AJ253" s="269"/>
      <c r="AK253" s="269"/>
      <c r="AL253" s="269"/>
    </row>
    <row r="254" spans="1:38" ht="14.4" customHeight="1">
      <c r="A254" s="547"/>
      <c r="B254" s="271" t="s">
        <v>41</v>
      </c>
      <c r="C254" s="262">
        <f>Industrie!$H$45</f>
        <v>1853.3072074077133</v>
      </c>
      <c r="D254" s="262">
        <v>0</v>
      </c>
      <c r="E254" s="262">
        <f>Industrie!$H$42</f>
        <v>4240.7214895303969</v>
      </c>
      <c r="F254" s="262">
        <v>0</v>
      </c>
      <c r="G254" s="262">
        <v>0</v>
      </c>
      <c r="H254" s="262">
        <v>0</v>
      </c>
      <c r="I254" s="262">
        <v>0</v>
      </c>
      <c r="J254" s="262">
        <v>0</v>
      </c>
      <c r="K254" s="262">
        <v>0</v>
      </c>
      <c r="L254" s="262">
        <v>0</v>
      </c>
      <c r="M254" s="262">
        <v>0</v>
      </c>
      <c r="N254" s="262">
        <v>0</v>
      </c>
      <c r="O254" s="262">
        <f>Industrie!$H$46</f>
        <v>4133.0664131130161</v>
      </c>
      <c r="P254" s="262">
        <f>Industrie!$H$52</f>
        <v>0</v>
      </c>
      <c r="Q254" s="262">
        <v>0</v>
      </c>
      <c r="R254" s="273">
        <f>SUM(C254:Q254)</f>
        <v>10227.095110051127</v>
      </c>
      <c r="S254" s="473">
        <f>R262+R252</f>
        <v>24284.852427881036</v>
      </c>
      <c r="U254" s="547"/>
      <c r="V254" s="271" t="s">
        <v>41</v>
      </c>
      <c r="W254" s="470">
        <f>Industrie!$H$75</f>
        <v>274.28062538526581</v>
      </c>
      <c r="X254" s="470">
        <v>0</v>
      </c>
      <c r="Y254" s="470">
        <f>Industrie!$H$72</f>
        <v>482.71594636670494</v>
      </c>
      <c r="Z254" s="262">
        <v>0</v>
      </c>
      <c r="AA254" s="262">
        <v>0</v>
      </c>
      <c r="AB254" s="262">
        <v>0</v>
      </c>
      <c r="AC254" s="470">
        <f>Industrie!$H$85*V$13/SUM($V$13:$AA$13)</f>
        <v>445.00201350731732</v>
      </c>
      <c r="AD254" s="470">
        <f>Industrie!$H$85*W$13/SUM($V$13:$AA$13)</f>
        <v>0</v>
      </c>
      <c r="AE254" s="470">
        <f>Industrie!$H$85*X$13/SUM($V$13:$AA$13)</f>
        <v>0</v>
      </c>
      <c r="AF254" s="470">
        <f>Industrie!$H$85*Y$13/SUM($V$13:$AA$13)</f>
        <v>74.214539931635798</v>
      </c>
      <c r="AG254" s="470">
        <f>Industrie!$H$85*Z$13/SUM($V$13:$AA$13)</f>
        <v>0</v>
      </c>
      <c r="AH254" s="470">
        <f>Industrie!$H$85*AA$13/SUM($V$13:$AA$13)</f>
        <v>1.5129849714433639</v>
      </c>
      <c r="AI254" s="262">
        <f>Industrie!$H$76</f>
        <v>5221.6910046202784</v>
      </c>
      <c r="AJ254" s="262">
        <f>Industrie!$H$86</f>
        <v>0</v>
      </c>
      <c r="AK254" s="262">
        <v>0</v>
      </c>
      <c r="AL254" s="273">
        <f>SUM(W254:AK254)</f>
        <v>6499.4171147826455</v>
      </c>
    </row>
    <row r="255" spans="1:38" ht="14.4" customHeight="1">
      <c r="A255" s="547"/>
      <c r="B255" s="271" t="s">
        <v>42</v>
      </c>
      <c r="C255" s="262">
        <v>0</v>
      </c>
      <c r="D255" s="262">
        <v>0</v>
      </c>
      <c r="E255" s="262">
        <f>Transports!$J$49+Transports!$H$106+Transports!$H$203</f>
        <v>2309.8313832899607</v>
      </c>
      <c r="F255" s="262">
        <v>0</v>
      </c>
      <c r="G255" s="262">
        <v>0</v>
      </c>
      <c r="H255" s="262">
        <v>0</v>
      </c>
      <c r="I255" s="262">
        <v>0</v>
      </c>
      <c r="J255" s="262">
        <v>0</v>
      </c>
      <c r="K255" s="262">
        <v>0</v>
      </c>
      <c r="L255" s="262">
        <v>0</v>
      </c>
      <c r="M255" s="262">
        <v>0</v>
      </c>
      <c r="N255" s="262">
        <v>0</v>
      </c>
      <c r="O255" s="262">
        <f>Transports!$J$50+Transports!$H$107</f>
        <v>111.84291543758545</v>
      </c>
      <c r="P255" s="262">
        <v>0</v>
      </c>
      <c r="Q255" s="262">
        <v>0</v>
      </c>
      <c r="R255" s="273">
        <f t="shared" ref="R255:R262" si="147">SUM(C255:Q255)</f>
        <v>2421.6742987275461</v>
      </c>
      <c r="U255" s="547"/>
      <c r="V255" s="271" t="s">
        <v>42</v>
      </c>
      <c r="W255" s="262">
        <v>0</v>
      </c>
      <c r="X255" s="262">
        <v>0</v>
      </c>
      <c r="Y255" s="262">
        <f>Transports!$J76+Transports!$H$150+Transports!$H$238</f>
        <v>1009.6690626785219</v>
      </c>
      <c r="Z255" s="262">
        <v>0</v>
      </c>
      <c r="AA255" s="262">
        <v>0</v>
      </c>
      <c r="AB255" s="262">
        <v>0</v>
      </c>
      <c r="AC255" s="262">
        <v>0</v>
      </c>
      <c r="AD255" s="262">
        <v>0</v>
      </c>
      <c r="AE255" s="262">
        <f>Transports!$H$236+Transports!$H$237</f>
        <v>25.299380537402275</v>
      </c>
      <c r="AF255" s="262">
        <v>0</v>
      </c>
      <c r="AG255" s="262">
        <v>0</v>
      </c>
      <c r="AH255" s="262">
        <v>0</v>
      </c>
      <c r="AI255" s="262">
        <f>Transports!$J$77+Transports!$H$151</f>
        <v>580.08183794037905</v>
      </c>
      <c r="AJ255" s="262">
        <v>0</v>
      </c>
      <c r="AK255" s="262">
        <v>0</v>
      </c>
      <c r="AL255" s="273">
        <f t="shared" ref="AL255:AL262" si="148">SUM(W255:AK255)</f>
        <v>1615.0502811563033</v>
      </c>
    </row>
    <row r="256" spans="1:38" ht="14.4" customHeight="1">
      <c r="A256" s="547"/>
      <c r="B256" s="271" t="s">
        <v>43</v>
      </c>
      <c r="C256" s="262">
        <v>0</v>
      </c>
      <c r="D256" s="262">
        <v>0</v>
      </c>
      <c r="E256" s="262">
        <f>'Résidentiel-tertiaire'!$H$167</f>
        <v>206.10718230498406</v>
      </c>
      <c r="F256" s="262">
        <v>0</v>
      </c>
      <c r="G256" s="262">
        <v>0</v>
      </c>
      <c r="H256" s="262">
        <v>0</v>
      </c>
      <c r="I256" s="262">
        <f>'Résidentiel-tertiaire'!$H$168*$I$51/SUM($I$51:$N$51)</f>
        <v>0</v>
      </c>
      <c r="J256" s="262">
        <f>'Résidentiel-tertiaire'!$H$168*$J$51/SUM($I$51:$N$51)</f>
        <v>0</v>
      </c>
      <c r="K256" s="262">
        <f>'Résidentiel-tertiaire'!$H$168*$K$51/SUM($I$51:$N$51)</f>
        <v>0</v>
      </c>
      <c r="L256" s="262">
        <f>'Résidentiel-tertiaire'!$H$168*$L$51/SUM($I$51:$N$51)</f>
        <v>0</v>
      </c>
      <c r="M256" s="262">
        <f>'Résidentiel-tertiaire'!$H$168*$M$51/SUM($I$51:$N$51)</f>
        <v>0</v>
      </c>
      <c r="N256" s="262">
        <f>'Résidentiel-tertiaire'!$H$168*$N$51/SUM($I$51:$N$51)</f>
        <v>56.061153586955669</v>
      </c>
      <c r="O256" s="262">
        <f>'Résidentiel-tertiaire'!$H$169</f>
        <v>419.23228758441132</v>
      </c>
      <c r="P256" s="262">
        <v>0</v>
      </c>
      <c r="Q256" s="262">
        <v>0</v>
      </c>
      <c r="R256" s="273">
        <f t="shared" si="147"/>
        <v>681.40062347635103</v>
      </c>
      <c r="U256" s="547"/>
      <c r="V256" s="271" t="s">
        <v>43</v>
      </c>
      <c r="W256" s="262">
        <v>0</v>
      </c>
      <c r="X256" s="262">
        <v>0</v>
      </c>
      <c r="Y256" s="262">
        <f>'Résidentiel-tertiaire'!$H$181</f>
        <v>27.136666666666656</v>
      </c>
      <c r="Z256" s="262">
        <v>0</v>
      </c>
      <c r="AA256" s="262">
        <v>0</v>
      </c>
      <c r="AB256" s="262">
        <v>0</v>
      </c>
      <c r="AC256" s="262">
        <f>'Résidentiel-tertiaire'!$H$182*$AC$51/SUM($I$51:$N$51)</f>
        <v>0</v>
      </c>
      <c r="AD256" s="262">
        <f>'Résidentiel-tertiaire'!$H$182*$AD$51/SUM($I$51:$N$51)</f>
        <v>0</v>
      </c>
      <c r="AE256" s="262">
        <f>'Résidentiel-tertiaire'!$H$182*$AE$51/SUM($I$51:$N$51)</f>
        <v>0</v>
      </c>
      <c r="AF256" s="262">
        <f>'Résidentiel-tertiaire'!$H$182*$AF$51/SUM($I$51:$N$51)</f>
        <v>0</v>
      </c>
      <c r="AG256" s="262">
        <f>'Résidentiel-tertiaire'!$H$182*$AG$51/SUM($I$51:$N$51)</f>
        <v>0</v>
      </c>
      <c r="AH256" s="262">
        <f>'Résidentiel-tertiaire'!$H$182*$AH$51/SUM($I$51:$N$51)</f>
        <v>47.46269565520727</v>
      </c>
      <c r="AI256" s="262">
        <f>'Résidentiel-tertiaire'!$H$183</f>
        <v>168.55255738263867</v>
      </c>
      <c r="AJ256" s="262">
        <v>0</v>
      </c>
      <c r="AK256" s="262">
        <v>0</v>
      </c>
      <c r="AL256" s="273">
        <f t="shared" si="148"/>
        <v>243.15191970451258</v>
      </c>
    </row>
    <row r="257" spans="1:38" ht="14.4" customHeight="1">
      <c r="A257" s="547"/>
      <c r="B257" s="271" t="s">
        <v>44</v>
      </c>
      <c r="C257" s="262">
        <v>0</v>
      </c>
      <c r="D257" s="262">
        <v>0</v>
      </c>
      <c r="E257" s="262">
        <f>'Résidentiel-tertiaire'!$H$172</f>
        <v>0</v>
      </c>
      <c r="F257" s="262">
        <v>0</v>
      </c>
      <c r="G257" s="262">
        <v>0</v>
      </c>
      <c r="H257" s="262">
        <v>0</v>
      </c>
      <c r="I257" s="262">
        <v>0</v>
      </c>
      <c r="J257" s="262">
        <v>0</v>
      </c>
      <c r="K257" s="262">
        <v>0</v>
      </c>
      <c r="L257" s="262">
        <v>0</v>
      </c>
      <c r="M257" s="262">
        <v>0</v>
      </c>
      <c r="N257" s="262">
        <v>0</v>
      </c>
      <c r="O257" s="262">
        <f>'Résidentiel-tertiaire'!$H$174</f>
        <v>547.60240153733514</v>
      </c>
      <c r="P257" s="262">
        <v>0</v>
      </c>
      <c r="Q257" s="262">
        <v>0</v>
      </c>
      <c r="R257" s="273">
        <f t="shared" si="147"/>
        <v>547.60240153733514</v>
      </c>
      <c r="U257" s="547"/>
      <c r="V257" s="271" t="s">
        <v>44</v>
      </c>
      <c r="W257" s="262">
        <v>0</v>
      </c>
      <c r="X257" s="262">
        <v>0</v>
      </c>
      <c r="Y257" s="262">
        <f>'Résidentiel-tertiaire'!$H$186</f>
        <v>0</v>
      </c>
      <c r="Z257" s="262">
        <v>0</v>
      </c>
      <c r="AA257" s="262">
        <v>0</v>
      </c>
      <c r="AB257" s="262">
        <v>0</v>
      </c>
      <c r="AC257" s="470">
        <v>0</v>
      </c>
      <c r="AD257" s="470">
        <v>0</v>
      </c>
      <c r="AE257" s="470">
        <v>0</v>
      </c>
      <c r="AF257" s="470">
        <v>0</v>
      </c>
      <c r="AG257" s="470">
        <v>0</v>
      </c>
      <c r="AH257" s="470">
        <v>0</v>
      </c>
      <c r="AI257" s="262">
        <f>'Résidentiel-tertiaire'!$H$188</f>
        <v>147.79955615783183</v>
      </c>
      <c r="AJ257" s="262">
        <v>0</v>
      </c>
      <c r="AK257" s="262">
        <v>0</v>
      </c>
      <c r="AL257" s="273">
        <f t="shared" si="148"/>
        <v>147.79955615783183</v>
      </c>
    </row>
    <row r="258" spans="1:38" ht="14.4" customHeight="1">
      <c r="A258" s="547"/>
      <c r="B258" s="271" t="s">
        <v>4</v>
      </c>
      <c r="C258" s="262">
        <v>0</v>
      </c>
      <c r="D258" s="262">
        <v>0</v>
      </c>
      <c r="E258" s="262">
        <f>Agriculture!$V$27</f>
        <v>64.772976399583769</v>
      </c>
      <c r="F258" s="262">
        <v>0</v>
      </c>
      <c r="G258" s="262">
        <v>0</v>
      </c>
      <c r="H258" s="262">
        <v>0</v>
      </c>
      <c r="I258" s="262">
        <v>0</v>
      </c>
      <c r="J258" s="262">
        <v>0</v>
      </c>
      <c r="K258" s="262">
        <v>0</v>
      </c>
      <c r="L258" s="262">
        <v>0</v>
      </c>
      <c r="M258" s="262">
        <v>0</v>
      </c>
      <c r="N258" s="262">
        <v>0</v>
      </c>
      <c r="O258" s="262">
        <f>Agriculture!$V$28</f>
        <v>0</v>
      </c>
      <c r="P258" s="262">
        <v>0</v>
      </c>
      <c r="Q258" s="262">
        <v>0</v>
      </c>
      <c r="R258" s="273">
        <f t="shared" si="147"/>
        <v>64.772976399583769</v>
      </c>
      <c r="U258" s="547"/>
      <c r="V258" s="271" t="s">
        <v>4</v>
      </c>
      <c r="W258" s="262">
        <v>0</v>
      </c>
      <c r="X258" s="262">
        <v>0</v>
      </c>
      <c r="Y258" s="262">
        <f>Agriculture!$AC$43</f>
        <v>10.129354838709681</v>
      </c>
      <c r="Z258" s="262">
        <v>0</v>
      </c>
      <c r="AA258" s="262">
        <v>0</v>
      </c>
      <c r="AB258" s="262">
        <v>0</v>
      </c>
      <c r="AC258" s="262">
        <v>0</v>
      </c>
      <c r="AD258" s="262">
        <v>0</v>
      </c>
      <c r="AE258" s="262">
        <f>Agriculture!$AC$45</f>
        <v>32.709712645161289</v>
      </c>
      <c r="AF258" s="262">
        <v>0</v>
      </c>
      <c r="AG258" s="262">
        <v>0</v>
      </c>
      <c r="AH258" s="262">
        <v>0</v>
      </c>
      <c r="AI258" s="262">
        <f>Agriculture!$AC$44</f>
        <v>0</v>
      </c>
      <c r="AJ258" s="262">
        <v>0</v>
      </c>
      <c r="AK258" s="262">
        <v>0</v>
      </c>
      <c r="AL258" s="273">
        <f t="shared" si="148"/>
        <v>42.83906748387097</v>
      </c>
    </row>
    <row r="259" spans="1:38" ht="14.4" customHeight="1">
      <c r="A259" s="547"/>
      <c r="B259" s="271" t="s">
        <v>385</v>
      </c>
      <c r="C259" s="262">
        <v>0</v>
      </c>
      <c r="D259" s="262">
        <v>0</v>
      </c>
      <c r="E259" s="262">
        <v>0</v>
      </c>
      <c r="F259" s="262">
        <v>0</v>
      </c>
      <c r="G259" s="262">
        <v>0</v>
      </c>
      <c r="H259" s="262">
        <v>0</v>
      </c>
      <c r="I259" s="262">
        <v>0</v>
      </c>
      <c r="J259" s="262">
        <v>0</v>
      </c>
      <c r="K259" s="262">
        <v>0</v>
      </c>
      <c r="L259" s="262">
        <v>0</v>
      </c>
      <c r="M259" s="262">
        <v>0</v>
      </c>
      <c r="N259" s="262">
        <v>0</v>
      </c>
      <c r="O259" s="262">
        <v>0</v>
      </c>
      <c r="P259" s="262">
        <v>0</v>
      </c>
      <c r="Q259" s="262">
        <v>0</v>
      </c>
      <c r="R259" s="273">
        <f t="shared" si="147"/>
        <v>0</v>
      </c>
      <c r="U259" s="547"/>
      <c r="V259" s="271" t="s">
        <v>385</v>
      </c>
      <c r="W259" s="262">
        <v>0</v>
      </c>
      <c r="X259" s="262">
        <v>0</v>
      </c>
      <c r="Y259" s="262">
        <v>0</v>
      </c>
      <c r="Z259" s="262">
        <v>0</v>
      </c>
      <c r="AA259" s="262">
        <v>0</v>
      </c>
      <c r="AB259" s="262">
        <v>0</v>
      </c>
      <c r="AC259" s="262">
        <v>0</v>
      </c>
      <c r="AD259" s="262">
        <v>0</v>
      </c>
      <c r="AE259" s="262">
        <v>0</v>
      </c>
      <c r="AF259" s="262">
        <v>0</v>
      </c>
      <c r="AG259" s="262">
        <v>0</v>
      </c>
      <c r="AH259" s="262">
        <v>0</v>
      </c>
      <c r="AI259" s="262">
        <v>0</v>
      </c>
      <c r="AJ259" s="262">
        <v>0</v>
      </c>
      <c r="AK259" s="262">
        <v>0</v>
      </c>
      <c r="AL259" s="273">
        <f t="shared" si="148"/>
        <v>0</v>
      </c>
    </row>
    <row r="260" spans="1:38" ht="14.4" customHeight="1">
      <c r="A260" s="547"/>
      <c r="B260" s="266" t="s">
        <v>45</v>
      </c>
      <c r="C260" s="267">
        <f>SUM(C254:C259)</f>
        <v>1853.3072074077133</v>
      </c>
      <c r="D260" s="267">
        <f t="shared" ref="D260:Q260" si="149">SUM(D254:D259)</f>
        <v>0</v>
      </c>
      <c r="E260" s="267">
        <f t="shared" si="149"/>
        <v>6821.4330315249254</v>
      </c>
      <c r="F260" s="267">
        <f t="shared" si="149"/>
        <v>0</v>
      </c>
      <c r="G260" s="267">
        <f t="shared" si="149"/>
        <v>0</v>
      </c>
      <c r="H260" s="267">
        <f t="shared" si="149"/>
        <v>0</v>
      </c>
      <c r="I260" s="267">
        <f t="shared" si="149"/>
        <v>0</v>
      </c>
      <c r="J260" s="267">
        <f t="shared" si="149"/>
        <v>0</v>
      </c>
      <c r="K260" s="267">
        <f t="shared" si="149"/>
        <v>0</v>
      </c>
      <c r="L260" s="267">
        <f t="shared" si="149"/>
        <v>0</v>
      </c>
      <c r="M260" s="267">
        <f t="shared" si="149"/>
        <v>0</v>
      </c>
      <c r="N260" s="267">
        <f t="shared" si="149"/>
        <v>56.061153586955669</v>
      </c>
      <c r="O260" s="267">
        <f t="shared" si="149"/>
        <v>5211.7440176723476</v>
      </c>
      <c r="P260" s="267">
        <f t="shared" si="149"/>
        <v>0</v>
      </c>
      <c r="Q260" s="267">
        <f t="shared" si="149"/>
        <v>0</v>
      </c>
      <c r="R260" s="267">
        <f t="shared" si="147"/>
        <v>13942.545410191942</v>
      </c>
      <c r="U260" s="547"/>
      <c r="V260" s="266" t="s">
        <v>45</v>
      </c>
      <c r="W260" s="267">
        <f>SUM(W254:W259)</f>
        <v>274.28062538526581</v>
      </c>
      <c r="X260" s="267">
        <f t="shared" ref="X260:AK260" si="150">SUM(X254:X259)</f>
        <v>0</v>
      </c>
      <c r="Y260" s="267">
        <f t="shared" si="150"/>
        <v>1529.6510305506031</v>
      </c>
      <c r="Z260" s="267">
        <f t="shared" si="150"/>
        <v>0</v>
      </c>
      <c r="AA260" s="267">
        <f t="shared" si="150"/>
        <v>0</v>
      </c>
      <c r="AB260" s="267">
        <f t="shared" si="150"/>
        <v>0</v>
      </c>
      <c r="AC260" s="267">
        <f t="shared" si="150"/>
        <v>445.00201350731732</v>
      </c>
      <c r="AD260" s="267">
        <f t="shared" si="150"/>
        <v>0</v>
      </c>
      <c r="AE260" s="267">
        <f t="shared" si="150"/>
        <v>58.009093182563561</v>
      </c>
      <c r="AF260" s="267">
        <f t="shared" si="150"/>
        <v>74.214539931635798</v>
      </c>
      <c r="AG260" s="267">
        <f t="shared" si="150"/>
        <v>0</v>
      </c>
      <c r="AH260" s="267">
        <f t="shared" si="150"/>
        <v>48.975680626650636</v>
      </c>
      <c r="AI260" s="267">
        <f t="shared" si="150"/>
        <v>6118.1249561011282</v>
      </c>
      <c r="AJ260" s="267">
        <f t="shared" si="150"/>
        <v>0</v>
      </c>
      <c r="AK260" s="267">
        <f t="shared" si="150"/>
        <v>0</v>
      </c>
      <c r="AL260" s="267">
        <f t="shared" si="148"/>
        <v>8548.257939285164</v>
      </c>
    </row>
    <row r="261" spans="1:38" ht="14.4" customHeight="1">
      <c r="A261" s="547"/>
      <c r="B261" s="261" t="s">
        <v>46</v>
      </c>
      <c r="C261" s="470">
        <f>Industrie!$H$50</f>
        <v>2764.2860735364802</v>
      </c>
      <c r="D261" s="262">
        <v>0</v>
      </c>
      <c r="E261" s="262">
        <f>Industrie!$H$49</f>
        <v>285.83344989870204</v>
      </c>
      <c r="F261" s="262">
        <v>0</v>
      </c>
      <c r="G261" s="262">
        <v>0</v>
      </c>
      <c r="H261" s="262">
        <v>0</v>
      </c>
      <c r="I261" s="262">
        <v>0</v>
      </c>
      <c r="J261" s="262">
        <v>0</v>
      </c>
      <c r="K261" s="262">
        <v>0</v>
      </c>
      <c r="L261" s="262">
        <v>0</v>
      </c>
      <c r="M261" s="262">
        <v>0</v>
      </c>
      <c r="N261" s="262">
        <v>0</v>
      </c>
      <c r="O261" s="262">
        <v>0</v>
      </c>
      <c r="P261" s="262">
        <v>0</v>
      </c>
      <c r="Q261" s="262">
        <v>0</v>
      </c>
      <c r="R261" s="273">
        <f t="shared" si="147"/>
        <v>3050.1195234351821</v>
      </c>
      <c r="U261" s="547"/>
      <c r="V261" s="261" t="s">
        <v>46</v>
      </c>
      <c r="W261" s="470">
        <f>Industrie!$H$82</f>
        <v>2005.0807434806866</v>
      </c>
      <c r="X261" s="262">
        <v>0</v>
      </c>
      <c r="Y261" s="262">
        <f>Industrie!$H$80</f>
        <v>157.7998153442789</v>
      </c>
      <c r="Z261" s="262">
        <v>0</v>
      </c>
      <c r="AA261" s="262">
        <v>0</v>
      </c>
      <c r="AB261" s="262">
        <v>0</v>
      </c>
      <c r="AC261" s="470">
        <f>Industrie!$H$84</f>
        <v>39.449953836069717</v>
      </c>
      <c r="AD261" s="262">
        <v>0</v>
      </c>
      <c r="AE261" s="262">
        <v>0</v>
      </c>
      <c r="AF261" s="262">
        <v>0</v>
      </c>
      <c r="AG261" s="262">
        <v>0</v>
      </c>
      <c r="AH261" s="262">
        <v>0</v>
      </c>
      <c r="AI261" s="262">
        <v>0</v>
      </c>
      <c r="AJ261" s="262">
        <v>0</v>
      </c>
      <c r="AK261" s="262">
        <v>0</v>
      </c>
      <c r="AL261" s="273">
        <f t="shared" si="148"/>
        <v>2202.3305126610353</v>
      </c>
    </row>
    <row r="262" spans="1:38" ht="14.4" customHeight="1">
      <c r="A262" s="547"/>
      <c r="B262" s="266" t="s">
        <v>47</v>
      </c>
      <c r="C262" s="267">
        <f>C261+C260</f>
        <v>4617.5932809441938</v>
      </c>
      <c r="D262" s="267">
        <f t="shared" ref="D262:Q262" si="151">D261+D260</f>
        <v>0</v>
      </c>
      <c r="E262" s="267">
        <f t="shared" si="151"/>
        <v>7107.2664814236277</v>
      </c>
      <c r="F262" s="267">
        <f t="shared" si="151"/>
        <v>0</v>
      </c>
      <c r="G262" s="267">
        <f t="shared" si="151"/>
        <v>0</v>
      </c>
      <c r="H262" s="267">
        <f t="shared" si="151"/>
        <v>0</v>
      </c>
      <c r="I262" s="267">
        <f t="shared" si="151"/>
        <v>0</v>
      </c>
      <c r="J262" s="267">
        <f t="shared" si="151"/>
        <v>0</v>
      </c>
      <c r="K262" s="267">
        <f t="shared" si="151"/>
        <v>0</v>
      </c>
      <c r="L262" s="267">
        <f t="shared" si="151"/>
        <v>0</v>
      </c>
      <c r="M262" s="267">
        <f t="shared" si="151"/>
        <v>0</v>
      </c>
      <c r="N262" s="267">
        <f t="shared" si="151"/>
        <v>56.061153586955669</v>
      </c>
      <c r="O262" s="267">
        <f t="shared" si="151"/>
        <v>5211.7440176723476</v>
      </c>
      <c r="P262" s="267">
        <f t="shared" si="151"/>
        <v>0</v>
      </c>
      <c r="Q262" s="267">
        <f t="shared" si="151"/>
        <v>0</v>
      </c>
      <c r="R262" s="267">
        <f t="shared" si="147"/>
        <v>16992.664933627126</v>
      </c>
      <c r="U262" s="547"/>
      <c r="V262" s="266" t="s">
        <v>47</v>
      </c>
      <c r="W262" s="267">
        <f>W261+W260</f>
        <v>2279.3613688659525</v>
      </c>
      <c r="X262" s="267">
        <f t="shared" ref="X262:AK262" si="152">X261+X260</f>
        <v>0</v>
      </c>
      <c r="Y262" s="267">
        <f t="shared" si="152"/>
        <v>1687.4508458948819</v>
      </c>
      <c r="Z262" s="267">
        <f t="shared" si="152"/>
        <v>0</v>
      </c>
      <c r="AA262" s="267">
        <f t="shared" si="152"/>
        <v>0</v>
      </c>
      <c r="AB262" s="267">
        <f t="shared" si="152"/>
        <v>0</v>
      </c>
      <c r="AC262" s="267">
        <f t="shared" si="152"/>
        <v>484.45196734338703</v>
      </c>
      <c r="AD262" s="267">
        <f t="shared" si="152"/>
        <v>0</v>
      </c>
      <c r="AE262" s="267">
        <f t="shared" si="152"/>
        <v>58.009093182563561</v>
      </c>
      <c r="AF262" s="267">
        <f t="shared" si="152"/>
        <v>74.214539931635798</v>
      </c>
      <c r="AG262" s="267">
        <f t="shared" si="152"/>
        <v>0</v>
      </c>
      <c r="AH262" s="267">
        <f t="shared" si="152"/>
        <v>48.975680626650636</v>
      </c>
      <c r="AI262" s="267">
        <f t="shared" si="152"/>
        <v>6118.1249561011282</v>
      </c>
      <c r="AJ262" s="267">
        <f t="shared" si="152"/>
        <v>0</v>
      </c>
      <c r="AK262" s="267">
        <f t="shared" si="152"/>
        <v>0</v>
      </c>
      <c r="AL262" s="267">
        <f t="shared" si="148"/>
        <v>10750.5884519462</v>
      </c>
    </row>
    <row r="271" spans="1:38" ht="14.4" customHeight="1">
      <c r="A271" s="547">
        <v>2050</v>
      </c>
      <c r="B271" s="548" t="s">
        <v>12</v>
      </c>
      <c r="C271" s="549" t="s">
        <v>14</v>
      </c>
      <c r="D271" s="549" t="s">
        <v>15</v>
      </c>
      <c r="E271" s="549" t="s">
        <v>16</v>
      </c>
      <c r="F271" s="549" t="s">
        <v>17</v>
      </c>
      <c r="G271" s="549" t="s">
        <v>370</v>
      </c>
      <c r="H271" s="549" t="s">
        <v>18</v>
      </c>
      <c r="I271" s="549" t="s">
        <v>19</v>
      </c>
      <c r="J271" s="549"/>
      <c r="K271" s="549"/>
      <c r="L271" s="549"/>
      <c r="M271" s="549"/>
      <c r="N271" s="549"/>
      <c r="O271" s="550" t="s">
        <v>371</v>
      </c>
      <c r="P271" s="550" t="s">
        <v>21</v>
      </c>
      <c r="Q271" s="550" t="s">
        <v>372</v>
      </c>
      <c r="R271" s="550" t="s">
        <v>23</v>
      </c>
      <c r="U271" s="547">
        <v>2050</v>
      </c>
      <c r="V271" s="555" t="s">
        <v>12</v>
      </c>
      <c r="W271" s="550" t="s">
        <v>14</v>
      </c>
      <c r="X271" s="550" t="s">
        <v>15</v>
      </c>
      <c r="Y271" s="550" t="s">
        <v>16</v>
      </c>
      <c r="Z271" s="550" t="s">
        <v>17</v>
      </c>
      <c r="AA271" s="550" t="s">
        <v>370</v>
      </c>
      <c r="AB271" s="550" t="s">
        <v>18</v>
      </c>
      <c r="AC271" s="552" t="s">
        <v>19</v>
      </c>
      <c r="AD271" s="553"/>
      <c r="AE271" s="553"/>
      <c r="AF271" s="553"/>
      <c r="AG271" s="553"/>
      <c r="AH271" s="554"/>
      <c r="AI271" s="550" t="s">
        <v>371</v>
      </c>
      <c r="AJ271" s="550" t="s">
        <v>21</v>
      </c>
      <c r="AK271" s="550" t="s">
        <v>372</v>
      </c>
      <c r="AL271" s="550" t="s">
        <v>23</v>
      </c>
    </row>
    <row r="272" spans="1:38" ht="45.6">
      <c r="A272" s="547"/>
      <c r="B272" s="548"/>
      <c r="C272" s="549"/>
      <c r="D272" s="549"/>
      <c r="E272" s="549"/>
      <c r="F272" s="549"/>
      <c r="G272" s="549"/>
      <c r="H272" s="549"/>
      <c r="I272" s="259" t="s">
        <v>359</v>
      </c>
      <c r="J272" s="259" t="s">
        <v>7</v>
      </c>
      <c r="K272" s="259" t="s">
        <v>360</v>
      </c>
      <c r="L272" s="259" t="s">
        <v>373</v>
      </c>
      <c r="M272" s="260" t="s">
        <v>374</v>
      </c>
      <c r="N272" s="259" t="s">
        <v>375</v>
      </c>
      <c r="O272" s="550"/>
      <c r="P272" s="550"/>
      <c r="Q272" s="550"/>
      <c r="R272" s="550"/>
      <c r="U272" s="547"/>
      <c r="V272" s="556"/>
      <c r="W272" s="551"/>
      <c r="X272" s="551"/>
      <c r="Y272" s="551"/>
      <c r="Z272" s="551"/>
      <c r="AA272" s="551"/>
      <c r="AB272" s="551"/>
      <c r="AC272" s="259" t="s">
        <v>359</v>
      </c>
      <c r="AD272" s="259" t="s">
        <v>7</v>
      </c>
      <c r="AE272" s="259" t="s">
        <v>360</v>
      </c>
      <c r="AF272" s="259" t="s">
        <v>373</v>
      </c>
      <c r="AG272" s="260" t="s">
        <v>374</v>
      </c>
      <c r="AH272" s="259" t="s">
        <v>375</v>
      </c>
      <c r="AI272" s="551"/>
      <c r="AJ272" s="551"/>
      <c r="AK272" s="551"/>
      <c r="AL272" s="550"/>
    </row>
    <row r="273" spans="1:38" ht="14.4" customHeight="1">
      <c r="A273" s="547"/>
      <c r="B273" s="261" t="s">
        <v>24</v>
      </c>
      <c r="C273" s="262">
        <v>0</v>
      </c>
      <c r="D273" s="263">
        <v>0</v>
      </c>
      <c r="E273" s="263">
        <v>0</v>
      </c>
      <c r="F273" s="262">
        <v>0</v>
      </c>
      <c r="G273" s="263">
        <v>0</v>
      </c>
      <c r="H273" s="263">
        <f>H279</f>
        <v>1103.5417545405016</v>
      </c>
      <c r="I273" s="263">
        <f>I279</f>
        <v>12.337596024829276</v>
      </c>
      <c r="J273" s="263">
        <v>0</v>
      </c>
      <c r="K273" s="263">
        <v>0</v>
      </c>
      <c r="L273" s="263">
        <f>L279</f>
        <v>0</v>
      </c>
      <c r="M273" s="263">
        <v>0</v>
      </c>
      <c r="N273" s="263">
        <f>N279</f>
        <v>59.237913892139481</v>
      </c>
      <c r="O273" s="264">
        <v>0</v>
      </c>
      <c r="P273" s="263">
        <v>0</v>
      </c>
      <c r="Q273" s="263">
        <v>0</v>
      </c>
      <c r="R273" s="265">
        <f>SUM(C273:Q273)</f>
        <v>1175.1172644574704</v>
      </c>
      <c r="U273" s="547"/>
      <c r="V273" s="261" t="s">
        <v>24</v>
      </c>
      <c r="W273" s="262">
        <v>0</v>
      </c>
      <c r="X273" s="263">
        <v>0</v>
      </c>
      <c r="Y273" s="263">
        <v>0</v>
      </c>
      <c r="Z273" s="262">
        <v>0</v>
      </c>
      <c r="AA273" s="263">
        <v>0</v>
      </c>
      <c r="AB273" s="263">
        <f>AB279</f>
        <v>3823.3162011761683</v>
      </c>
      <c r="AC273" s="471">
        <f>IF((AC279-$AC$27)&gt;0,$AC$27+(AC279-$AC$27)*0.5,AC279)</f>
        <v>1053.0327874378256</v>
      </c>
      <c r="AD273" s="471">
        <f>AD279</f>
        <v>1737.8710005346218</v>
      </c>
      <c r="AE273" s="471">
        <f>IF((AE279-$AE$27)&gt;0,$AE$27+(AE279-AE276-AE277-$AE$27)*0.5,AE279-AE276-AE$72)</f>
        <v>2274.9709491288449</v>
      </c>
      <c r="AF273" s="263">
        <f>AF279</f>
        <v>54.216081264363446</v>
      </c>
      <c r="AG273" s="263">
        <v>0</v>
      </c>
      <c r="AH273" s="263">
        <f>AH279</f>
        <v>38.75193998906304</v>
      </c>
      <c r="AI273" s="264">
        <v>0</v>
      </c>
      <c r="AJ273" s="263">
        <v>0</v>
      </c>
      <c r="AK273" s="263">
        <v>0</v>
      </c>
      <c r="AL273" s="265">
        <f>SUM(W273:AK273)</f>
        <v>8982.1589595308869</v>
      </c>
    </row>
    <row r="274" spans="1:38" ht="14.4" customHeight="1">
      <c r="A274" s="547"/>
      <c r="B274" s="261" t="s">
        <v>28</v>
      </c>
      <c r="C274" s="470">
        <f>C279</f>
        <v>11937.404261264126</v>
      </c>
      <c r="D274" s="263">
        <f>D279</f>
        <v>0</v>
      </c>
      <c r="E274" s="471">
        <f>E279-E276-E277</f>
        <v>11920.089935882261</v>
      </c>
      <c r="F274" s="262">
        <v>0</v>
      </c>
      <c r="G274" s="263">
        <v>0</v>
      </c>
      <c r="H274" s="263">
        <v>0</v>
      </c>
      <c r="I274" s="263">
        <v>0</v>
      </c>
      <c r="J274" s="263">
        <v>0</v>
      </c>
      <c r="K274" s="263">
        <f>K279</f>
        <v>0</v>
      </c>
      <c r="L274" s="263">
        <v>0</v>
      </c>
      <c r="M274" s="263">
        <v>0</v>
      </c>
      <c r="N274" s="263">
        <v>0</v>
      </c>
      <c r="O274" s="264">
        <v>0</v>
      </c>
      <c r="P274" s="263">
        <v>0</v>
      </c>
      <c r="Q274" s="263">
        <v>0</v>
      </c>
      <c r="R274" s="265">
        <f t="shared" ref="R274:R279" si="153">SUM(C274:Q274)</f>
        <v>23857.494197146385</v>
      </c>
      <c r="U274" s="547"/>
      <c r="V274" s="261" t="s">
        <v>28</v>
      </c>
      <c r="W274" s="262">
        <f>W279</f>
        <v>1998.7931119013181</v>
      </c>
      <c r="X274" s="263">
        <f>X279</f>
        <v>0</v>
      </c>
      <c r="Y274" s="471">
        <f>Y279-Y276-Y277</f>
        <v>904.81547268277041</v>
      </c>
      <c r="Z274" s="470">
        <v>0</v>
      </c>
      <c r="AA274" s="471">
        <v>0</v>
      </c>
      <c r="AB274" s="471">
        <v>0</v>
      </c>
      <c r="AC274" s="471">
        <f>IF((AC279-$AC$27)&gt;0,(AC279-$AC$27)*0.5,0)</f>
        <v>1053.0327874378256</v>
      </c>
      <c r="AD274" s="471">
        <v>0</v>
      </c>
      <c r="AE274" s="471">
        <f>IF((AE279-AE276-AE277-$AE$27)&gt;0,(AE279-AE276-AE277-$AE$27)*0.5,0)</f>
        <v>2274.9709491288449</v>
      </c>
      <c r="AF274" s="263">
        <v>0</v>
      </c>
      <c r="AG274" s="263">
        <v>0</v>
      </c>
      <c r="AH274" s="263">
        <v>0</v>
      </c>
      <c r="AI274" s="264">
        <v>0</v>
      </c>
      <c r="AJ274" s="263">
        <v>0</v>
      </c>
      <c r="AK274" s="263">
        <v>0</v>
      </c>
      <c r="AL274" s="265">
        <f t="shared" ref="AL274:AL279" si="154">SUM(W274:AK274)</f>
        <v>6231.6123211507593</v>
      </c>
    </row>
    <row r="275" spans="1:38" ht="14.4" customHeight="1">
      <c r="A275" s="547"/>
      <c r="B275" s="261" t="s">
        <v>29</v>
      </c>
      <c r="C275" s="470">
        <v>0</v>
      </c>
      <c r="D275" s="263">
        <v>0</v>
      </c>
      <c r="E275" s="263">
        <v>0</v>
      </c>
      <c r="F275" s="262">
        <v>0</v>
      </c>
      <c r="G275" s="263">
        <v>0</v>
      </c>
      <c r="H275" s="263">
        <v>0</v>
      </c>
      <c r="I275" s="263">
        <v>0</v>
      </c>
      <c r="J275" s="263">
        <v>0</v>
      </c>
      <c r="K275" s="263">
        <v>0</v>
      </c>
      <c r="L275" s="263">
        <v>0</v>
      </c>
      <c r="M275" s="263">
        <v>0</v>
      </c>
      <c r="N275" s="263">
        <v>0</v>
      </c>
      <c r="O275" s="264">
        <v>0</v>
      </c>
      <c r="P275" s="263">
        <v>0</v>
      </c>
      <c r="Q275" s="263">
        <v>0</v>
      </c>
      <c r="R275" s="265">
        <f t="shared" si="153"/>
        <v>0</v>
      </c>
      <c r="U275" s="547"/>
      <c r="V275" s="261" t="s">
        <v>29</v>
      </c>
      <c r="W275" s="262">
        <v>0</v>
      </c>
      <c r="X275" s="263">
        <v>0</v>
      </c>
      <c r="Y275" s="263">
        <v>0</v>
      </c>
      <c r="Z275" s="262">
        <v>0</v>
      </c>
      <c r="AA275" s="263">
        <v>0</v>
      </c>
      <c r="AB275" s="263">
        <v>0</v>
      </c>
      <c r="AC275" s="263">
        <v>0</v>
      </c>
      <c r="AD275" s="471">
        <v>0</v>
      </c>
      <c r="AE275" s="263">
        <v>0</v>
      </c>
      <c r="AF275" s="263">
        <v>0</v>
      </c>
      <c r="AG275" s="263">
        <v>0</v>
      </c>
      <c r="AH275" s="263">
        <v>0</v>
      </c>
      <c r="AI275" s="264">
        <v>0</v>
      </c>
      <c r="AJ275" s="263">
        <v>0</v>
      </c>
      <c r="AK275" s="263">
        <v>0</v>
      </c>
      <c r="AL275" s="265">
        <f t="shared" si="154"/>
        <v>0</v>
      </c>
    </row>
    <row r="276" spans="1:38" ht="14.4" customHeight="1">
      <c r="A276" s="547"/>
      <c r="B276" s="261" t="s">
        <v>30</v>
      </c>
      <c r="C276" s="470">
        <v>0</v>
      </c>
      <c r="D276" s="263">
        <v>0</v>
      </c>
      <c r="E276" s="263">
        <f>-Transports!$I$125</f>
        <v>-199.25850000000003</v>
      </c>
      <c r="F276" s="262">
        <v>0</v>
      </c>
      <c r="G276" s="263">
        <v>0</v>
      </c>
      <c r="H276" s="263">
        <v>0</v>
      </c>
      <c r="I276" s="263">
        <v>0</v>
      </c>
      <c r="J276" s="263">
        <v>0</v>
      </c>
      <c r="K276" s="263">
        <v>0</v>
      </c>
      <c r="L276" s="263">
        <v>0</v>
      </c>
      <c r="M276" s="263">
        <v>0</v>
      </c>
      <c r="N276" s="263">
        <v>0</v>
      </c>
      <c r="O276" s="264">
        <v>0</v>
      </c>
      <c r="P276" s="263">
        <v>0</v>
      </c>
      <c r="Q276" s="263">
        <v>0</v>
      </c>
      <c r="R276" s="265">
        <f t="shared" si="153"/>
        <v>-199.25850000000003</v>
      </c>
      <c r="U276" s="547"/>
      <c r="V276" s="261" t="s">
        <v>30</v>
      </c>
      <c r="W276" s="262">
        <v>0</v>
      </c>
      <c r="X276" s="263">
        <v>0</v>
      </c>
      <c r="Y276" s="471">
        <f>-Transports!$I$172-Transports!$I$171</f>
        <v>-73.197000000000017</v>
      </c>
      <c r="Z276" s="470">
        <v>0</v>
      </c>
      <c r="AA276" s="471">
        <v>0</v>
      </c>
      <c r="AB276" s="471">
        <v>0</v>
      </c>
      <c r="AC276" s="471">
        <v>0</v>
      </c>
      <c r="AD276" s="471">
        <v>0</v>
      </c>
      <c r="AE276" s="471">
        <f>-Transports!$I$170</f>
        <v>-73.197000000000017</v>
      </c>
      <c r="AF276" s="263">
        <v>0</v>
      </c>
      <c r="AG276" s="263">
        <v>0</v>
      </c>
      <c r="AH276" s="263">
        <v>0</v>
      </c>
      <c r="AI276" s="264">
        <v>0</v>
      </c>
      <c r="AJ276" s="263">
        <v>0</v>
      </c>
      <c r="AK276" s="263">
        <v>0</v>
      </c>
      <c r="AL276" s="265">
        <f t="shared" si="154"/>
        <v>-146.39400000000003</v>
      </c>
    </row>
    <row r="277" spans="1:38" ht="14.4" customHeight="1">
      <c r="A277" s="547"/>
      <c r="B277" s="261" t="s">
        <v>31</v>
      </c>
      <c r="C277" s="470">
        <v>0</v>
      </c>
      <c r="D277" s="263">
        <v>0</v>
      </c>
      <c r="E277" s="263">
        <f>-Transports!$I$202</f>
        <v>-211.42370716674461</v>
      </c>
      <c r="F277" s="262">
        <v>0</v>
      </c>
      <c r="G277" s="263">
        <v>0</v>
      </c>
      <c r="H277" s="263">
        <v>0</v>
      </c>
      <c r="I277" s="263">
        <v>0</v>
      </c>
      <c r="J277" s="263">
        <v>0</v>
      </c>
      <c r="K277" s="263">
        <v>0</v>
      </c>
      <c r="L277" s="263">
        <v>0</v>
      </c>
      <c r="M277" s="263">
        <v>0</v>
      </c>
      <c r="N277" s="263">
        <v>0</v>
      </c>
      <c r="O277" s="264">
        <v>0</v>
      </c>
      <c r="P277" s="263">
        <v>0</v>
      </c>
      <c r="Q277" s="263">
        <v>0</v>
      </c>
      <c r="R277" s="265">
        <f t="shared" si="153"/>
        <v>-211.42370716674461</v>
      </c>
      <c r="U277" s="547"/>
      <c r="V277" s="261" t="s">
        <v>31</v>
      </c>
      <c r="W277" s="262">
        <v>0</v>
      </c>
      <c r="X277" s="263">
        <v>0</v>
      </c>
      <c r="Y277" s="471">
        <f>-Transports!$I$234</f>
        <v>-58.488046231055819</v>
      </c>
      <c r="Z277" s="470">
        <v>0</v>
      </c>
      <c r="AA277" s="471">
        <v>0</v>
      </c>
      <c r="AB277" s="471">
        <v>0</v>
      </c>
      <c r="AC277" s="471">
        <v>0</v>
      </c>
      <c r="AD277" s="471">
        <v>0</v>
      </c>
      <c r="AE277" s="471">
        <f>-Transports!$D$233-Transports!$I$232</f>
        <v>-63.082541602229639</v>
      </c>
      <c r="AF277" s="263">
        <v>0</v>
      </c>
      <c r="AG277" s="263">
        <v>0</v>
      </c>
      <c r="AH277" s="263">
        <v>0</v>
      </c>
      <c r="AI277" s="264">
        <v>0</v>
      </c>
      <c r="AJ277" s="263">
        <v>0</v>
      </c>
      <c r="AK277" s="263">
        <v>0</v>
      </c>
      <c r="AL277" s="265">
        <f t="shared" si="154"/>
        <v>-121.57058783328546</v>
      </c>
    </row>
    <row r="278" spans="1:38" ht="14.4" customHeight="1">
      <c r="A278" s="547"/>
      <c r="B278" s="261" t="s">
        <v>32</v>
      </c>
      <c r="C278" s="470">
        <v>0</v>
      </c>
      <c r="D278" s="263">
        <v>0</v>
      </c>
      <c r="E278" s="263">
        <v>0</v>
      </c>
      <c r="F278" s="262">
        <v>0</v>
      </c>
      <c r="G278" s="263">
        <v>0</v>
      </c>
      <c r="H278" s="263">
        <v>0</v>
      </c>
      <c r="I278" s="263">
        <v>0</v>
      </c>
      <c r="J278" s="263">
        <v>0</v>
      </c>
      <c r="K278" s="263">
        <v>0</v>
      </c>
      <c r="L278" s="263">
        <v>0</v>
      </c>
      <c r="M278" s="263">
        <v>0</v>
      </c>
      <c r="N278" s="263">
        <v>0</v>
      </c>
      <c r="O278" s="264">
        <v>0</v>
      </c>
      <c r="P278" s="263">
        <v>0</v>
      </c>
      <c r="Q278" s="263">
        <v>0</v>
      </c>
      <c r="R278" s="265">
        <f t="shared" si="153"/>
        <v>0</v>
      </c>
      <c r="U278" s="547"/>
      <c r="V278" s="261" t="s">
        <v>32</v>
      </c>
      <c r="W278" s="262">
        <v>0</v>
      </c>
      <c r="X278" s="263">
        <v>0</v>
      </c>
      <c r="Y278" s="263">
        <v>0</v>
      </c>
      <c r="Z278" s="262">
        <v>0</v>
      </c>
      <c r="AA278" s="263">
        <v>0</v>
      </c>
      <c r="AB278" s="263">
        <v>0</v>
      </c>
      <c r="AC278" s="263">
        <v>0</v>
      </c>
      <c r="AD278" s="471">
        <v>0</v>
      </c>
      <c r="AE278" s="263">
        <v>0</v>
      </c>
      <c r="AF278" s="263">
        <v>0</v>
      </c>
      <c r="AG278" s="263">
        <v>0</v>
      </c>
      <c r="AH278" s="263">
        <v>0</v>
      </c>
      <c r="AI278" s="264">
        <v>0</v>
      </c>
      <c r="AJ278" s="263">
        <v>0</v>
      </c>
      <c r="AK278" s="263">
        <v>0</v>
      </c>
      <c r="AL278" s="265">
        <f t="shared" si="154"/>
        <v>0</v>
      </c>
    </row>
    <row r="279" spans="1:38" ht="14.4" customHeight="1">
      <c r="A279" s="547"/>
      <c r="B279" s="266" t="s">
        <v>376</v>
      </c>
      <c r="C279" s="472">
        <f>C293+C303</f>
        <v>11937.404261264126</v>
      </c>
      <c r="D279" s="267">
        <f>D293+D303</f>
        <v>0</v>
      </c>
      <c r="E279" s="267">
        <f>E293+E303</f>
        <v>11509.407728715516</v>
      </c>
      <c r="F279" s="267">
        <f t="shared" ref="F279:G279" si="155">SUM(F273:F278)</f>
        <v>0</v>
      </c>
      <c r="G279" s="267">
        <f t="shared" si="155"/>
        <v>0</v>
      </c>
      <c r="H279" s="267">
        <f>H293</f>
        <v>1103.5417545405016</v>
      </c>
      <c r="I279" s="267">
        <f>I293+I301</f>
        <v>12.337596024829276</v>
      </c>
      <c r="J279" s="267">
        <f t="shared" ref="J279" si="156">SUM(J273:J278)</f>
        <v>0</v>
      </c>
      <c r="K279" s="267">
        <f>K293+K303</f>
        <v>0</v>
      </c>
      <c r="L279" s="267">
        <f>L293+L303</f>
        <v>0</v>
      </c>
      <c r="M279" s="267">
        <f t="shared" ref="M279" si="157">SUM(M273:M278)</f>
        <v>0</v>
      </c>
      <c r="N279" s="267">
        <f>N293+N303</f>
        <v>59.237913892139481</v>
      </c>
      <c r="O279" s="267">
        <f t="shared" ref="O279:Q279" si="158">SUM(O273:O278)</f>
        <v>0</v>
      </c>
      <c r="P279" s="267">
        <f t="shared" si="158"/>
        <v>0</v>
      </c>
      <c r="Q279" s="267">
        <f t="shared" si="158"/>
        <v>0</v>
      </c>
      <c r="R279" s="267">
        <f t="shared" si="153"/>
        <v>24621.929254437113</v>
      </c>
      <c r="U279" s="547"/>
      <c r="V279" s="266" t="s">
        <v>376</v>
      </c>
      <c r="W279" s="472">
        <f>W303+W293</f>
        <v>1998.7931119013181</v>
      </c>
      <c r="X279" s="267">
        <f>X293+X303</f>
        <v>0</v>
      </c>
      <c r="Y279" s="267">
        <f>Y293+Y303</f>
        <v>773.13042645171458</v>
      </c>
      <c r="Z279" s="267">
        <f t="shared" ref="Z279:AA279" si="159">SUM(Z273:Z278)</f>
        <v>0</v>
      </c>
      <c r="AA279" s="267">
        <f t="shared" si="159"/>
        <v>0</v>
      </c>
      <c r="AB279" s="267">
        <f>AB293</f>
        <v>3823.3162011761683</v>
      </c>
      <c r="AC279" s="267">
        <f>AC293+AC303</f>
        <v>2106.0655748756512</v>
      </c>
      <c r="AD279" s="472">
        <f>AD293</f>
        <v>1737.8710005346218</v>
      </c>
      <c r="AE279" s="267">
        <f>AE293+AE303</f>
        <v>4413.6623566554599</v>
      </c>
      <c r="AF279" s="267">
        <f>AF293+AF303</f>
        <v>54.216081264363446</v>
      </c>
      <c r="AG279" s="267">
        <f t="shared" ref="AG279" si="160">SUM(AG273:AG278)</f>
        <v>0</v>
      </c>
      <c r="AH279" s="267">
        <f>AH293+AH303</f>
        <v>38.75193998906304</v>
      </c>
      <c r="AI279" s="267">
        <f t="shared" ref="AI279:AK279" si="161">SUM(AI273:AI278)</f>
        <v>0</v>
      </c>
      <c r="AJ279" s="267">
        <f t="shared" si="161"/>
        <v>0</v>
      </c>
      <c r="AK279" s="267">
        <f t="shared" si="161"/>
        <v>0</v>
      </c>
      <c r="AL279" s="267">
        <f t="shared" si="154"/>
        <v>14945.80669284836</v>
      </c>
    </row>
    <row r="280" spans="1:38" ht="14.4" customHeight="1">
      <c r="A280" s="547"/>
      <c r="B280" s="268"/>
      <c r="C280" s="269"/>
      <c r="D280" s="237"/>
      <c r="E280" s="270"/>
      <c r="F280" s="269"/>
      <c r="G280" s="269"/>
      <c r="H280" s="269"/>
      <c r="I280" s="269"/>
      <c r="J280" s="269"/>
      <c r="K280" s="269"/>
      <c r="L280" s="269"/>
      <c r="M280" s="269"/>
      <c r="N280" s="269"/>
      <c r="O280" s="278"/>
      <c r="P280" s="269"/>
      <c r="Q280" s="269"/>
      <c r="R280" s="269"/>
      <c r="U280" s="547"/>
      <c r="V280" s="268"/>
      <c r="W280" s="269"/>
      <c r="X280" s="237"/>
      <c r="Y280" s="270"/>
      <c r="Z280" s="269"/>
      <c r="AA280" s="269"/>
      <c r="AB280" s="269"/>
      <c r="AC280" s="269"/>
      <c r="AD280" s="269"/>
      <c r="AE280" s="269"/>
      <c r="AF280" s="269"/>
      <c r="AG280" s="269"/>
      <c r="AH280" s="269"/>
      <c r="AI280" s="278"/>
      <c r="AJ280" s="269"/>
      <c r="AK280" s="269"/>
      <c r="AL280" s="269"/>
    </row>
    <row r="281" spans="1:38" ht="14.4" customHeight="1">
      <c r="A281" s="547"/>
      <c r="B281" s="271" t="s">
        <v>377</v>
      </c>
      <c r="C281" s="262">
        <v>0</v>
      </c>
      <c r="D281" s="272">
        <v>0</v>
      </c>
      <c r="E281" s="272">
        <v>0</v>
      </c>
      <c r="F281" s="262">
        <v>0</v>
      </c>
      <c r="G281" s="262">
        <v>0</v>
      </c>
      <c r="H281" s="262">
        <v>0</v>
      </c>
      <c r="I281" s="262">
        <v>0</v>
      </c>
      <c r="J281" s="262">
        <v>0</v>
      </c>
      <c r="K281" s="262">
        <v>0</v>
      </c>
      <c r="L281" s="262">
        <v>0</v>
      </c>
      <c r="M281" s="262">
        <v>0</v>
      </c>
      <c r="N281" s="262">
        <v>0</v>
      </c>
      <c r="O281" s="262">
        <v>0</v>
      </c>
      <c r="P281" s="262">
        <v>0</v>
      </c>
      <c r="Q281" s="262">
        <v>0</v>
      </c>
      <c r="R281" s="273">
        <f>SUM(C281:Q281)</f>
        <v>0</v>
      </c>
      <c r="U281" s="547"/>
      <c r="V281" s="271" t="s">
        <v>377</v>
      </c>
      <c r="W281" s="262">
        <v>0</v>
      </c>
      <c r="X281" s="272">
        <v>0</v>
      </c>
      <c r="Y281" s="272">
        <v>0</v>
      </c>
      <c r="Z281" s="262">
        <v>0</v>
      </c>
      <c r="AA281" s="262">
        <v>0</v>
      </c>
      <c r="AB281" s="262">
        <v>0</v>
      </c>
      <c r="AC281" s="262">
        <v>0</v>
      </c>
      <c r="AD281" s="262">
        <v>0</v>
      </c>
      <c r="AE281" s="262">
        <v>0</v>
      </c>
      <c r="AF281" s="262">
        <v>0</v>
      </c>
      <c r="AG281" s="262">
        <v>0</v>
      </c>
      <c r="AH281" s="262">
        <v>0</v>
      </c>
      <c r="AI281" s="262">
        <v>0</v>
      </c>
      <c r="AJ281" s="262">
        <v>0</v>
      </c>
      <c r="AK281" s="262">
        <v>0</v>
      </c>
      <c r="AL281" s="273">
        <f>SUM(W281:AK281)</f>
        <v>0</v>
      </c>
    </row>
    <row r="282" spans="1:38" ht="14.4" customHeight="1">
      <c r="A282" s="547"/>
      <c r="B282" s="271" t="s">
        <v>378</v>
      </c>
      <c r="C282" s="262">
        <f>O282*'Prod Energie'!$I$37/(-$J$13)</f>
        <v>7316.3582178378883</v>
      </c>
      <c r="D282" s="262">
        <v>0</v>
      </c>
      <c r="E282" s="262">
        <f>O282*'Prod Energie'!$I$38/(-$K$13)</f>
        <v>4301.3271380801043</v>
      </c>
      <c r="F282" s="262">
        <v>0</v>
      </c>
      <c r="G282" s="262">
        <v>0</v>
      </c>
      <c r="H282" s="262">
        <f>(O282)*('Prod Energie'!$I$39+'Prod Energie'!$I$44+'Prod Energie'!$I$45)/(-$L$13)</f>
        <v>1103.5417545405016</v>
      </c>
      <c r="I282" s="274">
        <f>(O282)*('Prod Energie'!$I$43)/(-$M$13)</f>
        <v>12.337596024829276</v>
      </c>
      <c r="J282" s="274">
        <f>(O282)*$L$17*('Prod Energie'!$I$41)</f>
        <v>0</v>
      </c>
      <c r="K282" s="274">
        <f>(O282)*$L$17*('Prod Energie'!$I$42)</f>
        <v>0</v>
      </c>
      <c r="L282" s="274">
        <f>(O282)*$L$17*('Prod Energie'!$I$46)</f>
        <v>0</v>
      </c>
      <c r="M282" s="274">
        <v>0</v>
      </c>
      <c r="N282" s="274">
        <f>0</f>
        <v>0</v>
      </c>
      <c r="O282" s="262">
        <f>O293/(1+$F$17+$F$18)</f>
        <v>-5558.8853511841589</v>
      </c>
      <c r="P282" s="262">
        <v>0</v>
      </c>
      <c r="Q282" s="262">
        <v>0</v>
      </c>
      <c r="R282" s="273">
        <f t="shared" ref="R282:R293" si="162">SUM(C282:Q282)</f>
        <v>7174.6793552991639</v>
      </c>
      <c r="U282" s="547"/>
      <c r="V282" s="271" t="s">
        <v>378</v>
      </c>
      <c r="W282" s="470">
        <f>AI282*'Prod Energie'!$I$59/(-$J$13)</f>
        <v>0</v>
      </c>
      <c r="X282" s="470">
        <v>0</v>
      </c>
      <c r="Y282" s="470">
        <f>AI282*'Prod Energie'!$I$60/(-$K$13)</f>
        <v>0</v>
      </c>
      <c r="Z282" s="470">
        <v>0</v>
      </c>
      <c r="AA282" s="470">
        <v>0</v>
      </c>
      <c r="AB282" s="470">
        <f>(AI282)*('Prod Energie'!$I$61+'Prod Energie'!$I$66+'Prod Energie'!$I$67)/(-$L$13)</f>
        <v>3823.3162011761683</v>
      </c>
      <c r="AC282" s="274">
        <f>(AI282)*'Prod Energie'!$I$65/(-$M$13)</f>
        <v>1737.8710005346218</v>
      </c>
      <c r="AD282" s="274">
        <f>(AI282)*('Prod Energie'!$I$63)/(-$N$13)</f>
        <v>1737.8710005346218</v>
      </c>
      <c r="AE282" s="274">
        <f>(AI282)*('Prod Energie'!$I$64)/(-$M$13)</f>
        <v>4344.6775013365559</v>
      </c>
      <c r="AF282" s="274">
        <f>(AI282)*('Prod Energie'!$I$68)/(-$P$13)</f>
        <v>0</v>
      </c>
      <c r="AG282" s="274">
        <v>0</v>
      </c>
      <c r="AH282" s="274">
        <f>(AI282)*'Prod Energie'!$I$62/(-$Q$13)</f>
        <v>0</v>
      </c>
      <c r="AI282" s="262">
        <f>AI293/(1+$F$17+$F$18)</f>
        <v>-6951.4840021384871</v>
      </c>
      <c r="AJ282" s="262">
        <v>0</v>
      </c>
      <c r="AK282" s="262">
        <v>0</v>
      </c>
      <c r="AL282" s="273">
        <f t="shared" ref="AL282:AL293" si="163">SUM(W282:AK282)</f>
        <v>4692.2517014434807</v>
      </c>
    </row>
    <row r="283" spans="1:38" ht="14.4" customHeight="1">
      <c r="A283" s="547"/>
      <c r="B283" s="271" t="s">
        <v>379</v>
      </c>
      <c r="C283" s="262">
        <v>0</v>
      </c>
      <c r="D283" s="262">
        <v>0</v>
      </c>
      <c r="E283" s="262">
        <v>0</v>
      </c>
      <c r="F283" s="262">
        <v>0</v>
      </c>
      <c r="G283" s="262">
        <v>0</v>
      </c>
      <c r="H283" s="262">
        <v>0</v>
      </c>
      <c r="I283" s="274">
        <f>$P$283*$L$18*V$17</f>
        <v>0</v>
      </c>
      <c r="J283" s="274">
        <f t="shared" ref="J283:N283" si="164">$P$283*$L$18*W$17</f>
        <v>0</v>
      </c>
      <c r="K283" s="274">
        <f t="shared" si="164"/>
        <v>0</v>
      </c>
      <c r="L283" s="274">
        <f t="shared" si="164"/>
        <v>0</v>
      </c>
      <c r="M283" s="274">
        <f t="shared" si="164"/>
        <v>0</v>
      </c>
      <c r="N283" s="274">
        <f t="shared" si="164"/>
        <v>0</v>
      </c>
      <c r="O283" s="262">
        <v>0</v>
      </c>
      <c r="P283" s="262">
        <f>P293/(1+$R$18)</f>
        <v>0</v>
      </c>
      <c r="Q283" s="262">
        <v>0</v>
      </c>
      <c r="R283" s="273">
        <f t="shared" si="162"/>
        <v>0</v>
      </c>
      <c r="U283" s="547"/>
      <c r="V283" s="271" t="s">
        <v>379</v>
      </c>
      <c r="W283" s="262">
        <v>0</v>
      </c>
      <c r="X283" s="262">
        <v>0</v>
      </c>
      <c r="Y283" s="262">
        <v>0</v>
      </c>
      <c r="Z283" s="262">
        <v>0</v>
      </c>
      <c r="AA283" s="262">
        <v>0</v>
      </c>
      <c r="AB283" s="262">
        <v>0</v>
      </c>
      <c r="AC283" s="274">
        <f>$AJ$283*$L$18*V$17</f>
        <v>0</v>
      </c>
      <c r="AD283" s="274">
        <f t="shared" ref="AD283:AH283" si="165">$AJ$283*$L$18*W$17</f>
        <v>0</v>
      </c>
      <c r="AE283" s="274">
        <f t="shared" si="165"/>
        <v>0</v>
      </c>
      <c r="AF283" s="274">
        <f t="shared" si="165"/>
        <v>0</v>
      </c>
      <c r="AG283" s="274">
        <f t="shared" si="165"/>
        <v>0</v>
      </c>
      <c r="AH283" s="274">
        <f t="shared" si="165"/>
        <v>0</v>
      </c>
      <c r="AI283" s="262">
        <v>0</v>
      </c>
      <c r="AJ283" s="262">
        <f>AJ293/(1+$R$18)</f>
        <v>0</v>
      </c>
      <c r="AK283" s="262">
        <v>0</v>
      </c>
      <c r="AL283" s="273">
        <f t="shared" si="163"/>
        <v>0</v>
      </c>
    </row>
    <row r="284" spans="1:38" ht="14.4" customHeight="1">
      <c r="A284" s="547"/>
      <c r="B284" s="271" t="s">
        <v>380</v>
      </c>
      <c r="C284" s="262">
        <v>0</v>
      </c>
      <c r="D284" s="262">
        <v>0</v>
      </c>
      <c r="E284" s="262">
        <v>0</v>
      </c>
      <c r="F284" s="262">
        <v>0</v>
      </c>
      <c r="G284" s="262">
        <v>0</v>
      </c>
      <c r="H284" s="262">
        <v>0</v>
      </c>
      <c r="I284" s="275">
        <v>0</v>
      </c>
      <c r="J284" s="275">
        <v>0</v>
      </c>
      <c r="K284" s="275">
        <v>0</v>
      </c>
      <c r="L284" s="275">
        <v>0</v>
      </c>
      <c r="M284" s="275">
        <v>0</v>
      </c>
      <c r="N284" s="275">
        <v>0</v>
      </c>
      <c r="O284" s="262">
        <v>0</v>
      </c>
      <c r="P284" s="262">
        <v>0</v>
      </c>
      <c r="Q284" s="262">
        <v>0</v>
      </c>
      <c r="R284" s="273">
        <f t="shared" si="162"/>
        <v>0</v>
      </c>
      <c r="U284" s="547"/>
      <c r="V284" s="271" t="s">
        <v>380</v>
      </c>
      <c r="W284" s="262">
        <v>0</v>
      </c>
      <c r="X284" s="262">
        <v>0</v>
      </c>
      <c r="Y284" s="262">
        <v>0</v>
      </c>
      <c r="Z284" s="262">
        <v>0</v>
      </c>
      <c r="AA284" s="262">
        <v>0</v>
      </c>
      <c r="AB284" s="262">
        <v>0</v>
      </c>
      <c r="AC284" s="275">
        <v>0</v>
      </c>
      <c r="AD284" s="275">
        <v>0</v>
      </c>
      <c r="AE284" s="275">
        <v>0</v>
      </c>
      <c r="AF284" s="275">
        <v>0</v>
      </c>
      <c r="AG284" s="275">
        <v>0</v>
      </c>
      <c r="AH284" s="275">
        <v>0</v>
      </c>
      <c r="AI284" s="262">
        <v>0</v>
      </c>
      <c r="AJ284" s="262">
        <v>0</v>
      </c>
      <c r="AK284" s="262">
        <v>0</v>
      </c>
      <c r="AL284" s="273">
        <f t="shared" si="163"/>
        <v>0</v>
      </c>
    </row>
    <row r="285" spans="1:38" ht="14.4" customHeight="1">
      <c r="A285" s="547"/>
      <c r="B285" s="271" t="s">
        <v>381</v>
      </c>
      <c r="C285" s="262">
        <v>0</v>
      </c>
      <c r="D285" s="262">
        <v>0</v>
      </c>
      <c r="E285" s="262">
        <v>0</v>
      </c>
      <c r="F285" s="262">
        <v>0</v>
      </c>
      <c r="G285" s="262">
        <v>0</v>
      </c>
      <c r="H285" s="262">
        <v>0</v>
      </c>
      <c r="I285" s="262">
        <v>0</v>
      </c>
      <c r="J285" s="262">
        <v>0</v>
      </c>
      <c r="K285" s="262">
        <v>0</v>
      </c>
      <c r="L285" s="262">
        <v>0</v>
      </c>
      <c r="M285" s="262">
        <v>0</v>
      </c>
      <c r="N285" s="262">
        <v>0</v>
      </c>
      <c r="O285" s="262">
        <v>0</v>
      </c>
      <c r="P285" s="262">
        <v>0</v>
      </c>
      <c r="Q285" s="262">
        <v>0</v>
      </c>
      <c r="R285" s="273">
        <f t="shared" si="162"/>
        <v>0</v>
      </c>
      <c r="U285" s="547"/>
      <c r="V285" s="271" t="s">
        <v>381</v>
      </c>
      <c r="W285" s="262">
        <v>0</v>
      </c>
      <c r="X285" s="262">
        <v>0</v>
      </c>
      <c r="Y285" s="262">
        <v>0</v>
      </c>
      <c r="Z285" s="262">
        <v>0</v>
      </c>
      <c r="AA285" s="262">
        <v>0</v>
      </c>
      <c r="AB285" s="262">
        <v>0</v>
      </c>
      <c r="AC285" s="262">
        <v>0</v>
      </c>
      <c r="AD285" s="262">
        <v>0</v>
      </c>
      <c r="AE285" s="262">
        <v>0</v>
      </c>
      <c r="AF285" s="262">
        <v>0</v>
      </c>
      <c r="AG285" s="262">
        <v>0</v>
      </c>
      <c r="AH285" s="262">
        <v>0</v>
      </c>
      <c r="AI285" s="262">
        <v>0</v>
      </c>
      <c r="AJ285" s="262">
        <v>0</v>
      </c>
      <c r="AK285" s="262">
        <v>0</v>
      </c>
      <c r="AL285" s="273">
        <f t="shared" si="163"/>
        <v>0</v>
      </c>
    </row>
    <row r="286" spans="1:38" ht="14.4" customHeight="1">
      <c r="A286" s="547"/>
      <c r="B286" s="271" t="s">
        <v>36</v>
      </c>
      <c r="C286" s="262">
        <v>0</v>
      </c>
      <c r="D286" s="262">
        <v>0</v>
      </c>
      <c r="E286" s="262">
        <v>0</v>
      </c>
      <c r="F286" s="262">
        <v>0</v>
      </c>
      <c r="G286" s="262">
        <v>0</v>
      </c>
      <c r="H286" s="262">
        <v>0</v>
      </c>
      <c r="I286" s="262">
        <v>0</v>
      </c>
      <c r="J286" s="262">
        <v>0</v>
      </c>
      <c r="K286" s="262">
        <v>0</v>
      </c>
      <c r="L286" s="262">
        <v>0</v>
      </c>
      <c r="M286" s="262">
        <v>0</v>
      </c>
      <c r="N286" s="262">
        <v>0</v>
      </c>
      <c r="O286" s="262">
        <v>0</v>
      </c>
      <c r="P286" s="262">
        <v>0</v>
      </c>
      <c r="Q286" s="262">
        <v>0</v>
      </c>
      <c r="R286" s="273">
        <f t="shared" si="162"/>
        <v>0</v>
      </c>
      <c r="U286" s="547"/>
      <c r="V286" s="271" t="s">
        <v>36</v>
      </c>
      <c r="W286" s="262">
        <v>0</v>
      </c>
      <c r="X286" s="262">
        <v>0</v>
      </c>
      <c r="Y286" s="262">
        <v>0</v>
      </c>
      <c r="Z286" s="262">
        <v>0</v>
      </c>
      <c r="AA286" s="262">
        <v>0</v>
      </c>
      <c r="AB286" s="262">
        <v>0</v>
      </c>
      <c r="AC286" s="262">
        <v>0</v>
      </c>
      <c r="AD286" s="262">
        <v>0</v>
      </c>
      <c r="AE286" s="262">
        <v>0</v>
      </c>
      <c r="AF286" s="262">
        <v>0</v>
      </c>
      <c r="AG286" s="262">
        <v>0</v>
      </c>
      <c r="AH286" s="262">
        <v>0</v>
      </c>
      <c r="AI286" s="262">
        <v>0</v>
      </c>
      <c r="AJ286" s="262">
        <v>0</v>
      </c>
      <c r="AK286" s="262">
        <v>0</v>
      </c>
      <c r="AL286" s="273">
        <f t="shared" si="163"/>
        <v>0</v>
      </c>
    </row>
    <row r="287" spans="1:38" ht="14.4" customHeight="1">
      <c r="A287" s="547"/>
      <c r="B287" s="271" t="s">
        <v>382</v>
      </c>
      <c r="C287" s="262">
        <v>0</v>
      </c>
      <c r="D287" s="262">
        <v>0</v>
      </c>
      <c r="E287" s="262">
        <v>0</v>
      </c>
      <c r="F287" s="262">
        <v>0</v>
      </c>
      <c r="G287" s="262">
        <v>0</v>
      </c>
      <c r="H287" s="262">
        <v>0</v>
      </c>
      <c r="I287" s="262">
        <v>0</v>
      </c>
      <c r="J287" s="262">
        <v>0</v>
      </c>
      <c r="K287" s="262">
        <v>0</v>
      </c>
      <c r="L287" s="262">
        <v>0</v>
      </c>
      <c r="M287" s="262">
        <v>0</v>
      </c>
      <c r="N287" s="262">
        <v>0</v>
      </c>
      <c r="O287" s="262">
        <v>0</v>
      </c>
      <c r="P287" s="262">
        <v>0</v>
      </c>
      <c r="Q287" s="262">
        <v>0</v>
      </c>
      <c r="R287" s="273">
        <f t="shared" si="162"/>
        <v>0</v>
      </c>
      <c r="U287" s="547"/>
      <c r="V287" s="271" t="s">
        <v>382</v>
      </c>
      <c r="W287" s="262">
        <v>0</v>
      </c>
      <c r="X287" s="262">
        <v>0</v>
      </c>
      <c r="Y287" s="262">
        <v>0</v>
      </c>
      <c r="Z287" s="262">
        <v>0</v>
      </c>
      <c r="AA287" s="262">
        <v>0</v>
      </c>
      <c r="AB287" s="262">
        <v>0</v>
      </c>
      <c r="AC287" s="262">
        <v>0</v>
      </c>
      <c r="AD287" s="262">
        <v>0</v>
      </c>
      <c r="AE287" s="262">
        <v>0</v>
      </c>
      <c r="AF287" s="262">
        <v>0</v>
      </c>
      <c r="AG287" s="262">
        <v>0</v>
      </c>
      <c r="AH287" s="262">
        <v>0</v>
      </c>
      <c r="AI287" s="262">
        <v>0</v>
      </c>
      <c r="AJ287" s="262">
        <v>0</v>
      </c>
      <c r="AK287" s="262">
        <v>0</v>
      </c>
      <c r="AL287" s="273">
        <f t="shared" si="163"/>
        <v>0</v>
      </c>
    </row>
    <row r="288" spans="1:38" ht="14.4" customHeight="1">
      <c r="A288" s="547"/>
      <c r="B288" s="271" t="s">
        <v>383</v>
      </c>
      <c r="C288" s="262">
        <v>0</v>
      </c>
      <c r="D288" s="262">
        <v>0</v>
      </c>
      <c r="E288" s="262">
        <v>0</v>
      </c>
      <c r="F288" s="262">
        <v>0</v>
      </c>
      <c r="G288" s="262">
        <v>0</v>
      </c>
      <c r="H288" s="262">
        <v>0</v>
      </c>
      <c r="I288" s="262">
        <v>0</v>
      </c>
      <c r="J288" s="262">
        <v>0</v>
      </c>
      <c r="K288" s="262">
        <v>0</v>
      </c>
      <c r="L288" s="262">
        <v>0</v>
      </c>
      <c r="M288" s="262">
        <v>0</v>
      </c>
      <c r="N288" s="262">
        <v>0</v>
      </c>
      <c r="O288" s="262">
        <v>0</v>
      </c>
      <c r="P288" s="262">
        <v>0</v>
      </c>
      <c r="Q288" s="262">
        <v>0</v>
      </c>
      <c r="R288" s="273">
        <f t="shared" si="162"/>
        <v>0</v>
      </c>
      <c r="U288" s="547"/>
      <c r="V288" s="271" t="s">
        <v>383</v>
      </c>
      <c r="W288" s="262">
        <v>0</v>
      </c>
      <c r="X288" s="262">
        <v>0</v>
      </c>
      <c r="Y288" s="262">
        <v>0</v>
      </c>
      <c r="Z288" s="262">
        <v>0</v>
      </c>
      <c r="AA288" s="262">
        <v>0</v>
      </c>
      <c r="AB288" s="262">
        <v>0</v>
      </c>
      <c r="AC288" s="262">
        <v>0</v>
      </c>
      <c r="AD288" s="262">
        <v>0</v>
      </c>
      <c r="AE288" s="262">
        <v>0</v>
      </c>
      <c r="AF288" s="262">
        <v>0</v>
      </c>
      <c r="AG288" s="262">
        <v>0</v>
      </c>
      <c r="AH288" s="262">
        <v>0</v>
      </c>
      <c r="AI288" s="262">
        <v>0</v>
      </c>
      <c r="AJ288" s="262">
        <v>0</v>
      </c>
      <c r="AK288" s="262">
        <v>0</v>
      </c>
      <c r="AL288" s="273">
        <f t="shared" si="163"/>
        <v>0</v>
      </c>
    </row>
    <row r="289" spans="1:38" ht="14.4" customHeight="1">
      <c r="A289" s="547"/>
      <c r="B289" s="271" t="s">
        <v>384</v>
      </c>
      <c r="C289" s="262">
        <v>0</v>
      </c>
      <c r="D289" s="262">
        <v>0</v>
      </c>
      <c r="E289" s="262">
        <v>0</v>
      </c>
      <c r="F289" s="262">
        <v>0</v>
      </c>
      <c r="G289" s="262">
        <v>0</v>
      </c>
      <c r="H289" s="262">
        <v>0</v>
      </c>
      <c r="I289" s="262">
        <v>0</v>
      </c>
      <c r="J289" s="262">
        <v>0</v>
      </c>
      <c r="K289" s="262">
        <v>0</v>
      </c>
      <c r="L289" s="262">
        <v>0</v>
      </c>
      <c r="M289" s="262">
        <v>0</v>
      </c>
      <c r="N289" s="262">
        <v>0</v>
      </c>
      <c r="O289" s="262">
        <v>0</v>
      </c>
      <c r="P289" s="262">
        <v>0</v>
      </c>
      <c r="Q289" s="262">
        <v>0</v>
      </c>
      <c r="R289" s="273">
        <f t="shared" si="162"/>
        <v>0</v>
      </c>
      <c r="S289" s="473">
        <f>R293+R303</f>
        <v>24621.929254437109</v>
      </c>
      <c r="U289" s="547"/>
      <c r="V289" s="271" t="s">
        <v>384</v>
      </c>
      <c r="W289" s="262">
        <v>0</v>
      </c>
      <c r="X289" s="262">
        <v>0</v>
      </c>
      <c r="Y289" s="262">
        <v>0</v>
      </c>
      <c r="Z289" s="262">
        <v>0</v>
      </c>
      <c r="AA289" s="262">
        <v>0</v>
      </c>
      <c r="AB289" s="262">
        <v>0</v>
      </c>
      <c r="AC289" s="262">
        <v>0</v>
      </c>
      <c r="AD289" s="262">
        <v>0</v>
      </c>
      <c r="AE289" s="262">
        <v>0</v>
      </c>
      <c r="AF289" s="262">
        <v>0</v>
      </c>
      <c r="AG289" s="262">
        <v>0</v>
      </c>
      <c r="AH289" s="262">
        <v>0</v>
      </c>
      <c r="AI289" s="262">
        <v>0</v>
      </c>
      <c r="AJ289" s="262">
        <v>0</v>
      </c>
      <c r="AK289" s="262">
        <v>0</v>
      </c>
      <c r="AL289" s="273">
        <f t="shared" si="163"/>
        <v>0</v>
      </c>
    </row>
    <row r="290" spans="1:38" ht="14.4" customHeight="1">
      <c r="A290" s="547"/>
      <c r="B290" s="271" t="s">
        <v>37</v>
      </c>
      <c r="C290" s="262">
        <v>0</v>
      </c>
      <c r="D290" s="262">
        <v>0</v>
      </c>
      <c r="E290" s="262">
        <v>0</v>
      </c>
      <c r="F290" s="262">
        <v>0</v>
      </c>
      <c r="G290" s="262">
        <v>0</v>
      </c>
      <c r="H290" s="262">
        <v>0</v>
      </c>
      <c r="I290" s="262">
        <v>0</v>
      </c>
      <c r="J290" s="262">
        <v>0</v>
      </c>
      <c r="K290" s="262">
        <v>0</v>
      </c>
      <c r="L290" s="262">
        <v>0</v>
      </c>
      <c r="M290" s="262">
        <v>0</v>
      </c>
      <c r="N290" s="262">
        <v>0</v>
      </c>
      <c r="O290" s="262">
        <v>0</v>
      </c>
      <c r="P290" s="262">
        <v>0</v>
      </c>
      <c r="Q290" s="262">
        <v>0</v>
      </c>
      <c r="R290" s="273">
        <f t="shared" si="162"/>
        <v>0</v>
      </c>
      <c r="U290" s="547"/>
      <c r="V290" s="271" t="s">
        <v>37</v>
      </c>
      <c r="W290" s="262">
        <v>0</v>
      </c>
      <c r="X290" s="262">
        <v>0</v>
      </c>
      <c r="Y290" s="262">
        <v>0</v>
      </c>
      <c r="Z290" s="262">
        <v>0</v>
      </c>
      <c r="AA290" s="262">
        <v>0</v>
      </c>
      <c r="AB290" s="262">
        <v>0</v>
      </c>
      <c r="AC290" s="262">
        <v>0</v>
      </c>
      <c r="AD290" s="262">
        <v>0</v>
      </c>
      <c r="AE290" s="262">
        <v>0</v>
      </c>
      <c r="AF290" s="262">
        <v>0</v>
      </c>
      <c r="AG290" s="262">
        <v>0</v>
      </c>
      <c r="AH290" s="262">
        <v>0</v>
      </c>
      <c r="AI290" s="262">
        <v>0</v>
      </c>
      <c r="AJ290" s="262">
        <v>0</v>
      </c>
      <c r="AK290" s="262">
        <v>0</v>
      </c>
      <c r="AL290" s="273">
        <f t="shared" si="163"/>
        <v>0</v>
      </c>
    </row>
    <row r="291" spans="1:38" ht="14.4" customHeight="1">
      <c r="A291" s="547"/>
      <c r="B291" s="271" t="s">
        <v>38</v>
      </c>
      <c r="C291" s="262">
        <v>0</v>
      </c>
      <c r="D291" s="262">
        <v>0</v>
      </c>
      <c r="E291" s="262">
        <v>0</v>
      </c>
      <c r="F291" s="262">
        <v>0</v>
      </c>
      <c r="G291" s="262">
        <v>0</v>
      </c>
      <c r="H291" s="262">
        <v>0</v>
      </c>
      <c r="I291" s="262">
        <v>0</v>
      </c>
      <c r="J291" s="262">
        <v>0</v>
      </c>
      <c r="K291" s="262">
        <v>0</v>
      </c>
      <c r="L291" s="262">
        <v>0</v>
      </c>
      <c r="M291" s="262">
        <v>0</v>
      </c>
      <c r="N291" s="262">
        <v>0</v>
      </c>
      <c r="O291" s="262">
        <f>O282*$F$17</f>
        <v>35.779324866334463</v>
      </c>
      <c r="P291" s="262">
        <v>0</v>
      </c>
      <c r="Q291" s="262">
        <v>0</v>
      </c>
      <c r="R291" s="273">
        <f t="shared" si="162"/>
        <v>35.779324866334463</v>
      </c>
      <c r="U291" s="547"/>
      <c r="V291" s="271" t="s">
        <v>38</v>
      </c>
      <c r="W291" s="262">
        <v>0</v>
      </c>
      <c r="X291" s="262">
        <v>0</v>
      </c>
      <c r="Y291" s="262">
        <v>0</v>
      </c>
      <c r="Z291" s="262">
        <v>0</v>
      </c>
      <c r="AA291" s="262">
        <v>0</v>
      </c>
      <c r="AB291" s="262">
        <v>0</v>
      </c>
      <c r="AC291" s="262">
        <v>0</v>
      </c>
      <c r="AD291" s="262">
        <v>0</v>
      </c>
      <c r="AE291" s="262">
        <v>0</v>
      </c>
      <c r="AF291" s="262">
        <v>0</v>
      </c>
      <c r="AG291" s="262">
        <v>0</v>
      </c>
      <c r="AH291" s="262">
        <v>0</v>
      </c>
      <c r="AI291" s="262">
        <f>AI282*$F$17</f>
        <v>44.742675680954157</v>
      </c>
      <c r="AJ291" s="262">
        <v>0</v>
      </c>
      <c r="AK291" s="262">
        <v>0</v>
      </c>
      <c r="AL291" s="273">
        <f t="shared" si="163"/>
        <v>44.742675680954157</v>
      </c>
    </row>
    <row r="292" spans="1:38" ht="14.4" customHeight="1">
      <c r="A292" s="547"/>
      <c r="B292" s="271" t="s">
        <v>39</v>
      </c>
      <c r="C292" s="262">
        <v>0</v>
      </c>
      <c r="D292" s="262">
        <v>0</v>
      </c>
      <c r="E292" s="262">
        <v>0</v>
      </c>
      <c r="F292" s="262">
        <v>0</v>
      </c>
      <c r="G292" s="262">
        <v>0</v>
      </c>
      <c r="H292" s="262">
        <v>0</v>
      </c>
      <c r="I292" s="262">
        <v>0</v>
      </c>
      <c r="J292" s="262">
        <v>0</v>
      </c>
      <c r="K292" s="262">
        <v>0</v>
      </c>
      <c r="L292" s="262">
        <v>0</v>
      </c>
      <c r="M292" s="262">
        <v>0</v>
      </c>
      <c r="N292" s="262">
        <v>0</v>
      </c>
      <c r="O292" s="262">
        <f>O282*$F$18</f>
        <v>227.56322692960123</v>
      </c>
      <c r="P292" s="262">
        <f>P283*$R$18</f>
        <v>0</v>
      </c>
      <c r="Q292" s="262">
        <v>0</v>
      </c>
      <c r="R292" s="273">
        <f t="shared" si="162"/>
        <v>227.56322692960123</v>
      </c>
      <c r="U292" s="547"/>
      <c r="V292" s="271" t="s">
        <v>39</v>
      </c>
      <c r="W292" s="262">
        <v>0</v>
      </c>
      <c r="X292" s="262">
        <v>0</v>
      </c>
      <c r="Y292" s="262">
        <v>0</v>
      </c>
      <c r="Z292" s="262">
        <v>0</v>
      </c>
      <c r="AA292" s="262">
        <v>0</v>
      </c>
      <c r="AB292" s="262">
        <v>0</v>
      </c>
      <c r="AC292" s="262">
        <v>0</v>
      </c>
      <c r="AD292" s="262">
        <v>0</v>
      </c>
      <c r="AE292" s="262">
        <v>0</v>
      </c>
      <c r="AF292" s="262">
        <v>0</v>
      </c>
      <c r="AG292" s="262">
        <v>0</v>
      </c>
      <c r="AH292" s="262">
        <v>0</v>
      </c>
      <c r="AI292" s="262">
        <f>AI282*$F$18</f>
        <v>284.57182178422778</v>
      </c>
      <c r="AJ292" s="262">
        <f>AJ283*$R$18</f>
        <v>0</v>
      </c>
      <c r="AK292" s="262">
        <v>0</v>
      </c>
      <c r="AL292" s="273">
        <f t="shared" si="163"/>
        <v>284.57182178422778</v>
      </c>
    </row>
    <row r="293" spans="1:38" ht="14.4" customHeight="1">
      <c r="A293" s="547"/>
      <c r="B293" s="266" t="s">
        <v>40</v>
      </c>
      <c r="C293" s="267">
        <f>SUM(C281:C292)</f>
        <v>7316.3582178378883</v>
      </c>
      <c r="D293" s="267">
        <f t="shared" ref="D293:N293" si="166">SUM(D281:D292)</f>
        <v>0</v>
      </c>
      <c r="E293" s="267">
        <f t="shared" si="166"/>
        <v>4301.3271380801043</v>
      </c>
      <c r="F293" s="267">
        <f t="shared" si="166"/>
        <v>0</v>
      </c>
      <c r="G293" s="267">
        <f t="shared" si="166"/>
        <v>0</v>
      </c>
      <c r="H293" s="267">
        <f t="shared" si="166"/>
        <v>1103.5417545405016</v>
      </c>
      <c r="I293" s="267">
        <f t="shared" si="166"/>
        <v>12.337596024829276</v>
      </c>
      <c r="J293" s="267">
        <f t="shared" si="166"/>
        <v>0</v>
      </c>
      <c r="K293" s="267">
        <f t="shared" si="166"/>
        <v>0</v>
      </c>
      <c r="L293" s="267">
        <f t="shared" si="166"/>
        <v>0</v>
      </c>
      <c r="M293" s="267">
        <f t="shared" si="166"/>
        <v>0</v>
      </c>
      <c r="N293" s="267">
        <f t="shared" si="166"/>
        <v>0</v>
      </c>
      <c r="O293" s="267">
        <f>-O303</f>
        <v>-5295.5427993882231</v>
      </c>
      <c r="P293" s="267">
        <f>-P295</f>
        <v>0</v>
      </c>
      <c r="Q293" s="267">
        <f t="shared" ref="Q293" si="167">SUM(Q281:Q292)</f>
        <v>0</v>
      </c>
      <c r="R293" s="267">
        <f t="shared" si="162"/>
        <v>7438.0219070950998</v>
      </c>
      <c r="U293" s="547"/>
      <c r="V293" s="266" t="s">
        <v>40</v>
      </c>
      <c r="W293" s="267">
        <f>SUM(W281:W292)</f>
        <v>0</v>
      </c>
      <c r="X293" s="267">
        <f t="shared" ref="X293:AH293" si="168">SUM(X281:X292)</f>
        <v>0</v>
      </c>
      <c r="Y293" s="267">
        <f t="shared" si="168"/>
        <v>0</v>
      </c>
      <c r="Z293" s="267">
        <f t="shared" si="168"/>
        <v>0</v>
      </c>
      <c r="AA293" s="267">
        <f t="shared" si="168"/>
        <v>0</v>
      </c>
      <c r="AB293" s="267">
        <f t="shared" si="168"/>
        <v>3823.3162011761683</v>
      </c>
      <c r="AC293" s="267">
        <f t="shared" si="168"/>
        <v>1737.8710005346218</v>
      </c>
      <c r="AD293" s="267">
        <f t="shared" si="168"/>
        <v>1737.8710005346218</v>
      </c>
      <c r="AE293" s="267">
        <f t="shared" si="168"/>
        <v>4344.6775013365559</v>
      </c>
      <c r="AF293" s="267">
        <f t="shared" si="168"/>
        <v>0</v>
      </c>
      <c r="AG293" s="267">
        <f t="shared" si="168"/>
        <v>0</v>
      </c>
      <c r="AH293" s="267">
        <f t="shared" si="168"/>
        <v>0</v>
      </c>
      <c r="AI293" s="267">
        <f>-AI303</f>
        <v>-6622.1695046733048</v>
      </c>
      <c r="AJ293" s="267">
        <f>-AJ295</f>
        <v>0</v>
      </c>
      <c r="AK293" s="267">
        <f t="shared" ref="AK293" si="169">SUM(AK281:AK292)</f>
        <v>0</v>
      </c>
      <c r="AL293" s="267">
        <f t="shared" si="163"/>
        <v>5021.566198908663</v>
      </c>
    </row>
    <row r="294" spans="1:38" ht="14.4" customHeight="1">
      <c r="A294" s="547"/>
      <c r="B294" s="268"/>
      <c r="C294" s="269"/>
      <c r="D294" s="269"/>
      <c r="E294" s="276"/>
      <c r="F294" s="269"/>
      <c r="G294" s="269"/>
      <c r="H294" s="269"/>
      <c r="I294" s="276"/>
      <c r="J294" s="269"/>
      <c r="K294" s="269"/>
      <c r="L294" s="269"/>
      <c r="M294" s="277"/>
      <c r="N294" s="269"/>
      <c r="O294" s="269"/>
      <c r="P294" s="269"/>
      <c r="Q294" s="269"/>
      <c r="R294" s="269"/>
      <c r="U294" s="547"/>
      <c r="V294" s="268"/>
      <c r="W294" s="269"/>
      <c r="X294" s="269"/>
      <c r="Y294" s="276"/>
      <c r="Z294" s="269"/>
      <c r="AA294" s="269"/>
      <c r="AB294" s="269"/>
      <c r="AC294" s="276"/>
      <c r="AD294" s="269"/>
      <c r="AE294" s="269"/>
      <c r="AF294" s="269"/>
      <c r="AG294" s="277"/>
      <c r="AH294" s="269"/>
      <c r="AI294" s="269"/>
      <c r="AJ294" s="269"/>
      <c r="AK294" s="269"/>
      <c r="AL294" s="269"/>
    </row>
    <row r="295" spans="1:38" ht="14.4" customHeight="1">
      <c r="A295" s="547"/>
      <c r="B295" s="271" t="s">
        <v>41</v>
      </c>
      <c r="C295" s="262">
        <f>Industrie!$I$45</f>
        <v>1854.6930006562975</v>
      </c>
      <c r="D295" s="262">
        <v>0</v>
      </c>
      <c r="E295" s="262">
        <f>Industrie!$I$42</f>
        <v>4264.1025316068972</v>
      </c>
      <c r="F295" s="262">
        <v>0</v>
      </c>
      <c r="G295" s="262">
        <v>0</v>
      </c>
      <c r="H295" s="262">
        <v>0</v>
      </c>
      <c r="I295" s="262">
        <v>0</v>
      </c>
      <c r="J295" s="262">
        <v>0</v>
      </c>
      <c r="K295" s="262">
        <v>0</v>
      </c>
      <c r="L295" s="262">
        <v>0</v>
      </c>
      <c r="M295" s="262">
        <v>0</v>
      </c>
      <c r="N295" s="262">
        <v>0</v>
      </c>
      <c r="O295" s="262">
        <f>Industrie!$I$46</f>
        <v>4153.4606898453849</v>
      </c>
      <c r="P295" s="262">
        <f>Industrie!$I$52</f>
        <v>0</v>
      </c>
      <c r="Q295" s="262">
        <v>0</v>
      </c>
      <c r="R295" s="273">
        <f>SUM(C295:Q295)</f>
        <v>10272.256222108579</v>
      </c>
      <c r="U295" s="547"/>
      <c r="V295" s="271" t="s">
        <v>41</v>
      </c>
      <c r="W295" s="470">
        <f>Industrie!$I$75</f>
        <v>154.55775005469141</v>
      </c>
      <c r="X295" s="470">
        <v>0</v>
      </c>
      <c r="Y295" s="470">
        <f>Industrie!$I$72</f>
        <v>269.07553695782133</v>
      </c>
      <c r="Z295" s="262">
        <v>0</v>
      </c>
      <c r="AA295" s="262">
        <v>0</v>
      </c>
      <c r="AB295" s="262">
        <v>0</v>
      </c>
      <c r="AC295" s="470">
        <f>Industrie!$I$85*V$13/SUM($V$13:$AA$13)</f>
        <v>325.08812086341123</v>
      </c>
      <c r="AD295" s="470">
        <f>Industrie!$I$85*W$13/SUM($V$13:$AA$13)</f>
        <v>0</v>
      </c>
      <c r="AE295" s="470">
        <f>Industrie!$I$85*X$13/SUM($V$13:$AA$13)</f>
        <v>0</v>
      </c>
      <c r="AF295" s="470">
        <f>Industrie!$I$85*Y$13/SUM($V$13:$AA$13)</f>
        <v>54.216081264363446</v>
      </c>
      <c r="AG295" s="470">
        <f>Industrie!$I$85*Z$13/SUM($V$13:$AA$13)</f>
        <v>0</v>
      </c>
      <c r="AH295" s="470">
        <f>Industrie!$I$85*AA$13/SUM($V$13:$AA$13)</f>
        <v>1.1052836309312954</v>
      </c>
      <c r="AI295" s="262">
        <f>Industrie!$I$76</f>
        <v>5499.1277005812517</v>
      </c>
      <c r="AJ295" s="262">
        <f>Industrie!$I$86</f>
        <v>0</v>
      </c>
      <c r="AK295" s="262">
        <v>0</v>
      </c>
      <c r="AL295" s="273">
        <f>SUM(W295:AK295)</f>
        <v>6303.1704733524703</v>
      </c>
    </row>
    <row r="296" spans="1:38" ht="14.4" customHeight="1">
      <c r="A296" s="547"/>
      <c r="B296" s="271" t="s">
        <v>42</v>
      </c>
      <c r="C296" s="262">
        <v>0</v>
      </c>
      <c r="D296" s="262">
        <v>0</v>
      </c>
      <c r="E296" s="262">
        <f>Transports!$K$49+Transports!$I$106+Transports!$I$203</f>
        <v>2375.1443616899501</v>
      </c>
      <c r="F296" s="262">
        <v>0</v>
      </c>
      <c r="G296" s="262">
        <v>0</v>
      </c>
      <c r="H296" s="262">
        <v>0</v>
      </c>
      <c r="I296" s="262">
        <v>0</v>
      </c>
      <c r="J296" s="262">
        <v>0</v>
      </c>
      <c r="K296" s="262">
        <v>0</v>
      </c>
      <c r="L296" s="262">
        <v>0</v>
      </c>
      <c r="M296" s="262">
        <v>0</v>
      </c>
      <c r="N296" s="262">
        <v>0</v>
      </c>
      <c r="O296" s="262">
        <f>Transports!$K$50+Transports!$I$107</f>
        <v>117.91382635921696</v>
      </c>
      <c r="P296" s="262">
        <v>0</v>
      </c>
      <c r="Q296" s="262">
        <v>0</v>
      </c>
      <c r="R296" s="273">
        <f t="shared" ref="R296:R303" si="170">SUM(C296:Q296)</f>
        <v>2493.0581880491673</v>
      </c>
      <c r="U296" s="547"/>
      <c r="V296" s="271" t="s">
        <v>42</v>
      </c>
      <c r="W296" s="262">
        <v>0</v>
      </c>
      <c r="X296" s="262">
        <v>0</v>
      </c>
      <c r="Y296" s="262">
        <f>Transports!$K76+Transports!$I$150+Transports!$I$238</f>
        <v>360.36671123516527</v>
      </c>
      <c r="Z296" s="262">
        <v>0</v>
      </c>
      <c r="AA296" s="262">
        <v>0</v>
      </c>
      <c r="AB296" s="262">
        <v>0</v>
      </c>
      <c r="AC296" s="262">
        <v>0</v>
      </c>
      <c r="AD296" s="262">
        <v>0</v>
      </c>
      <c r="AE296" s="262">
        <f>Transports!$I$236+Transports!$I$237</f>
        <v>29.984813318904383</v>
      </c>
      <c r="AF296" s="262">
        <v>0</v>
      </c>
      <c r="AG296" s="262">
        <v>0</v>
      </c>
      <c r="AH296" s="262">
        <v>0</v>
      </c>
      <c r="AI296" s="262">
        <f>Transports!$K$77+Transports!$I$151</f>
        <v>839.60610979182695</v>
      </c>
      <c r="AJ296" s="262">
        <v>0</v>
      </c>
      <c r="AK296" s="262">
        <v>0</v>
      </c>
      <c r="AL296" s="273">
        <f t="shared" ref="AL296:AL303" si="171">SUM(W296:AK296)</f>
        <v>1229.9576343458966</v>
      </c>
    </row>
    <row r="297" spans="1:38" ht="14.4" customHeight="1">
      <c r="A297" s="547"/>
      <c r="B297" s="271" t="s">
        <v>43</v>
      </c>
      <c r="C297" s="262">
        <v>0</v>
      </c>
      <c r="D297" s="262">
        <v>0</v>
      </c>
      <c r="E297" s="262">
        <f>'Résidentiel-tertiaire'!$I$167</f>
        <v>217.78644813286567</v>
      </c>
      <c r="F297" s="262">
        <v>0</v>
      </c>
      <c r="G297" s="262">
        <v>0</v>
      </c>
      <c r="H297" s="262">
        <v>0</v>
      </c>
      <c r="I297" s="262">
        <f>'Résidentiel-tertiaire'!$I$168*$I$51/SUM($I$51:$N$51)</f>
        <v>0</v>
      </c>
      <c r="J297" s="262">
        <f>'Résidentiel-tertiaire'!$I$168*$J$51/SUM($I$51:$N$51)</f>
        <v>0</v>
      </c>
      <c r="K297" s="262">
        <f>'Résidentiel-tertiaire'!$I$168*$K$51/SUM($I$51:$N$51)</f>
        <v>0</v>
      </c>
      <c r="L297" s="262">
        <f>'Résidentiel-tertiaire'!$I$168*$L$51/SUM($I$51:$N$51)</f>
        <v>0</v>
      </c>
      <c r="M297" s="262">
        <f>'Résidentiel-tertiaire'!$I$168*$M$51/SUM($I$51:$N$51)</f>
        <v>0</v>
      </c>
      <c r="N297" s="262">
        <f>'Résidentiel-tertiaire'!$I$168*$N$51/SUM($I$51:$N$51)</f>
        <v>59.237913892139481</v>
      </c>
      <c r="O297" s="262">
        <f>'Résidentiel-tertiaire'!$I$169</f>
        <v>442.98849673525973</v>
      </c>
      <c r="P297" s="262">
        <v>0</v>
      </c>
      <c r="Q297" s="262">
        <v>0</v>
      </c>
      <c r="R297" s="273">
        <f t="shared" si="170"/>
        <v>720.01285876026486</v>
      </c>
      <c r="U297" s="547"/>
      <c r="V297" s="271" t="s">
        <v>43</v>
      </c>
      <c r="W297" s="262">
        <v>0</v>
      </c>
      <c r="X297" s="262">
        <v>0</v>
      </c>
      <c r="Y297" s="262">
        <f>'Résidentiel-tertiaire'!$I$181</f>
        <v>0</v>
      </c>
      <c r="Z297" s="262">
        <v>0</v>
      </c>
      <c r="AA297" s="262">
        <v>0</v>
      </c>
      <c r="AB297" s="262">
        <v>0</v>
      </c>
      <c r="AC297" s="262">
        <f>'Résidentiel-tertiaire'!$I$182*$AC$51/SUM($I$51:$N$51)</f>
        <v>0</v>
      </c>
      <c r="AD297" s="262">
        <f>'Résidentiel-tertiaire'!$I$182*$AD$51/SUM($I$51:$N$51)</f>
        <v>0</v>
      </c>
      <c r="AE297" s="262">
        <f>'Résidentiel-tertiaire'!$I$182*$AE$51/SUM($I$51:$N$51)</f>
        <v>0</v>
      </c>
      <c r="AF297" s="262">
        <f>'Résidentiel-tertiaire'!$I$182*$AF$51/SUM($I$51:$N$51)</f>
        <v>0</v>
      </c>
      <c r="AG297" s="262">
        <f>'Résidentiel-tertiaire'!$I$182*$AG$51/SUM($I$51:$N$51)</f>
        <v>0</v>
      </c>
      <c r="AH297" s="262">
        <f>'Résidentiel-tertiaire'!$I$182*$AH$51/SUM($I$51:$N$51)</f>
        <v>37.646656358131743</v>
      </c>
      <c r="AI297" s="262">
        <f>'Résidentiel-tertiaire'!$I$183</f>
        <v>155.2175844434025</v>
      </c>
      <c r="AJ297" s="262">
        <v>0</v>
      </c>
      <c r="AK297" s="262">
        <v>0</v>
      </c>
      <c r="AL297" s="273">
        <f t="shared" si="171"/>
        <v>192.86424080153424</v>
      </c>
    </row>
    <row r="298" spans="1:38" ht="14.4" customHeight="1">
      <c r="A298" s="547"/>
      <c r="B298" s="271" t="s">
        <v>44</v>
      </c>
      <c r="C298" s="262">
        <v>0</v>
      </c>
      <c r="D298" s="262">
        <v>0</v>
      </c>
      <c r="E298" s="262">
        <f>'Résidentiel-tertiaire'!$I$172</f>
        <v>0</v>
      </c>
      <c r="F298" s="262">
        <v>0</v>
      </c>
      <c r="G298" s="262">
        <v>0</v>
      </c>
      <c r="H298" s="262">
        <v>0</v>
      </c>
      <c r="I298" s="262">
        <v>0</v>
      </c>
      <c r="J298" s="262">
        <v>0</v>
      </c>
      <c r="K298" s="262">
        <v>0</v>
      </c>
      <c r="L298" s="262">
        <v>0</v>
      </c>
      <c r="M298" s="262">
        <v>0</v>
      </c>
      <c r="N298" s="262">
        <v>0</v>
      </c>
      <c r="O298" s="262">
        <f>'Résidentiel-tertiaire'!$I$174</f>
        <v>581.17978644836114</v>
      </c>
      <c r="P298" s="262">
        <v>0</v>
      </c>
      <c r="Q298" s="262">
        <v>0</v>
      </c>
      <c r="R298" s="273">
        <f t="shared" si="170"/>
        <v>581.17978644836114</v>
      </c>
      <c r="U298" s="547"/>
      <c r="V298" s="271" t="s">
        <v>44</v>
      </c>
      <c r="W298" s="262">
        <v>0</v>
      </c>
      <c r="X298" s="262">
        <v>0</v>
      </c>
      <c r="Y298" s="262">
        <f>'Résidentiel-tertiaire'!$I$186</f>
        <v>0</v>
      </c>
      <c r="Z298" s="262">
        <v>0</v>
      </c>
      <c r="AA298" s="262">
        <v>0</v>
      </c>
      <c r="AB298" s="262">
        <v>0</v>
      </c>
      <c r="AC298" s="470">
        <v>0</v>
      </c>
      <c r="AD298" s="470">
        <v>0</v>
      </c>
      <c r="AE298" s="470">
        <v>0</v>
      </c>
      <c r="AF298" s="470">
        <v>0</v>
      </c>
      <c r="AG298" s="470">
        <v>0</v>
      </c>
      <c r="AH298" s="470">
        <v>0</v>
      </c>
      <c r="AI298" s="262">
        <f>'Résidentiel-tertiaire'!$I$188</f>
        <v>128.21810985682313</v>
      </c>
      <c r="AJ298" s="262">
        <v>0</v>
      </c>
      <c r="AK298" s="262">
        <v>0</v>
      </c>
      <c r="AL298" s="273">
        <f t="shared" si="171"/>
        <v>128.21810985682313</v>
      </c>
    </row>
    <row r="299" spans="1:38" ht="14.4" customHeight="1">
      <c r="A299" s="547"/>
      <c r="B299" s="271" t="s">
        <v>4</v>
      </c>
      <c r="C299" s="262">
        <v>0</v>
      </c>
      <c r="D299" s="262">
        <v>0</v>
      </c>
      <c r="E299" s="262">
        <f>Agriculture!$Y$27</f>
        <v>65.000070000000008</v>
      </c>
      <c r="F299" s="262">
        <v>0</v>
      </c>
      <c r="G299" s="262">
        <v>0</v>
      </c>
      <c r="H299" s="262">
        <v>0</v>
      </c>
      <c r="I299" s="262">
        <v>0</v>
      </c>
      <c r="J299" s="262">
        <v>0</v>
      </c>
      <c r="K299" s="262">
        <v>0</v>
      </c>
      <c r="L299" s="262">
        <v>0</v>
      </c>
      <c r="M299" s="262">
        <v>0</v>
      </c>
      <c r="N299" s="262">
        <v>0</v>
      </c>
      <c r="O299" s="262">
        <f>Agriculture!$Y$28</f>
        <v>0</v>
      </c>
      <c r="P299" s="262">
        <v>0</v>
      </c>
      <c r="Q299" s="262">
        <v>0</v>
      </c>
      <c r="R299" s="273">
        <f t="shared" si="170"/>
        <v>65.000070000000008</v>
      </c>
      <c r="U299" s="547"/>
      <c r="V299" s="271" t="s">
        <v>4</v>
      </c>
      <c r="W299" s="262">
        <v>0</v>
      </c>
      <c r="X299" s="262">
        <v>0</v>
      </c>
      <c r="Y299" s="262">
        <f>Agriculture!$AG$43</f>
        <v>0</v>
      </c>
      <c r="Z299" s="262">
        <v>0</v>
      </c>
      <c r="AA299" s="262">
        <v>0</v>
      </c>
      <c r="AB299" s="262">
        <v>0</v>
      </c>
      <c r="AC299" s="262">
        <v>0</v>
      </c>
      <c r="AD299" s="262">
        <v>0</v>
      </c>
      <c r="AE299" s="262">
        <f>Agriculture!$AG$45</f>
        <v>39.000042000000001</v>
      </c>
      <c r="AF299" s="262">
        <v>0</v>
      </c>
      <c r="AG299" s="262">
        <v>0</v>
      </c>
      <c r="AH299" s="262">
        <v>0</v>
      </c>
      <c r="AI299" s="262">
        <f>Agriculture!$AG$44</f>
        <v>0</v>
      </c>
      <c r="AJ299" s="262">
        <v>0</v>
      </c>
      <c r="AK299" s="262">
        <v>0</v>
      </c>
      <c r="AL299" s="273">
        <f t="shared" si="171"/>
        <v>39.000042000000001</v>
      </c>
    </row>
    <row r="300" spans="1:38" ht="14.4" customHeight="1">
      <c r="A300" s="547"/>
      <c r="B300" s="271" t="s">
        <v>385</v>
      </c>
      <c r="C300" s="262">
        <v>0</v>
      </c>
      <c r="D300" s="262">
        <v>0</v>
      </c>
      <c r="E300" s="262">
        <v>0</v>
      </c>
      <c r="F300" s="262">
        <v>0</v>
      </c>
      <c r="G300" s="262">
        <v>0</v>
      </c>
      <c r="H300" s="262">
        <v>0</v>
      </c>
      <c r="I300" s="262">
        <v>0</v>
      </c>
      <c r="J300" s="262">
        <v>0</v>
      </c>
      <c r="K300" s="262">
        <v>0</v>
      </c>
      <c r="L300" s="262">
        <v>0</v>
      </c>
      <c r="M300" s="262">
        <v>0</v>
      </c>
      <c r="N300" s="262">
        <v>0</v>
      </c>
      <c r="O300" s="262">
        <v>0</v>
      </c>
      <c r="P300" s="262">
        <v>0</v>
      </c>
      <c r="Q300" s="262">
        <v>0</v>
      </c>
      <c r="R300" s="273">
        <f t="shared" si="170"/>
        <v>0</v>
      </c>
      <c r="U300" s="547"/>
      <c r="V300" s="271" t="s">
        <v>385</v>
      </c>
      <c r="W300" s="262">
        <v>0</v>
      </c>
      <c r="X300" s="262">
        <v>0</v>
      </c>
      <c r="Y300" s="262">
        <v>0</v>
      </c>
      <c r="Z300" s="262">
        <v>0</v>
      </c>
      <c r="AA300" s="262">
        <v>0</v>
      </c>
      <c r="AB300" s="262">
        <v>0</v>
      </c>
      <c r="AC300" s="262">
        <v>0</v>
      </c>
      <c r="AD300" s="262">
        <v>0</v>
      </c>
      <c r="AE300" s="262">
        <v>0</v>
      </c>
      <c r="AF300" s="262">
        <v>0</v>
      </c>
      <c r="AG300" s="262">
        <v>0</v>
      </c>
      <c r="AH300" s="262">
        <v>0</v>
      </c>
      <c r="AI300" s="262">
        <v>0</v>
      </c>
      <c r="AJ300" s="262">
        <v>0</v>
      </c>
      <c r="AK300" s="262">
        <v>0</v>
      </c>
      <c r="AL300" s="273">
        <f t="shared" si="171"/>
        <v>0</v>
      </c>
    </row>
    <row r="301" spans="1:38" ht="14.4" customHeight="1">
      <c r="A301" s="547"/>
      <c r="B301" s="266" t="s">
        <v>45</v>
      </c>
      <c r="C301" s="267">
        <f>SUM(C295:C300)</f>
        <v>1854.6930006562975</v>
      </c>
      <c r="D301" s="267">
        <f t="shared" ref="D301:Q301" si="172">SUM(D295:D300)</f>
        <v>0</v>
      </c>
      <c r="E301" s="267">
        <f t="shared" si="172"/>
        <v>6922.0334114297139</v>
      </c>
      <c r="F301" s="267">
        <f t="shared" si="172"/>
        <v>0</v>
      </c>
      <c r="G301" s="267">
        <f t="shared" si="172"/>
        <v>0</v>
      </c>
      <c r="H301" s="267">
        <f t="shared" si="172"/>
        <v>0</v>
      </c>
      <c r="I301" s="267">
        <f t="shared" si="172"/>
        <v>0</v>
      </c>
      <c r="J301" s="267">
        <f t="shared" si="172"/>
        <v>0</v>
      </c>
      <c r="K301" s="267">
        <f t="shared" si="172"/>
        <v>0</v>
      </c>
      <c r="L301" s="267">
        <f t="shared" si="172"/>
        <v>0</v>
      </c>
      <c r="M301" s="267">
        <f t="shared" si="172"/>
        <v>0</v>
      </c>
      <c r="N301" s="267">
        <f t="shared" si="172"/>
        <v>59.237913892139481</v>
      </c>
      <c r="O301" s="267">
        <f t="shared" si="172"/>
        <v>5295.5427993882231</v>
      </c>
      <c r="P301" s="267">
        <f t="shared" si="172"/>
        <v>0</v>
      </c>
      <c r="Q301" s="267">
        <f t="shared" si="172"/>
        <v>0</v>
      </c>
      <c r="R301" s="267">
        <f t="shared" si="170"/>
        <v>14131.507125366374</v>
      </c>
      <c r="U301" s="547"/>
      <c r="V301" s="266" t="s">
        <v>45</v>
      </c>
      <c r="W301" s="267">
        <f>SUM(W295:W300)</f>
        <v>154.55775005469141</v>
      </c>
      <c r="X301" s="267">
        <f t="shared" ref="X301:AK301" si="173">SUM(X295:X300)</f>
        <v>0</v>
      </c>
      <c r="Y301" s="267">
        <f t="shared" si="173"/>
        <v>629.44224819298665</v>
      </c>
      <c r="Z301" s="267">
        <f t="shared" si="173"/>
        <v>0</v>
      </c>
      <c r="AA301" s="267">
        <f t="shared" si="173"/>
        <v>0</v>
      </c>
      <c r="AB301" s="267">
        <f t="shared" si="173"/>
        <v>0</v>
      </c>
      <c r="AC301" s="267">
        <f t="shared" si="173"/>
        <v>325.08812086341123</v>
      </c>
      <c r="AD301" s="267">
        <f t="shared" si="173"/>
        <v>0</v>
      </c>
      <c r="AE301" s="267">
        <f t="shared" si="173"/>
        <v>68.98485531890438</v>
      </c>
      <c r="AF301" s="267">
        <f t="shared" si="173"/>
        <v>54.216081264363446</v>
      </c>
      <c r="AG301" s="267">
        <f t="shared" si="173"/>
        <v>0</v>
      </c>
      <c r="AH301" s="267">
        <f t="shared" si="173"/>
        <v>38.75193998906304</v>
      </c>
      <c r="AI301" s="267">
        <f t="shared" si="173"/>
        <v>6622.1695046733048</v>
      </c>
      <c r="AJ301" s="267">
        <f t="shared" si="173"/>
        <v>0</v>
      </c>
      <c r="AK301" s="267">
        <f t="shared" si="173"/>
        <v>0</v>
      </c>
      <c r="AL301" s="267">
        <f t="shared" si="171"/>
        <v>7893.2105003567249</v>
      </c>
    </row>
    <row r="302" spans="1:38" ht="14.4" customHeight="1">
      <c r="A302" s="547"/>
      <c r="B302" s="261" t="s">
        <v>46</v>
      </c>
      <c r="C302" s="470">
        <f>Industrie!$I$50</f>
        <v>2766.3530427699402</v>
      </c>
      <c r="D302" s="262">
        <v>0</v>
      </c>
      <c r="E302" s="262">
        <f>Industrie!$I$49</f>
        <v>286.0471792056976</v>
      </c>
      <c r="F302" s="262">
        <v>0</v>
      </c>
      <c r="G302" s="262">
        <v>0</v>
      </c>
      <c r="H302" s="262">
        <v>0</v>
      </c>
      <c r="I302" s="262">
        <v>0</v>
      </c>
      <c r="J302" s="262">
        <v>0</v>
      </c>
      <c r="K302" s="262">
        <v>0</v>
      </c>
      <c r="L302" s="262">
        <v>0</v>
      </c>
      <c r="M302" s="262">
        <v>0</v>
      </c>
      <c r="N302" s="262">
        <v>0</v>
      </c>
      <c r="O302" s="262">
        <v>0</v>
      </c>
      <c r="P302" s="262">
        <v>0</v>
      </c>
      <c r="Q302" s="262">
        <v>0</v>
      </c>
      <c r="R302" s="273">
        <f t="shared" si="170"/>
        <v>3052.4002219756376</v>
      </c>
      <c r="U302" s="547"/>
      <c r="V302" s="261" t="s">
        <v>46</v>
      </c>
      <c r="W302" s="470">
        <f>Industrie!$I$82</f>
        <v>1844.2353618466266</v>
      </c>
      <c r="X302" s="262">
        <v>0</v>
      </c>
      <c r="Y302" s="262">
        <f>Industrie!$I$80</f>
        <v>143.68817825872793</v>
      </c>
      <c r="Z302" s="262">
        <v>0</v>
      </c>
      <c r="AA302" s="262">
        <v>0</v>
      </c>
      <c r="AB302" s="262">
        <v>0</v>
      </c>
      <c r="AC302" s="470">
        <f>Industrie!$I$84</f>
        <v>43.106453477618381</v>
      </c>
      <c r="AD302" s="262">
        <v>0</v>
      </c>
      <c r="AE302" s="262">
        <v>0</v>
      </c>
      <c r="AF302" s="262">
        <v>0</v>
      </c>
      <c r="AG302" s="262">
        <v>0</v>
      </c>
      <c r="AH302" s="262">
        <v>0</v>
      </c>
      <c r="AI302" s="262">
        <v>0</v>
      </c>
      <c r="AJ302" s="262">
        <v>0</v>
      </c>
      <c r="AK302" s="262">
        <v>0</v>
      </c>
      <c r="AL302" s="273">
        <f t="shared" si="171"/>
        <v>2031.0299935829728</v>
      </c>
    </row>
    <row r="303" spans="1:38" ht="14.4" customHeight="1">
      <c r="A303" s="547"/>
      <c r="B303" s="266" t="s">
        <v>47</v>
      </c>
      <c r="C303" s="267">
        <f>C302+C301</f>
        <v>4621.0460434262377</v>
      </c>
      <c r="D303" s="267">
        <f t="shared" ref="D303:Q303" si="174">D302+D301</f>
        <v>0</v>
      </c>
      <c r="E303" s="267">
        <f t="shared" si="174"/>
        <v>7208.0805906354117</v>
      </c>
      <c r="F303" s="267">
        <f t="shared" si="174"/>
        <v>0</v>
      </c>
      <c r="G303" s="267">
        <f t="shared" si="174"/>
        <v>0</v>
      </c>
      <c r="H303" s="267">
        <f t="shared" si="174"/>
        <v>0</v>
      </c>
      <c r="I303" s="267">
        <f t="shared" si="174"/>
        <v>0</v>
      </c>
      <c r="J303" s="267">
        <f t="shared" si="174"/>
        <v>0</v>
      </c>
      <c r="K303" s="267">
        <f t="shared" si="174"/>
        <v>0</v>
      </c>
      <c r="L303" s="267">
        <f t="shared" si="174"/>
        <v>0</v>
      </c>
      <c r="M303" s="267">
        <f t="shared" si="174"/>
        <v>0</v>
      </c>
      <c r="N303" s="267">
        <f t="shared" si="174"/>
        <v>59.237913892139481</v>
      </c>
      <c r="O303" s="267">
        <f t="shared" si="174"/>
        <v>5295.5427993882231</v>
      </c>
      <c r="P303" s="267">
        <f t="shared" si="174"/>
        <v>0</v>
      </c>
      <c r="Q303" s="267">
        <f t="shared" si="174"/>
        <v>0</v>
      </c>
      <c r="R303" s="267">
        <f t="shared" si="170"/>
        <v>17183.90734734201</v>
      </c>
      <c r="U303" s="547"/>
      <c r="V303" s="266" t="s">
        <v>47</v>
      </c>
      <c r="W303" s="267">
        <f>W302+W301</f>
        <v>1998.7931119013181</v>
      </c>
      <c r="X303" s="267">
        <f t="shared" ref="X303:AK303" si="175">X302+X301</f>
        <v>0</v>
      </c>
      <c r="Y303" s="267">
        <f t="shared" si="175"/>
        <v>773.13042645171458</v>
      </c>
      <c r="Z303" s="267">
        <f t="shared" si="175"/>
        <v>0</v>
      </c>
      <c r="AA303" s="267">
        <f t="shared" si="175"/>
        <v>0</v>
      </c>
      <c r="AB303" s="267">
        <f t="shared" si="175"/>
        <v>0</v>
      </c>
      <c r="AC303" s="267">
        <f t="shared" si="175"/>
        <v>368.19457434102964</v>
      </c>
      <c r="AD303" s="267">
        <f t="shared" si="175"/>
        <v>0</v>
      </c>
      <c r="AE303" s="267">
        <f t="shared" si="175"/>
        <v>68.98485531890438</v>
      </c>
      <c r="AF303" s="267">
        <f t="shared" si="175"/>
        <v>54.216081264363446</v>
      </c>
      <c r="AG303" s="267">
        <f t="shared" si="175"/>
        <v>0</v>
      </c>
      <c r="AH303" s="267">
        <f t="shared" si="175"/>
        <v>38.75193998906304</v>
      </c>
      <c r="AI303" s="267">
        <f t="shared" si="175"/>
        <v>6622.1695046733048</v>
      </c>
      <c r="AJ303" s="267">
        <f t="shared" si="175"/>
        <v>0</v>
      </c>
      <c r="AK303" s="267">
        <f t="shared" si="175"/>
        <v>0</v>
      </c>
      <c r="AL303" s="267">
        <f t="shared" si="171"/>
        <v>9924.2404939396984</v>
      </c>
    </row>
    <row r="306" spans="38:38">
      <c r="AL306" s="473">
        <f>AL303+AL293</f>
        <v>14945.80669284836</v>
      </c>
    </row>
  </sheetData>
  <mergeCells count="186">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 ref="G271:G272"/>
    <mergeCell ref="H271:H272"/>
    <mergeCell ref="I271:N271"/>
    <mergeCell ref="O271:O272"/>
    <mergeCell ref="P271:P272"/>
    <mergeCell ref="Q271:Q272"/>
    <mergeCell ref="A271:A303"/>
    <mergeCell ref="B271:B272"/>
    <mergeCell ref="C271:C272"/>
    <mergeCell ref="D271:D272"/>
    <mergeCell ref="E271:E272"/>
    <mergeCell ref="F271:F272"/>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J148:AJ149"/>
    <mergeCell ref="AK148:AK149"/>
    <mergeCell ref="AL148:AL149"/>
    <mergeCell ref="V148:V149"/>
    <mergeCell ref="W148:W149"/>
    <mergeCell ref="X148:X149"/>
    <mergeCell ref="Y148:Y149"/>
    <mergeCell ref="Z148:Z149"/>
    <mergeCell ref="AA148:AA149"/>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I107:N107"/>
    <mergeCell ref="O107:O108"/>
    <mergeCell ref="P107:P108"/>
    <mergeCell ref="Q107:Q108"/>
    <mergeCell ref="A107:A139"/>
    <mergeCell ref="B107:B108"/>
    <mergeCell ref="C107:C108"/>
    <mergeCell ref="D107:D108"/>
    <mergeCell ref="E107:E108"/>
    <mergeCell ref="F107:F108"/>
    <mergeCell ref="AB66:AB67"/>
    <mergeCell ref="AC66:AH66"/>
    <mergeCell ref="AI66:AI67"/>
    <mergeCell ref="AJ66:AJ67"/>
    <mergeCell ref="AK66:AK67"/>
    <mergeCell ref="AL66:AL67"/>
    <mergeCell ref="V66:V67"/>
    <mergeCell ref="W66:W67"/>
    <mergeCell ref="X66:X67"/>
    <mergeCell ref="Y66:Y67"/>
    <mergeCell ref="Z66:Z67"/>
    <mergeCell ref="AA66:AA67"/>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s>
  <conditionalFormatting sqref="D44:F44 C45:F46 I26:M26 O48:R48 C48:H48 G44:H46 C40:H43 I40:Q46 O30:R32 D30:H32 I30:N31 P27:R29 F27:F29 C27:C32 C33:R35 C47:Q47 C36:H37 R36:R47 O36:Q37">
    <cfRule type="cellIs" dxfId="826" priority="1698" operator="equal">
      <formula>0</formula>
    </cfRule>
  </conditionalFormatting>
  <conditionalFormatting sqref="O27:O32">
    <cfRule type="cellIs" dxfId="825" priority="1699" operator="equal">
      <formula>0</formula>
    </cfRule>
  </conditionalFormatting>
  <conditionalFormatting sqref="C27:D32 G27:H32">
    <cfRule type="cellIs" dxfId="824" priority="1700" operator="equal">
      <formula>0</formula>
    </cfRule>
  </conditionalFormatting>
  <conditionalFormatting sqref="E27:E32">
    <cfRule type="cellIs" dxfId="823" priority="1701" operator="equal">
      <formula>0</formula>
    </cfRule>
  </conditionalFormatting>
  <conditionalFormatting sqref="C44">
    <cfRule type="cellIs" dxfId="822" priority="1702" operator="equal">
      <formula>0</formula>
    </cfRule>
  </conditionalFormatting>
  <conditionalFormatting sqref="N26">
    <cfRule type="cellIs" dxfId="821" priority="1703" operator="equal">
      <formula>0</formula>
    </cfRule>
  </conditionalFormatting>
  <conditionalFormatting sqref="I30:I32 I48">
    <cfRule type="cellIs" dxfId="820" priority="1704" operator="equal">
      <formula>0</formula>
    </cfRule>
  </conditionalFormatting>
  <conditionalFormatting sqref="I27:I32 J27:N27">
    <cfRule type="cellIs" dxfId="819" priority="1705" operator="equal">
      <formula>0</formula>
    </cfRule>
  </conditionalFormatting>
  <conditionalFormatting sqref="J30:J32 J48">
    <cfRule type="cellIs" dxfId="818" priority="1706" operator="equal">
      <formula>0</formula>
    </cfRule>
  </conditionalFormatting>
  <conditionalFormatting sqref="J27:J32">
    <cfRule type="cellIs" dxfId="817" priority="1707" operator="equal">
      <formula>0</formula>
    </cfRule>
  </conditionalFormatting>
  <conditionalFormatting sqref="K30:K32 K48">
    <cfRule type="cellIs" dxfId="816" priority="1708" operator="equal">
      <formula>0</formula>
    </cfRule>
  </conditionalFormatting>
  <conditionalFormatting sqref="K27:K32">
    <cfRule type="cellIs" dxfId="815" priority="1709" operator="equal">
      <formula>0</formula>
    </cfRule>
  </conditionalFormatting>
  <conditionalFormatting sqref="L30:L32 L48">
    <cfRule type="cellIs" dxfId="814" priority="1710" operator="equal">
      <formula>0</formula>
    </cfRule>
  </conditionalFormatting>
  <conditionalFormatting sqref="L27:L32">
    <cfRule type="cellIs" dxfId="813" priority="1711" operator="equal">
      <formula>0</formula>
    </cfRule>
  </conditionalFormatting>
  <conditionalFormatting sqref="M30:M32 M48">
    <cfRule type="cellIs" dxfId="812" priority="1712" operator="equal">
      <formula>0</formula>
    </cfRule>
  </conditionalFormatting>
  <conditionalFormatting sqref="M27:M32">
    <cfRule type="cellIs" dxfId="811" priority="1713" operator="equal">
      <formula>0</formula>
    </cfRule>
  </conditionalFormatting>
  <conditionalFormatting sqref="N30:N32 N48">
    <cfRule type="cellIs" dxfId="810" priority="1714" operator="equal">
      <formula>0</formula>
    </cfRule>
  </conditionalFormatting>
  <conditionalFormatting sqref="N27:N32">
    <cfRule type="cellIs" dxfId="809" priority="1715" operator="equal">
      <formula>0</formula>
    </cfRule>
  </conditionalFormatting>
  <conditionalFormatting sqref="C35:R35 C40:Q47 C36:H37 R36:R47 O36:Q37 C27:R33">
    <cfRule type="expression" dxfId="808" priority="1716">
      <formula>LEN(TRIM(C27))=0</formula>
    </cfRule>
  </conditionalFormatting>
  <conditionalFormatting sqref="K30:K31">
    <cfRule type="cellIs" dxfId="807" priority="1717" operator="equal">
      <formula>0</formula>
    </cfRule>
  </conditionalFormatting>
  <conditionalFormatting sqref="L30:L31">
    <cfRule type="cellIs" dxfId="806" priority="1718" operator="equal">
      <formula>0</formula>
    </cfRule>
  </conditionalFormatting>
  <conditionalFormatting sqref="C38:Q39">
    <cfRule type="cellIs" dxfId="805" priority="1719" operator="equal">
      <formula>0</formula>
    </cfRule>
  </conditionalFormatting>
  <conditionalFormatting sqref="O38:O39">
    <cfRule type="cellIs" dxfId="804" priority="1720" operator="equal">
      <formula>0</formula>
    </cfRule>
  </conditionalFormatting>
  <conditionalFormatting sqref="C38:Q39">
    <cfRule type="expression" dxfId="803" priority="1721">
      <formula>LEN(TRIM(C38))=0</formula>
    </cfRule>
  </conditionalFormatting>
  <conditionalFormatting sqref="M30:N30">
    <cfRule type="cellIs" dxfId="802" priority="1722" operator="equal">
      <formula>0</formula>
    </cfRule>
  </conditionalFormatting>
  <conditionalFormatting sqref="M31:N31">
    <cfRule type="cellIs" dxfId="801" priority="1723" operator="equal">
      <formula>0</formula>
    </cfRule>
  </conditionalFormatting>
  <conditionalFormatting sqref="C50:Q55 R49:R54 R56 C49:H49 O49:Q49">
    <cfRule type="cellIs" dxfId="800" priority="1724" operator="equal">
      <formula>0</formula>
    </cfRule>
  </conditionalFormatting>
  <conditionalFormatting sqref="C56:Q56">
    <cfRule type="cellIs" dxfId="799" priority="1725" operator="equal">
      <formula>0</formula>
    </cfRule>
  </conditionalFormatting>
  <conditionalFormatting sqref="C50:R54 C56:R56 C55:Q55 C49:H49 O49:R49">
    <cfRule type="expression" dxfId="798" priority="1726">
      <formula>LEN(TRIM(C49))=0</formula>
    </cfRule>
  </conditionalFormatting>
  <conditionalFormatting sqref="C56:Q56">
    <cfRule type="cellIs" dxfId="797" priority="1727" operator="equal">
      <formula>0</formula>
    </cfRule>
  </conditionalFormatting>
  <conditionalFormatting sqref="C57:Q57">
    <cfRule type="cellIs" dxfId="796" priority="1728" operator="equal">
      <formula>0</formula>
    </cfRule>
  </conditionalFormatting>
  <conditionalFormatting sqref="C57:Q57">
    <cfRule type="expression" dxfId="795" priority="1729">
      <formula>LEN(TRIM(C57))=0</formula>
    </cfRule>
  </conditionalFormatting>
  <conditionalFormatting sqref="R57">
    <cfRule type="cellIs" dxfId="794" priority="1696" operator="equal">
      <formula>0</formula>
    </cfRule>
  </conditionalFormatting>
  <conditionalFormatting sqref="R57">
    <cfRule type="expression" dxfId="793" priority="1697">
      <formula>LEN(TRIM(R57))=0</formula>
    </cfRule>
  </conditionalFormatting>
  <conditionalFormatting sqref="R55">
    <cfRule type="cellIs" dxfId="792" priority="1694" operator="equal">
      <formula>0</formula>
    </cfRule>
  </conditionalFormatting>
  <conditionalFormatting sqref="R55">
    <cfRule type="expression" dxfId="791" priority="1695">
      <formula>LEN(TRIM(R55))=0</formula>
    </cfRule>
  </conditionalFormatting>
  <conditionalFormatting sqref="I49:N49">
    <cfRule type="cellIs" dxfId="790" priority="1692" operator="equal">
      <formula>0</formula>
    </cfRule>
  </conditionalFormatting>
  <conditionalFormatting sqref="I49:N49">
    <cfRule type="expression" dxfId="789" priority="1693">
      <formula>LEN(TRIM(I49))=0</formula>
    </cfRule>
  </conditionalFormatting>
  <conditionalFormatting sqref="I36:N37">
    <cfRule type="cellIs" dxfId="788" priority="1690" operator="equal">
      <formula>0</formula>
    </cfRule>
  </conditionalFormatting>
  <conditionalFormatting sqref="I36:N37">
    <cfRule type="expression" dxfId="787" priority="1691">
      <formula>LEN(TRIM(I36))=0</formula>
    </cfRule>
  </conditionalFormatting>
  <conditionalFormatting sqref="AC26:AG26">
    <cfRule type="cellIs" dxfId="786" priority="1658" operator="equal">
      <formula>0</formula>
    </cfRule>
  </conditionalFormatting>
  <conditionalFormatting sqref="AH26">
    <cfRule type="cellIs" dxfId="785" priority="1663" operator="equal">
      <formula>0</formula>
    </cfRule>
  </conditionalFormatting>
  <conditionalFormatting sqref="AC190:AG190">
    <cfRule type="cellIs" dxfId="784" priority="1263" operator="equal">
      <formula>0</formula>
    </cfRule>
  </conditionalFormatting>
  <conditionalFormatting sqref="AH190">
    <cfRule type="cellIs" dxfId="783" priority="1268" operator="equal">
      <formula>0</formula>
    </cfRule>
  </conditionalFormatting>
  <conditionalFormatting sqref="W38:AK39">
    <cfRule type="cellIs" dxfId="782" priority="1142" operator="equal">
      <formula>0</formula>
    </cfRule>
  </conditionalFormatting>
  <conditionalFormatting sqref="I67:M67">
    <cfRule type="cellIs" dxfId="781" priority="1618" operator="equal">
      <formula>0</formula>
    </cfRule>
  </conditionalFormatting>
  <conditionalFormatting sqref="N67">
    <cfRule type="cellIs" dxfId="780" priority="1623" operator="equal">
      <formula>0</formula>
    </cfRule>
  </conditionalFormatting>
  <conditionalFormatting sqref="I108:M108">
    <cfRule type="cellIs" dxfId="779" priority="1578" operator="equal">
      <formula>0</formula>
    </cfRule>
  </conditionalFormatting>
  <conditionalFormatting sqref="N108">
    <cfRule type="cellIs" dxfId="778" priority="1583" operator="equal">
      <formula>0</formula>
    </cfRule>
  </conditionalFormatting>
  <conditionalFormatting sqref="I149:M149">
    <cfRule type="cellIs" dxfId="777" priority="1538" operator="equal">
      <formula>0</formula>
    </cfRule>
  </conditionalFormatting>
  <conditionalFormatting sqref="N149">
    <cfRule type="cellIs" dxfId="776" priority="1543" operator="equal">
      <formula>0</formula>
    </cfRule>
  </conditionalFormatting>
  <conditionalFormatting sqref="AC149:AG149">
    <cfRule type="cellIs" dxfId="775" priority="1303" operator="equal">
      <formula>0</formula>
    </cfRule>
  </conditionalFormatting>
  <conditionalFormatting sqref="AH149">
    <cfRule type="cellIs" dxfId="774" priority="1308" operator="equal">
      <formula>0</formula>
    </cfRule>
  </conditionalFormatting>
  <conditionalFormatting sqref="I190:M190">
    <cfRule type="cellIs" dxfId="773" priority="1498" operator="equal">
      <formula>0</formula>
    </cfRule>
  </conditionalFormatting>
  <conditionalFormatting sqref="N190">
    <cfRule type="cellIs" dxfId="772" priority="1503" operator="equal">
      <formula>0</formula>
    </cfRule>
  </conditionalFormatting>
  <conditionalFormatting sqref="I231:M231">
    <cfRule type="cellIs" dxfId="771" priority="1458" operator="equal">
      <formula>0</formula>
    </cfRule>
  </conditionalFormatting>
  <conditionalFormatting sqref="N231">
    <cfRule type="cellIs" dxfId="770" priority="1463" operator="equal">
      <formula>0</formula>
    </cfRule>
  </conditionalFormatting>
  <conditionalFormatting sqref="AC108:AG108">
    <cfRule type="cellIs" dxfId="769" priority="1343" operator="equal">
      <formula>0</formula>
    </cfRule>
  </conditionalFormatting>
  <conditionalFormatting sqref="AH108">
    <cfRule type="cellIs" dxfId="768" priority="1348" operator="equal">
      <formula>0</formula>
    </cfRule>
  </conditionalFormatting>
  <conditionalFormatting sqref="I272:M272">
    <cfRule type="cellIs" dxfId="767" priority="1418" operator="equal">
      <formula>0</formula>
    </cfRule>
  </conditionalFormatting>
  <conditionalFormatting sqref="N272">
    <cfRule type="cellIs" dxfId="766" priority="1423" operator="equal">
      <formula>0</formula>
    </cfRule>
  </conditionalFormatting>
  <conditionalFormatting sqref="AC67:AH67">
    <cfRule type="cellIs" dxfId="765" priority="1379" operator="equal">
      <formula>0</formula>
    </cfRule>
  </conditionalFormatting>
  <conditionalFormatting sqref="V68:V73">
    <cfRule type="cellIs" dxfId="764" priority="1381" operator="equal">
      <formula>0</formula>
    </cfRule>
  </conditionalFormatting>
  <conditionalFormatting sqref="V79:V80">
    <cfRule type="cellIs" dxfId="763" priority="1399" operator="equal">
      <formula>0</formula>
    </cfRule>
  </conditionalFormatting>
  <conditionalFormatting sqref="V90:V96">
    <cfRule type="cellIs" dxfId="762" priority="1404" operator="equal">
      <formula>0</formula>
    </cfRule>
  </conditionalFormatting>
  <conditionalFormatting sqref="V97">
    <cfRule type="cellIs" dxfId="761" priority="1405" operator="equal">
      <formula>0</formula>
    </cfRule>
  </conditionalFormatting>
  <conditionalFormatting sqref="V98">
    <cfRule type="cellIs" dxfId="760" priority="1408" operator="equal">
      <formula>0</formula>
    </cfRule>
  </conditionalFormatting>
  <conditionalFormatting sqref="D85:F85 C86:F87 O89:R89 C89:H89 G85:H87 C81:H84 I81:Q87 O71:R73 D71:H73 I71:N72 P68:R70 F68:F70 C68:C73 C76:R76 P75:R75 C75:N75 C88:Q88 R77:R88 C74:R74 R69:R74 C77:Q78">
    <cfRule type="cellIs" dxfId="759" priority="1091" operator="equal">
      <formula>0</formula>
    </cfRule>
  </conditionalFormatting>
  <conditionalFormatting sqref="O68:O73">
    <cfRule type="cellIs" dxfId="758" priority="1092" operator="equal">
      <formula>0</formula>
    </cfRule>
  </conditionalFormatting>
  <conditionalFormatting sqref="C68:D73 G68:H73">
    <cfRule type="cellIs" dxfId="757" priority="1093" operator="equal">
      <formula>0</formula>
    </cfRule>
  </conditionalFormatting>
  <conditionalFormatting sqref="E68:E73">
    <cfRule type="cellIs" dxfId="756" priority="1094" operator="equal">
      <formula>0</formula>
    </cfRule>
  </conditionalFormatting>
  <conditionalFormatting sqref="C85">
    <cfRule type="cellIs" dxfId="755" priority="1095" operator="equal">
      <formula>0</formula>
    </cfRule>
  </conditionalFormatting>
  <conditionalFormatting sqref="I71:I73 I89">
    <cfRule type="cellIs" dxfId="754" priority="1096" operator="equal">
      <formula>0</formula>
    </cfRule>
  </conditionalFormatting>
  <conditionalFormatting sqref="I68:I73 J68:N68">
    <cfRule type="cellIs" dxfId="753" priority="1097" operator="equal">
      <formula>0</formula>
    </cfRule>
  </conditionalFormatting>
  <conditionalFormatting sqref="J71:J73 J89">
    <cfRule type="cellIs" dxfId="752" priority="1098" operator="equal">
      <formula>0</formula>
    </cfRule>
  </conditionalFormatting>
  <conditionalFormatting sqref="J68:J73">
    <cfRule type="cellIs" dxfId="751" priority="1099" operator="equal">
      <formula>0</formula>
    </cfRule>
  </conditionalFormatting>
  <conditionalFormatting sqref="K71:K73 K89">
    <cfRule type="cellIs" dxfId="750" priority="1100" operator="equal">
      <formula>0</formula>
    </cfRule>
  </conditionalFormatting>
  <conditionalFormatting sqref="K68:K73">
    <cfRule type="cellIs" dxfId="749" priority="1101" operator="equal">
      <formula>0</formula>
    </cfRule>
  </conditionalFormatting>
  <conditionalFormatting sqref="L68:L73">
    <cfRule type="cellIs" dxfId="748" priority="1103" operator="equal">
      <formula>0</formula>
    </cfRule>
  </conditionalFormatting>
  <conditionalFormatting sqref="M71:M73 M89">
    <cfRule type="cellIs" dxfId="747" priority="1104" operator="equal">
      <formula>0</formula>
    </cfRule>
  </conditionalFormatting>
  <conditionalFormatting sqref="M68:M73">
    <cfRule type="cellIs" dxfId="746" priority="1105" operator="equal">
      <formula>0</formula>
    </cfRule>
  </conditionalFormatting>
  <conditionalFormatting sqref="N71:N73 N89">
    <cfRule type="cellIs" dxfId="745" priority="1106" operator="equal">
      <formula>0</formula>
    </cfRule>
  </conditionalFormatting>
  <conditionalFormatting sqref="K71:K72">
    <cfRule type="cellIs" dxfId="744" priority="1109" operator="equal">
      <formula>0</formula>
    </cfRule>
  </conditionalFormatting>
  <conditionalFormatting sqref="L71:L72">
    <cfRule type="cellIs" dxfId="743" priority="1110" operator="equal">
      <formula>0</formula>
    </cfRule>
  </conditionalFormatting>
  <conditionalFormatting sqref="C79:Q80">
    <cfRule type="cellIs" dxfId="742" priority="1111" operator="equal">
      <formula>0</formula>
    </cfRule>
  </conditionalFormatting>
  <conditionalFormatting sqref="M71:N71">
    <cfRule type="cellIs" dxfId="741" priority="1114" operator="equal">
      <formula>0</formula>
    </cfRule>
  </conditionalFormatting>
  <conditionalFormatting sqref="N68:N73">
    <cfRule type="cellIs" dxfId="740" priority="1107" operator="equal">
      <formula>0</formula>
    </cfRule>
  </conditionalFormatting>
  <conditionalFormatting sqref="O79:O80">
    <cfRule type="cellIs" dxfId="739" priority="1112" operator="equal">
      <formula>0</formula>
    </cfRule>
  </conditionalFormatting>
  <conditionalFormatting sqref="M72:N72">
    <cfRule type="cellIs" dxfId="738" priority="1115" operator="equal">
      <formula>0</formula>
    </cfRule>
  </conditionalFormatting>
  <conditionalFormatting sqref="R90:R97 C91:Q92 C90:H90 O90:Q90 C94:Q96 C93:H93 O93:Q93">
    <cfRule type="cellIs" dxfId="737" priority="1116" operator="equal">
      <formula>0</formula>
    </cfRule>
  </conditionalFormatting>
  <conditionalFormatting sqref="C97:Q97">
    <cfRule type="cellIs" dxfId="736" priority="1117" operator="equal">
      <formula>0</formula>
    </cfRule>
  </conditionalFormatting>
  <conditionalFormatting sqref="C97:Q97">
    <cfRule type="cellIs" dxfId="735" priority="1119" operator="equal">
      <formula>0</formula>
    </cfRule>
  </conditionalFormatting>
  <conditionalFormatting sqref="C98:Q98">
    <cfRule type="cellIs" dxfId="734" priority="1120" operator="equal">
      <formula>0</formula>
    </cfRule>
  </conditionalFormatting>
  <conditionalFormatting sqref="X44:Z44 W45:Z46 AI48:AL48 W48:AB48 AA44:AB46 W40:AB43 AC40:AK46 AI30:AL32 X30:AB32 AC30:AH31 AJ27:AL29 Z27:Z29 W27:W32 W47:AL47 AL36:AL46 W33:AL33 W35:AL35 AJ34:AL34 W34:AH34 W36:AK37">
    <cfRule type="cellIs" dxfId="733" priority="1122" operator="equal">
      <formula>0</formula>
    </cfRule>
  </conditionalFormatting>
  <conditionalFormatting sqref="AI27:AI32">
    <cfRule type="cellIs" dxfId="732" priority="1123" operator="equal">
      <formula>0</formula>
    </cfRule>
  </conditionalFormatting>
  <conditionalFormatting sqref="Y27:Y32">
    <cfRule type="cellIs" dxfId="731" priority="1125" operator="equal">
      <formula>0</formula>
    </cfRule>
  </conditionalFormatting>
  <conditionalFormatting sqref="W44">
    <cfRule type="cellIs" dxfId="730" priority="1126" operator="equal">
      <formula>0</formula>
    </cfRule>
  </conditionalFormatting>
  <conditionalFormatting sqref="AC30:AC32 AC48">
    <cfRule type="cellIs" dxfId="729" priority="1127" operator="equal">
      <formula>0</formula>
    </cfRule>
  </conditionalFormatting>
  <conditionalFormatting sqref="AC27:AC32 AD27:AH27">
    <cfRule type="cellIs" dxfId="728" priority="1128" operator="equal">
      <formula>0</formula>
    </cfRule>
  </conditionalFormatting>
  <conditionalFormatting sqref="AD27:AD32">
    <cfRule type="cellIs" dxfId="727" priority="1130" operator="equal">
      <formula>0</formula>
    </cfRule>
  </conditionalFormatting>
  <conditionalFormatting sqref="AE30:AE32 AE48">
    <cfRule type="cellIs" dxfId="726" priority="1131" operator="equal">
      <formula>0</formula>
    </cfRule>
  </conditionalFormatting>
  <conditionalFormatting sqref="AE27:AE32">
    <cfRule type="cellIs" dxfId="725" priority="1132" operator="equal">
      <formula>0</formula>
    </cfRule>
  </conditionalFormatting>
  <conditionalFormatting sqref="AF30:AF32 AF48">
    <cfRule type="cellIs" dxfId="724" priority="1133" operator="equal">
      <formula>0</formula>
    </cfRule>
  </conditionalFormatting>
  <conditionalFormatting sqref="AG30:AG32 AG48">
    <cfRule type="cellIs" dxfId="723" priority="1135" operator="equal">
      <formula>0</formula>
    </cfRule>
  </conditionalFormatting>
  <conditionalFormatting sqref="AG27:AG32">
    <cfRule type="cellIs" dxfId="722" priority="1136" operator="equal">
      <formula>0</formula>
    </cfRule>
  </conditionalFormatting>
  <conditionalFormatting sqref="L71:L73 L89">
    <cfRule type="cellIs" dxfId="721" priority="1102" operator="equal">
      <formula>0</formula>
    </cfRule>
  </conditionalFormatting>
  <conditionalFormatting sqref="AC231:AG231">
    <cfRule type="cellIs" dxfId="720" priority="1223" operator="equal">
      <formula>0</formula>
    </cfRule>
  </conditionalFormatting>
  <conditionalFormatting sqref="AD30:AD32 AD48">
    <cfRule type="cellIs" dxfId="719" priority="1129" operator="equal">
      <formula>0</formula>
    </cfRule>
  </conditionalFormatting>
  <conditionalFormatting sqref="AH231">
    <cfRule type="cellIs" dxfId="718" priority="1228" operator="equal">
      <formula>0</formula>
    </cfRule>
  </conditionalFormatting>
  <conditionalFormatting sqref="AF27:AF32">
    <cfRule type="cellIs" dxfId="717" priority="1134" operator="equal">
      <formula>0</formula>
    </cfRule>
  </conditionalFormatting>
  <conditionalFormatting sqref="AH30:AH32 AH48">
    <cfRule type="cellIs" dxfId="716" priority="1137" operator="equal">
      <formula>0</formula>
    </cfRule>
  </conditionalFormatting>
  <conditionalFormatting sqref="AH27:AH32">
    <cfRule type="cellIs" dxfId="715" priority="1138" operator="equal">
      <formula>0</formula>
    </cfRule>
  </conditionalFormatting>
  <conditionalFormatting sqref="AE30:AE31">
    <cfRule type="cellIs" dxfId="714" priority="1140" operator="equal">
      <formula>0</formula>
    </cfRule>
  </conditionalFormatting>
  <conditionalFormatting sqref="AF30:AF31">
    <cfRule type="cellIs" dxfId="713" priority="1141" operator="equal">
      <formula>0</formula>
    </cfRule>
  </conditionalFormatting>
  <conditionalFormatting sqref="AI38:AI39">
    <cfRule type="cellIs" dxfId="712" priority="1143" operator="equal">
      <formula>0</formula>
    </cfRule>
  </conditionalFormatting>
  <conditionalFormatting sqref="AG30:AH30">
    <cfRule type="cellIs" dxfId="711" priority="1145" operator="equal">
      <formula>0</formula>
    </cfRule>
  </conditionalFormatting>
  <conditionalFormatting sqref="AL49:AL56 W49:AK55">
    <cfRule type="cellIs" dxfId="710" priority="1147" operator="equal">
      <formula>0</formula>
    </cfRule>
  </conditionalFormatting>
  <conditionalFormatting sqref="W56:AK56">
    <cfRule type="cellIs" dxfId="709" priority="1148" operator="equal">
      <formula>0</formula>
    </cfRule>
  </conditionalFormatting>
  <conditionalFormatting sqref="W56:AK56">
    <cfRule type="cellIs" dxfId="708" priority="1150" operator="equal">
      <formula>0</formula>
    </cfRule>
  </conditionalFormatting>
  <conditionalFormatting sqref="W27:X32 AA27:AB32">
    <cfRule type="cellIs" dxfId="707" priority="1124" operator="equal">
      <formula>0</formula>
    </cfRule>
  </conditionalFormatting>
  <conditionalFormatting sqref="C98:Q98">
    <cfRule type="expression" dxfId="706" priority="1121">
      <formula>LEN(TRIM(C98))=0</formula>
    </cfRule>
  </conditionalFormatting>
  <conditionalFormatting sqref="AC272:AG272">
    <cfRule type="cellIs" dxfId="705" priority="1183" operator="equal">
      <formula>0</formula>
    </cfRule>
  </conditionalFormatting>
  <conditionalFormatting sqref="W57:AL57">
    <cfRule type="cellIs" dxfId="704" priority="1151" operator="equal">
      <formula>0</formula>
    </cfRule>
  </conditionalFormatting>
  <conditionalFormatting sqref="AH272">
    <cfRule type="cellIs" dxfId="703" priority="1188" operator="equal">
      <formula>0</formula>
    </cfRule>
  </conditionalFormatting>
  <conditionalFormatting sqref="AH67">
    <cfRule type="cellIs" dxfId="702" priority="1160" operator="equal">
      <formula>0</formula>
    </cfRule>
  </conditionalFormatting>
  <conditionalFormatting sqref="W49:AL56">
    <cfRule type="expression" dxfId="701" priority="1149">
      <formula>LEN(TRIM(W49))=0</formula>
    </cfRule>
  </conditionalFormatting>
  <conditionalFormatting sqref="AG31:AH31">
    <cfRule type="cellIs" dxfId="700" priority="1146" operator="equal">
      <formula>0</formula>
    </cfRule>
  </conditionalFormatting>
  <conditionalFormatting sqref="R98">
    <cfRule type="cellIs" dxfId="699" priority="748" operator="equal">
      <formula>0</formula>
    </cfRule>
  </conditionalFormatting>
  <conditionalFormatting sqref="W35:AL35 W40:AK46 W27:AL33 W47:AL47 AL36:AL46 W36:AK37">
    <cfRule type="expression" dxfId="698" priority="1139">
      <formula>LEN(TRIM(W27))=0</formula>
    </cfRule>
  </conditionalFormatting>
  <conditionalFormatting sqref="W38:AK39">
    <cfRule type="expression" dxfId="697" priority="1144">
      <formula>LEN(TRIM(W38))=0</formula>
    </cfRule>
  </conditionalFormatting>
  <conditionalFormatting sqref="W57:AL57">
    <cfRule type="expression" dxfId="696" priority="1152">
      <formula>LEN(TRIM(W57))=0</formula>
    </cfRule>
  </conditionalFormatting>
  <conditionalFormatting sqref="C76:R76 C81:Q88 R77:R88 C68:R74 C77:Q78">
    <cfRule type="expression" dxfId="695" priority="1108">
      <formula>LEN(TRIM(C68))=0</formula>
    </cfRule>
  </conditionalFormatting>
  <conditionalFormatting sqref="C79:Q80">
    <cfRule type="expression" dxfId="694" priority="1113">
      <formula>LEN(TRIM(C79))=0</formula>
    </cfRule>
  </conditionalFormatting>
  <conditionalFormatting sqref="C91:R92 C90:H90 O90:R90 C94:R97 C93:H93 O93:R93">
    <cfRule type="expression" dxfId="693" priority="1118">
      <formula>LEN(TRIM(C90))=0</formula>
    </cfRule>
  </conditionalFormatting>
  <conditionalFormatting sqref="R98">
    <cfRule type="expression" dxfId="692" priority="749">
      <formula>LEN(TRIM(R98))=0</formula>
    </cfRule>
  </conditionalFormatting>
  <conditionalFormatting sqref="X85:Z85 W86:Z87 AI89:AL89 W89:AB89 AA85:AB87 W81:AB84 AC81:AK85 AI71:AL73 X71:AB73 AC71:AH72 AJ68:AL70 Z68:Z70 W68:W73 W76:AL76 AJ75:AL75 W75:AH75 W88:AK88 AL77:AL88 W74:AL74 AC86:AH87 AK86:AK87 W77:AK78">
    <cfRule type="cellIs" dxfId="691" priority="717" operator="equal">
      <formula>0</formula>
    </cfRule>
  </conditionalFormatting>
  <conditionalFormatting sqref="AI68:AI73">
    <cfRule type="cellIs" dxfId="690" priority="718" operator="equal">
      <formula>0</formula>
    </cfRule>
  </conditionalFormatting>
  <conditionalFormatting sqref="W68:X73 AA68:AB73">
    <cfRule type="cellIs" dxfId="689" priority="719" operator="equal">
      <formula>0</formula>
    </cfRule>
  </conditionalFormatting>
  <conditionalFormatting sqref="Y68:Y73">
    <cfRule type="cellIs" dxfId="688" priority="720" operator="equal">
      <formula>0</formula>
    </cfRule>
  </conditionalFormatting>
  <conditionalFormatting sqref="W85">
    <cfRule type="cellIs" dxfId="687" priority="721" operator="equal">
      <formula>0</formula>
    </cfRule>
  </conditionalFormatting>
  <conditionalFormatting sqref="AC71:AC73 AC89">
    <cfRule type="cellIs" dxfId="686" priority="722" operator="equal">
      <formula>0</formula>
    </cfRule>
  </conditionalFormatting>
  <conditionalFormatting sqref="AC70:AC73 AD68:AH68">
    <cfRule type="cellIs" dxfId="685" priority="723" operator="equal">
      <formula>0</formula>
    </cfRule>
  </conditionalFormatting>
  <conditionalFormatting sqref="AD71:AD73 AD89">
    <cfRule type="cellIs" dxfId="684" priority="724" operator="equal">
      <formula>0</formula>
    </cfRule>
  </conditionalFormatting>
  <conditionalFormatting sqref="AD68:AD73">
    <cfRule type="cellIs" dxfId="683" priority="725" operator="equal">
      <formula>0</formula>
    </cfRule>
  </conditionalFormatting>
  <conditionalFormatting sqref="AE71:AE73 AE89">
    <cfRule type="cellIs" dxfId="682" priority="726" operator="equal">
      <formula>0</formula>
    </cfRule>
  </conditionalFormatting>
  <conditionalFormatting sqref="AE68:AE73">
    <cfRule type="cellIs" dxfId="681" priority="727" operator="equal">
      <formula>0</formula>
    </cfRule>
  </conditionalFormatting>
  <conditionalFormatting sqref="AF68:AF73">
    <cfRule type="cellIs" dxfId="680" priority="729" operator="equal">
      <formula>0</formula>
    </cfRule>
  </conditionalFormatting>
  <conditionalFormatting sqref="AG71:AG73 AG89">
    <cfRule type="cellIs" dxfId="679" priority="730" operator="equal">
      <formula>0</formula>
    </cfRule>
  </conditionalFormatting>
  <conditionalFormatting sqref="AG68:AG73">
    <cfRule type="cellIs" dxfId="678" priority="731" operator="equal">
      <formula>0</formula>
    </cfRule>
  </conditionalFormatting>
  <conditionalFormatting sqref="AH71:AH73 AH89">
    <cfRule type="cellIs" dxfId="677" priority="732" operator="equal">
      <formula>0</formula>
    </cfRule>
  </conditionalFormatting>
  <conditionalFormatting sqref="AE71:AE72">
    <cfRule type="cellIs" dxfId="676" priority="735" operator="equal">
      <formula>0</formula>
    </cfRule>
  </conditionalFormatting>
  <conditionalFormatting sqref="AF71:AF72">
    <cfRule type="cellIs" dxfId="675" priority="736" operator="equal">
      <formula>0</formula>
    </cfRule>
  </conditionalFormatting>
  <conditionalFormatting sqref="W79:AK80">
    <cfRule type="cellIs" dxfId="674" priority="737" operator="equal">
      <formula>0</formula>
    </cfRule>
  </conditionalFormatting>
  <conditionalFormatting sqref="AG71:AH71">
    <cfRule type="cellIs" dxfId="673" priority="740" operator="equal">
      <formula>0</formula>
    </cfRule>
  </conditionalFormatting>
  <conditionalFormatting sqref="AH68:AH73">
    <cfRule type="cellIs" dxfId="672" priority="733" operator="equal">
      <formula>0</formula>
    </cfRule>
  </conditionalFormatting>
  <conditionalFormatting sqref="AI79:AI80">
    <cfRule type="cellIs" dxfId="671" priority="738" operator="equal">
      <formula>0</formula>
    </cfRule>
  </conditionalFormatting>
  <conditionalFormatting sqref="AG72:AH72">
    <cfRule type="cellIs" dxfId="670" priority="741" operator="equal">
      <formula>0</formula>
    </cfRule>
  </conditionalFormatting>
  <conditionalFormatting sqref="AL90:AL97 W90:AK96">
    <cfRule type="cellIs" dxfId="669" priority="742" operator="equal">
      <formula>0</formula>
    </cfRule>
  </conditionalFormatting>
  <conditionalFormatting sqref="W97:AK97">
    <cfRule type="cellIs" dxfId="668" priority="743" operator="equal">
      <formula>0</formula>
    </cfRule>
  </conditionalFormatting>
  <conditionalFormatting sqref="W97:AK97">
    <cfRule type="cellIs" dxfId="667" priority="745" operator="equal">
      <formula>0</formula>
    </cfRule>
  </conditionalFormatting>
  <conditionalFormatting sqref="W98:AK98">
    <cfRule type="cellIs" dxfId="666" priority="746" operator="equal">
      <formula>0</formula>
    </cfRule>
  </conditionalFormatting>
  <conditionalFormatting sqref="AF71:AF73 AF89">
    <cfRule type="cellIs" dxfId="665" priority="728" operator="equal">
      <formula>0</formula>
    </cfRule>
  </conditionalFormatting>
  <conditionalFormatting sqref="W98:AK98">
    <cfRule type="expression" dxfId="664" priority="747">
      <formula>LEN(TRIM(W98))=0</formula>
    </cfRule>
  </conditionalFormatting>
  <conditionalFormatting sqref="AL98">
    <cfRule type="cellIs" dxfId="663" priority="715" operator="equal">
      <formula>0</formula>
    </cfRule>
  </conditionalFormatting>
  <conditionalFormatting sqref="W76:AL76 W81:AK85 AL77:AL88 W70:AL74 W88:AK88 W86:AH87 AK86:AK87 W77:AK78 W68:AB69 AD68:AL69">
    <cfRule type="expression" dxfId="662" priority="734">
      <formula>LEN(TRIM(W68))=0</formula>
    </cfRule>
  </conditionalFormatting>
  <conditionalFormatting sqref="W79:AK80">
    <cfRule type="expression" dxfId="661" priority="739">
      <formula>LEN(TRIM(W79))=0</formula>
    </cfRule>
  </conditionalFormatting>
  <conditionalFormatting sqref="W90:AL97">
    <cfRule type="expression" dxfId="660" priority="744">
      <formula>LEN(TRIM(W90))=0</formula>
    </cfRule>
  </conditionalFormatting>
  <conditionalFormatting sqref="AL98">
    <cfRule type="expression" dxfId="659" priority="716">
      <formula>LEN(TRIM(AL98))=0</formula>
    </cfRule>
  </conditionalFormatting>
  <conditionalFormatting sqref="D126:F126 C127:F128 O130:R130 C130:H130 G126:H128 C122:H125 I122:Q126 O112:R114 D112:H114 I112:N113 P109:R111 F109:F111 C109 C117:R117 P116:R116 C116:N116 C129:Q129 R118:R129 C115:R115 I127:N128 Q127:Q128 C118:Q119 C111:C114">
    <cfRule type="cellIs" dxfId="658" priority="651" operator="equal">
      <formula>0</formula>
    </cfRule>
  </conditionalFormatting>
  <conditionalFormatting sqref="O109:O114">
    <cfRule type="cellIs" dxfId="657" priority="652" operator="equal">
      <formula>0</formula>
    </cfRule>
  </conditionalFormatting>
  <conditionalFormatting sqref="C109:D109 G109:H114 C111:D114 D110">
    <cfRule type="cellIs" dxfId="656" priority="653" operator="equal">
      <formula>0</formula>
    </cfRule>
  </conditionalFormatting>
  <conditionalFormatting sqref="E109 E111:E114">
    <cfRule type="cellIs" dxfId="655" priority="654" operator="equal">
      <formula>0</formula>
    </cfRule>
  </conditionalFormatting>
  <conditionalFormatting sqref="C126">
    <cfRule type="cellIs" dxfId="654" priority="655" operator="equal">
      <formula>0</formula>
    </cfRule>
  </conditionalFormatting>
  <conditionalFormatting sqref="I112:I114 I130">
    <cfRule type="cellIs" dxfId="653" priority="656" operator="equal">
      <formula>0</formula>
    </cfRule>
  </conditionalFormatting>
  <conditionalFormatting sqref="I109:I114 J109:N109">
    <cfRule type="cellIs" dxfId="652" priority="657" operator="equal">
      <formula>0</formula>
    </cfRule>
  </conditionalFormatting>
  <conditionalFormatting sqref="J112:J114 J130">
    <cfRule type="cellIs" dxfId="651" priority="658" operator="equal">
      <formula>0</formula>
    </cfRule>
  </conditionalFormatting>
  <conditionalFormatting sqref="J109:J114">
    <cfRule type="cellIs" dxfId="650" priority="659" operator="equal">
      <formula>0</formula>
    </cfRule>
  </conditionalFormatting>
  <conditionalFormatting sqref="K112:K114 K130">
    <cfRule type="cellIs" dxfId="649" priority="660" operator="equal">
      <formula>0</formula>
    </cfRule>
  </conditionalFormatting>
  <conditionalFormatting sqref="K109:K114">
    <cfRule type="cellIs" dxfId="648" priority="661" operator="equal">
      <formula>0</formula>
    </cfRule>
  </conditionalFormatting>
  <conditionalFormatting sqref="L109:L114">
    <cfRule type="cellIs" dxfId="647" priority="663" operator="equal">
      <formula>0</formula>
    </cfRule>
  </conditionalFormatting>
  <conditionalFormatting sqref="M112:M114 M130">
    <cfRule type="cellIs" dxfId="646" priority="664" operator="equal">
      <formula>0</formula>
    </cfRule>
  </conditionalFormatting>
  <conditionalFormatting sqref="M109:M114">
    <cfRule type="cellIs" dxfId="645" priority="665" operator="equal">
      <formula>0</formula>
    </cfRule>
  </conditionalFormatting>
  <conditionalFormatting sqref="N112:N114 N130">
    <cfRule type="cellIs" dxfId="644" priority="666" operator="equal">
      <formula>0</formula>
    </cfRule>
  </conditionalFormatting>
  <conditionalFormatting sqref="K112:K113">
    <cfRule type="cellIs" dxfId="643" priority="669" operator="equal">
      <formula>0</formula>
    </cfRule>
  </conditionalFormatting>
  <conditionalFormatting sqref="L112:L113">
    <cfRule type="cellIs" dxfId="642" priority="670" operator="equal">
      <formula>0</formula>
    </cfRule>
  </conditionalFormatting>
  <conditionalFormatting sqref="C120:Q121">
    <cfRule type="cellIs" dxfId="641" priority="671" operator="equal">
      <formula>0</formula>
    </cfRule>
  </conditionalFormatting>
  <conditionalFormatting sqref="M112:N112">
    <cfRule type="cellIs" dxfId="640" priority="674" operator="equal">
      <formula>0</formula>
    </cfRule>
  </conditionalFormatting>
  <conditionalFormatting sqref="N109:N114">
    <cfRule type="cellIs" dxfId="639" priority="667" operator="equal">
      <formula>0</formula>
    </cfRule>
  </conditionalFormatting>
  <conditionalFormatting sqref="O120:O121">
    <cfRule type="cellIs" dxfId="638" priority="672" operator="equal">
      <formula>0</formula>
    </cfRule>
  </conditionalFormatting>
  <conditionalFormatting sqref="M113:N113">
    <cfRule type="cellIs" dxfId="637" priority="675" operator="equal">
      <formula>0</formula>
    </cfRule>
  </conditionalFormatting>
  <conditionalFormatting sqref="R131:R138 C132:Q133 C131:H131 O131:Q131 C135:Q137 C134:H134 O134:Q134">
    <cfRule type="cellIs" dxfId="636" priority="676" operator="equal">
      <formula>0</formula>
    </cfRule>
  </conditionalFormatting>
  <conditionalFormatting sqref="D138:Q138">
    <cfRule type="cellIs" dxfId="635" priority="677" operator="equal">
      <formula>0</formula>
    </cfRule>
  </conditionalFormatting>
  <conditionalFormatting sqref="D138:Q138">
    <cfRule type="cellIs" dxfId="634" priority="679" operator="equal">
      <formula>0</formula>
    </cfRule>
  </conditionalFormatting>
  <conditionalFormatting sqref="C139:Q139">
    <cfRule type="cellIs" dxfId="633" priority="680" operator="equal">
      <formula>0</formula>
    </cfRule>
  </conditionalFormatting>
  <conditionalFormatting sqref="L112:L114 L130">
    <cfRule type="cellIs" dxfId="632" priority="662" operator="equal">
      <formula>0</formula>
    </cfRule>
  </conditionalFormatting>
  <conditionalFormatting sqref="C139:Q139">
    <cfRule type="expression" dxfId="631" priority="681">
      <formula>LEN(TRIM(C139))=0</formula>
    </cfRule>
  </conditionalFormatting>
  <conditionalFormatting sqref="R139">
    <cfRule type="cellIs" dxfId="630" priority="649" operator="equal">
      <formula>0</formula>
    </cfRule>
  </conditionalFormatting>
  <conditionalFormatting sqref="C117:R117 C122:Q126 R118:R129 C109:R109 C129:Q129 C127:N128 Q127:Q128 C118:Q119 C111:R115 D110 F110:R110">
    <cfRule type="expression" dxfId="629" priority="668">
      <formula>LEN(TRIM(C109))=0</formula>
    </cfRule>
  </conditionalFormatting>
  <conditionalFormatting sqref="C120:Q121">
    <cfRule type="expression" dxfId="628" priority="673">
      <formula>LEN(TRIM(C120))=0</formula>
    </cfRule>
  </conditionalFormatting>
  <conditionalFormatting sqref="C132:R133 C131:H131 O131:R131 C135:R137 C134:H134 O134:R134 D138:R138">
    <cfRule type="expression" dxfId="627" priority="678">
      <formula>LEN(TRIM(C131))=0</formula>
    </cfRule>
  </conditionalFormatting>
  <conditionalFormatting sqref="R139">
    <cfRule type="expression" dxfId="626" priority="650">
      <formula>LEN(TRIM(R139))=0</formula>
    </cfRule>
  </conditionalFormatting>
  <conditionalFormatting sqref="O127:P128">
    <cfRule type="cellIs" dxfId="625" priority="647" operator="equal">
      <formula>0</formula>
    </cfRule>
  </conditionalFormatting>
  <conditionalFormatting sqref="O127:P128">
    <cfRule type="expression" dxfId="624" priority="648">
      <formula>LEN(TRIM(O127))=0</formula>
    </cfRule>
  </conditionalFormatting>
  <conditionalFormatting sqref="D167:F167 C168:F169 O171:R171 C171:H171 G167:H169 C163:H166 I163:Q167 O153:R155 D153:H155 I153:N154 P150:R152 F150:F152 C150 C158:R158 P157:R157 C157:N157 C170:Q170 R159:R170 D156:R156 I168:N169 Q168:Q169 C159:Q160">
    <cfRule type="cellIs" dxfId="623" priority="616" operator="equal">
      <formula>0</formula>
    </cfRule>
  </conditionalFormatting>
  <conditionalFormatting sqref="O150:O155">
    <cfRule type="cellIs" dxfId="622" priority="617" operator="equal">
      <formula>0</formula>
    </cfRule>
  </conditionalFormatting>
  <conditionalFormatting sqref="C150:D150 G150:H155 D151:D155">
    <cfRule type="cellIs" dxfId="621" priority="618" operator="equal">
      <formula>0</formula>
    </cfRule>
  </conditionalFormatting>
  <conditionalFormatting sqref="E150 E152:E155">
    <cfRule type="cellIs" dxfId="620" priority="619" operator="equal">
      <formula>0</formula>
    </cfRule>
  </conditionalFormatting>
  <conditionalFormatting sqref="C167">
    <cfRule type="cellIs" dxfId="619" priority="620" operator="equal">
      <formula>0</formula>
    </cfRule>
  </conditionalFormatting>
  <conditionalFormatting sqref="I153:I155 I171">
    <cfRule type="cellIs" dxfId="618" priority="621" operator="equal">
      <formula>0</formula>
    </cfRule>
  </conditionalFormatting>
  <conditionalFormatting sqref="I150:I155 J150:N150">
    <cfRule type="cellIs" dxfId="617" priority="622" operator="equal">
      <formula>0</formula>
    </cfRule>
  </conditionalFormatting>
  <conditionalFormatting sqref="J153:J155 J171">
    <cfRule type="cellIs" dxfId="616" priority="623" operator="equal">
      <formula>0</formula>
    </cfRule>
  </conditionalFormatting>
  <conditionalFormatting sqref="J150:J155">
    <cfRule type="cellIs" dxfId="615" priority="624" operator="equal">
      <formula>0</formula>
    </cfRule>
  </conditionalFormatting>
  <conditionalFormatting sqref="K153:K155 K171">
    <cfRule type="cellIs" dxfId="614" priority="625" operator="equal">
      <formula>0</formula>
    </cfRule>
  </conditionalFormatting>
  <conditionalFormatting sqref="K150:K155">
    <cfRule type="cellIs" dxfId="613" priority="626" operator="equal">
      <formula>0</formula>
    </cfRule>
  </conditionalFormatting>
  <conditionalFormatting sqref="L150:L155">
    <cfRule type="cellIs" dxfId="612" priority="628" operator="equal">
      <formula>0</formula>
    </cfRule>
  </conditionalFormatting>
  <conditionalFormatting sqref="M153:M155 M171">
    <cfRule type="cellIs" dxfId="611" priority="629" operator="equal">
      <formula>0</formula>
    </cfRule>
  </conditionalFormatting>
  <conditionalFormatting sqref="M150:M155">
    <cfRule type="cellIs" dxfId="610" priority="630" operator="equal">
      <formula>0</formula>
    </cfRule>
  </conditionalFormatting>
  <conditionalFormatting sqref="N153:N155 N171">
    <cfRule type="cellIs" dxfId="609" priority="631" operator="equal">
      <formula>0</formula>
    </cfRule>
  </conditionalFormatting>
  <conditionalFormatting sqref="K153:K154">
    <cfRule type="cellIs" dxfId="608" priority="634" operator="equal">
      <formula>0</formula>
    </cfRule>
  </conditionalFormatting>
  <conditionalFormatting sqref="L153:L154">
    <cfRule type="cellIs" dxfId="607" priority="635" operator="equal">
      <formula>0</formula>
    </cfRule>
  </conditionalFormatting>
  <conditionalFormatting sqref="C161:Q162">
    <cfRule type="cellIs" dxfId="606" priority="636" operator="equal">
      <formula>0</formula>
    </cfRule>
  </conditionalFormatting>
  <conditionalFormatting sqref="M153:N153">
    <cfRule type="cellIs" dxfId="605" priority="639" operator="equal">
      <formula>0</formula>
    </cfRule>
  </conditionalFormatting>
  <conditionalFormatting sqref="N150:N155">
    <cfRule type="cellIs" dxfId="604" priority="632" operator="equal">
      <formula>0</formula>
    </cfRule>
  </conditionalFormatting>
  <conditionalFormatting sqref="O161:O162">
    <cfRule type="cellIs" dxfId="603" priority="637" operator="equal">
      <formula>0</formula>
    </cfRule>
  </conditionalFormatting>
  <conditionalFormatting sqref="M154:N154">
    <cfRule type="cellIs" dxfId="602" priority="640" operator="equal">
      <formula>0</formula>
    </cfRule>
  </conditionalFormatting>
  <conditionalFormatting sqref="R172:R179 C173:Q174 C172:H172 O172:Q172 C176:Q178 C175:H175 O175:Q175">
    <cfRule type="cellIs" dxfId="601" priority="641" operator="equal">
      <formula>0</formula>
    </cfRule>
  </conditionalFormatting>
  <conditionalFormatting sqref="D179:Q179">
    <cfRule type="cellIs" dxfId="600" priority="642" operator="equal">
      <formula>0</formula>
    </cfRule>
  </conditionalFormatting>
  <conditionalFormatting sqref="D179:Q179">
    <cfRule type="cellIs" dxfId="599" priority="644" operator="equal">
      <formula>0</formula>
    </cfRule>
  </conditionalFormatting>
  <conditionalFormatting sqref="C180:Q180">
    <cfRule type="cellIs" dxfId="598" priority="645" operator="equal">
      <formula>0</formula>
    </cfRule>
  </conditionalFormatting>
  <conditionalFormatting sqref="L153:L155 L171">
    <cfRule type="cellIs" dxfId="597" priority="627" operator="equal">
      <formula>0</formula>
    </cfRule>
  </conditionalFormatting>
  <conditionalFormatting sqref="C180:Q180">
    <cfRule type="expression" dxfId="596" priority="646">
      <formula>LEN(TRIM(C180))=0</formula>
    </cfRule>
  </conditionalFormatting>
  <conditionalFormatting sqref="R180">
    <cfRule type="cellIs" dxfId="595" priority="614" operator="equal">
      <formula>0</formula>
    </cfRule>
  </conditionalFormatting>
  <conditionalFormatting sqref="C158:R158 C163:Q167 R159:R170 C150:R150 C170:Q170 C168:N169 Q168:Q169 C159:Q160 D152:R156 D151 F151:R151">
    <cfRule type="expression" dxfId="594" priority="633">
      <formula>LEN(TRIM(C150))=0</formula>
    </cfRule>
  </conditionalFormatting>
  <conditionalFormatting sqref="C161:Q162">
    <cfRule type="expression" dxfId="593" priority="638">
      <formula>LEN(TRIM(C161))=0</formula>
    </cfRule>
  </conditionalFormatting>
  <conditionalFormatting sqref="C173:R174 C172:H172 O172:R172 C176:R178 C175:H175 O175:R175 D179:R179">
    <cfRule type="expression" dxfId="592" priority="643">
      <formula>LEN(TRIM(C172))=0</formula>
    </cfRule>
  </conditionalFormatting>
  <conditionalFormatting sqref="R180">
    <cfRule type="expression" dxfId="591" priority="615">
      <formula>LEN(TRIM(R180))=0</formula>
    </cfRule>
  </conditionalFormatting>
  <conditionalFormatting sqref="O168:P169">
    <cfRule type="cellIs" dxfId="590" priority="612" operator="equal">
      <formula>0</formula>
    </cfRule>
  </conditionalFormatting>
  <conditionalFormatting sqref="O168:P169">
    <cfRule type="expression" dxfId="589" priority="613">
      <formula>LEN(TRIM(O168))=0</formula>
    </cfRule>
  </conditionalFormatting>
  <conditionalFormatting sqref="D208:F208 C209:F210 O212:R212 C212:H212 G208:H210 C204:H207 I204:Q208 O194:R196 D194:H196 I194:N195 P191:R193 F191:F193 C191 C199:R199 P198:R198 C198:N198 C211:Q211 R200:R211 D197:R197 I209:N210 Q209:Q210 C200:Q201">
    <cfRule type="cellIs" dxfId="588" priority="581" operator="equal">
      <formula>0</formula>
    </cfRule>
  </conditionalFormatting>
  <conditionalFormatting sqref="O191:O196">
    <cfRule type="cellIs" dxfId="587" priority="582" operator="equal">
      <formula>0</formula>
    </cfRule>
  </conditionalFormatting>
  <conditionalFormatting sqref="C191:D191 G191:H196 D192:D196">
    <cfRule type="cellIs" dxfId="586" priority="583" operator="equal">
      <formula>0</formula>
    </cfRule>
  </conditionalFormatting>
  <conditionalFormatting sqref="E191 E193:E196">
    <cfRule type="cellIs" dxfId="585" priority="584" operator="equal">
      <formula>0</formula>
    </cfRule>
  </conditionalFormatting>
  <conditionalFormatting sqref="C208">
    <cfRule type="cellIs" dxfId="584" priority="585" operator="equal">
      <formula>0</formula>
    </cfRule>
  </conditionalFormatting>
  <conditionalFormatting sqref="I194:I196 I212">
    <cfRule type="cellIs" dxfId="583" priority="586" operator="equal">
      <formula>0</formula>
    </cfRule>
  </conditionalFormatting>
  <conditionalFormatting sqref="I191:I196 J191:N191">
    <cfRule type="cellIs" dxfId="582" priority="587" operator="equal">
      <formula>0</formula>
    </cfRule>
  </conditionalFormatting>
  <conditionalFormatting sqref="J194:J196 J212">
    <cfRule type="cellIs" dxfId="581" priority="588" operator="equal">
      <formula>0</formula>
    </cfRule>
  </conditionalFormatting>
  <conditionalFormatting sqref="J191:J196">
    <cfRule type="cellIs" dxfId="580" priority="589" operator="equal">
      <formula>0</formula>
    </cfRule>
  </conditionalFormatting>
  <conditionalFormatting sqref="K194:K196 K212">
    <cfRule type="cellIs" dxfId="579" priority="590" operator="equal">
      <formula>0</formula>
    </cfRule>
  </conditionalFormatting>
  <conditionalFormatting sqref="K191:K196">
    <cfRule type="cellIs" dxfId="578" priority="591" operator="equal">
      <formula>0</formula>
    </cfRule>
  </conditionalFormatting>
  <conditionalFormatting sqref="L191:L196">
    <cfRule type="cellIs" dxfId="577" priority="593" operator="equal">
      <formula>0</formula>
    </cfRule>
  </conditionalFormatting>
  <conditionalFormatting sqref="M194:M196 M212">
    <cfRule type="cellIs" dxfId="576" priority="594" operator="equal">
      <formula>0</formula>
    </cfRule>
  </conditionalFormatting>
  <conditionalFormatting sqref="M191:M196">
    <cfRule type="cellIs" dxfId="575" priority="595" operator="equal">
      <formula>0</formula>
    </cfRule>
  </conditionalFormatting>
  <conditionalFormatting sqref="N194:N196 N212">
    <cfRule type="cellIs" dxfId="574" priority="596" operator="equal">
      <formula>0</formula>
    </cfRule>
  </conditionalFormatting>
  <conditionalFormatting sqref="K194:K195">
    <cfRule type="cellIs" dxfId="573" priority="599" operator="equal">
      <formula>0</formula>
    </cfRule>
  </conditionalFormatting>
  <conditionalFormatting sqref="L194:L195">
    <cfRule type="cellIs" dxfId="572" priority="600" operator="equal">
      <formula>0</formula>
    </cfRule>
  </conditionalFormatting>
  <conditionalFormatting sqref="C202:Q203">
    <cfRule type="cellIs" dxfId="571" priority="601" operator="equal">
      <formula>0</formula>
    </cfRule>
  </conditionalFormatting>
  <conditionalFormatting sqref="M194:N194">
    <cfRule type="cellIs" dxfId="570" priority="604" operator="equal">
      <formula>0</formula>
    </cfRule>
  </conditionalFormatting>
  <conditionalFormatting sqref="N191:N196">
    <cfRule type="cellIs" dxfId="569" priority="597" operator="equal">
      <formula>0</formula>
    </cfRule>
  </conditionalFormatting>
  <conditionalFormatting sqref="O202:O203">
    <cfRule type="cellIs" dxfId="568" priority="602" operator="equal">
      <formula>0</formula>
    </cfRule>
  </conditionalFormatting>
  <conditionalFormatting sqref="M195:N195">
    <cfRule type="cellIs" dxfId="567" priority="605" operator="equal">
      <formula>0</formula>
    </cfRule>
  </conditionalFormatting>
  <conditionalFormatting sqref="R213:R220 C214:Q215 C213:H213 O213:Q213 C217:Q219 C216:H216 O216:Q216">
    <cfRule type="cellIs" dxfId="566" priority="606" operator="equal">
      <formula>0</formula>
    </cfRule>
  </conditionalFormatting>
  <conditionalFormatting sqref="D220:Q220">
    <cfRule type="cellIs" dxfId="565" priority="607" operator="equal">
      <formula>0</formula>
    </cfRule>
  </conditionalFormatting>
  <conditionalFormatting sqref="D220:Q220">
    <cfRule type="cellIs" dxfId="564" priority="609" operator="equal">
      <formula>0</formula>
    </cfRule>
  </conditionalFormatting>
  <conditionalFormatting sqref="C221:Q221">
    <cfRule type="cellIs" dxfId="563" priority="610" operator="equal">
      <formula>0</formula>
    </cfRule>
  </conditionalFormatting>
  <conditionalFormatting sqref="L194:L196 L212">
    <cfRule type="cellIs" dxfId="562" priority="592" operator="equal">
      <formula>0</formula>
    </cfRule>
  </conditionalFormatting>
  <conditionalFormatting sqref="C221:Q221">
    <cfRule type="expression" dxfId="561" priority="611">
      <formula>LEN(TRIM(C221))=0</formula>
    </cfRule>
  </conditionalFormatting>
  <conditionalFormatting sqref="R221">
    <cfRule type="cellIs" dxfId="560" priority="579" operator="equal">
      <formula>0</formula>
    </cfRule>
  </conditionalFormatting>
  <conditionalFormatting sqref="C199:R199 C204:Q208 R200:R211 C191:R191 C211:Q211 C209:N210 Q209:Q210 C200:Q201 D193:R197 D192 F192:R192">
    <cfRule type="expression" dxfId="559" priority="598">
      <formula>LEN(TRIM(C191))=0</formula>
    </cfRule>
  </conditionalFormatting>
  <conditionalFormatting sqref="C202:Q203">
    <cfRule type="expression" dxfId="558" priority="603">
      <formula>LEN(TRIM(C202))=0</formula>
    </cfRule>
  </conditionalFormatting>
  <conditionalFormatting sqref="C214:R215 C213:H213 O213:R213 C217:R219 C216:H216 O216:R216 D220:R220">
    <cfRule type="expression" dxfId="557" priority="608">
      <formula>LEN(TRIM(C213))=0</formula>
    </cfRule>
  </conditionalFormatting>
  <conditionalFormatting sqref="R221">
    <cfRule type="expression" dxfId="556" priority="580">
      <formula>LEN(TRIM(R221))=0</formula>
    </cfRule>
  </conditionalFormatting>
  <conditionalFormatting sqref="O209:P210">
    <cfRule type="cellIs" dxfId="555" priority="577" operator="equal">
      <formula>0</formula>
    </cfRule>
  </conditionalFormatting>
  <conditionalFormatting sqref="O209:P210">
    <cfRule type="expression" dxfId="554" priority="578">
      <formula>LEN(TRIM(O209))=0</formula>
    </cfRule>
  </conditionalFormatting>
  <conditionalFormatting sqref="D249:F249 C250:F251 O253:R253 C253:H253 G249:H251 C245:H248 I245:Q249 O235:R237 D235:H237 I235:N236 P232:R234 F232:F234 C232 C240:R240 P239:R239 C239:N239 C252:Q252 R241:R252 D238:R238 I250:N251 Q250:Q251 C241:Q242">
    <cfRule type="cellIs" dxfId="553" priority="546" operator="equal">
      <formula>0</formula>
    </cfRule>
  </conditionalFormatting>
  <conditionalFormatting sqref="O232:O237">
    <cfRule type="cellIs" dxfId="552" priority="547" operator="equal">
      <formula>0</formula>
    </cfRule>
  </conditionalFormatting>
  <conditionalFormatting sqref="C232:D232 G232:H237 D233:D237">
    <cfRule type="cellIs" dxfId="551" priority="548" operator="equal">
      <formula>0</formula>
    </cfRule>
  </conditionalFormatting>
  <conditionalFormatting sqref="E232 E234:E237">
    <cfRule type="cellIs" dxfId="550" priority="549" operator="equal">
      <formula>0</formula>
    </cfRule>
  </conditionalFormatting>
  <conditionalFormatting sqref="C249">
    <cfRule type="cellIs" dxfId="549" priority="550" operator="equal">
      <formula>0</formula>
    </cfRule>
  </conditionalFormatting>
  <conditionalFormatting sqref="I235:I237 I253">
    <cfRule type="cellIs" dxfId="548" priority="551" operator="equal">
      <formula>0</formula>
    </cfRule>
  </conditionalFormatting>
  <conditionalFormatting sqref="I232:I237 J232:N232">
    <cfRule type="cellIs" dxfId="547" priority="552" operator="equal">
      <formula>0</formula>
    </cfRule>
  </conditionalFormatting>
  <conditionalFormatting sqref="J235:J237 J253">
    <cfRule type="cellIs" dxfId="546" priority="553" operator="equal">
      <formula>0</formula>
    </cfRule>
  </conditionalFormatting>
  <conditionalFormatting sqref="J232:J237">
    <cfRule type="cellIs" dxfId="545" priority="554" operator="equal">
      <formula>0</formula>
    </cfRule>
  </conditionalFormatting>
  <conditionalFormatting sqref="K235:K237 K253">
    <cfRule type="cellIs" dxfId="544" priority="555" operator="equal">
      <formula>0</formula>
    </cfRule>
  </conditionalFormatting>
  <conditionalFormatting sqref="K232:K237">
    <cfRule type="cellIs" dxfId="543" priority="556" operator="equal">
      <formula>0</formula>
    </cfRule>
  </conditionalFormatting>
  <conditionalFormatting sqref="L232:L237">
    <cfRule type="cellIs" dxfId="542" priority="558" operator="equal">
      <formula>0</formula>
    </cfRule>
  </conditionalFormatting>
  <conditionalFormatting sqref="M235:M237 M253">
    <cfRule type="cellIs" dxfId="541" priority="559" operator="equal">
      <formula>0</formula>
    </cfRule>
  </conditionalFormatting>
  <conditionalFormatting sqref="M232:M237">
    <cfRule type="cellIs" dxfId="540" priority="560" operator="equal">
      <formula>0</formula>
    </cfRule>
  </conditionalFormatting>
  <conditionalFormatting sqref="N235:N237 N253">
    <cfRule type="cellIs" dxfId="539" priority="561" operator="equal">
      <formula>0</formula>
    </cfRule>
  </conditionalFormatting>
  <conditionalFormatting sqref="K235:K236">
    <cfRule type="cellIs" dxfId="538" priority="564" operator="equal">
      <formula>0</formula>
    </cfRule>
  </conditionalFormatting>
  <conditionalFormatting sqref="L235:L236">
    <cfRule type="cellIs" dxfId="537" priority="565" operator="equal">
      <formula>0</formula>
    </cfRule>
  </conditionalFormatting>
  <conditionalFormatting sqref="C243:Q244">
    <cfRule type="cellIs" dxfId="536" priority="566" operator="equal">
      <formula>0</formula>
    </cfRule>
  </conditionalFormatting>
  <conditionalFormatting sqref="M235:N235">
    <cfRule type="cellIs" dxfId="535" priority="569" operator="equal">
      <formula>0</formula>
    </cfRule>
  </conditionalFormatting>
  <conditionalFormatting sqref="N232:N237">
    <cfRule type="cellIs" dxfId="534" priority="562" operator="equal">
      <formula>0</formula>
    </cfRule>
  </conditionalFormatting>
  <conditionalFormatting sqref="O243:O244">
    <cfRule type="cellIs" dxfId="533" priority="567" operator="equal">
      <formula>0</formula>
    </cfRule>
  </conditionalFormatting>
  <conditionalFormatting sqref="M236:N236">
    <cfRule type="cellIs" dxfId="532" priority="570" operator="equal">
      <formula>0</formula>
    </cfRule>
  </conditionalFormatting>
  <conditionalFormatting sqref="R254:R261 C255:Q256 C254:H254 O254:Q254 C258:Q260 C257:H257 O257:Q257">
    <cfRule type="cellIs" dxfId="531" priority="571" operator="equal">
      <formula>0</formula>
    </cfRule>
  </conditionalFormatting>
  <conditionalFormatting sqref="D261:Q261">
    <cfRule type="cellIs" dxfId="530" priority="572" operator="equal">
      <formula>0</formula>
    </cfRule>
  </conditionalFormatting>
  <conditionalFormatting sqref="D261:Q261">
    <cfRule type="cellIs" dxfId="529" priority="574" operator="equal">
      <formula>0</formula>
    </cfRule>
  </conditionalFormatting>
  <conditionalFormatting sqref="C262:Q262">
    <cfRule type="cellIs" dxfId="528" priority="575" operator="equal">
      <formula>0</formula>
    </cfRule>
  </conditionalFormatting>
  <conditionalFormatting sqref="L235:L237 L253">
    <cfRule type="cellIs" dxfId="527" priority="557" operator="equal">
      <formula>0</formula>
    </cfRule>
  </conditionalFormatting>
  <conditionalFormatting sqref="C262:Q262">
    <cfRule type="expression" dxfId="526" priority="576">
      <formula>LEN(TRIM(C262))=0</formula>
    </cfRule>
  </conditionalFormatting>
  <conditionalFormatting sqref="R262">
    <cfRule type="cellIs" dxfId="525" priority="544" operator="equal">
      <formula>0</formula>
    </cfRule>
  </conditionalFormatting>
  <conditionalFormatting sqref="C240:R240 C245:Q249 R241:R252 C232:R232 C252:Q252 C250:N251 Q250:Q251 C241:Q242 D234:R238 D233 F233:R233">
    <cfRule type="expression" dxfId="524" priority="563">
      <formula>LEN(TRIM(C232))=0</formula>
    </cfRule>
  </conditionalFormatting>
  <conditionalFormatting sqref="C243:Q244">
    <cfRule type="expression" dxfId="523" priority="568">
      <formula>LEN(TRIM(C243))=0</formula>
    </cfRule>
  </conditionalFormatting>
  <conditionalFormatting sqref="C255:R256 C254:H254 O254:R254 C258:R260 C257:H257 O257:R257 D261:R261">
    <cfRule type="expression" dxfId="522" priority="573">
      <formula>LEN(TRIM(C254))=0</formula>
    </cfRule>
  </conditionalFormatting>
  <conditionalFormatting sqref="R262">
    <cfRule type="expression" dxfId="521" priority="545">
      <formula>LEN(TRIM(R262))=0</formula>
    </cfRule>
  </conditionalFormatting>
  <conditionalFormatting sqref="O250:P251">
    <cfRule type="cellIs" dxfId="520" priority="542" operator="equal">
      <formula>0</formula>
    </cfRule>
  </conditionalFormatting>
  <conditionalFormatting sqref="O250:P251">
    <cfRule type="expression" dxfId="519" priority="543">
      <formula>LEN(TRIM(O250))=0</formula>
    </cfRule>
  </conditionalFormatting>
  <conditionalFormatting sqref="D290:F290 C291:F292 O294:R294 C294:H294 G290:H292 C286:H289 I286:Q290 O276:R278 D276:H278 I276:N277 P273:R275 F273:F275 C273 C281:R281 P280:R280 C280:N280 C293:Q293 R282:R293 D279:R279 I291:N292 Q291:Q292 C282:Q283">
    <cfRule type="cellIs" dxfId="518" priority="511" operator="equal">
      <formula>0</formula>
    </cfRule>
  </conditionalFormatting>
  <conditionalFormatting sqref="O273:O278">
    <cfRule type="cellIs" dxfId="517" priority="512" operator="equal">
      <formula>0</formula>
    </cfRule>
  </conditionalFormatting>
  <conditionalFormatting sqref="C273:D273 G273:H278 D274:D278">
    <cfRule type="cellIs" dxfId="516" priority="513" operator="equal">
      <formula>0</formula>
    </cfRule>
  </conditionalFormatting>
  <conditionalFormatting sqref="E273 E275:E278">
    <cfRule type="cellIs" dxfId="515" priority="514" operator="equal">
      <formula>0</formula>
    </cfRule>
  </conditionalFormatting>
  <conditionalFormatting sqref="C290">
    <cfRule type="cellIs" dxfId="514" priority="515" operator="equal">
      <formula>0</formula>
    </cfRule>
  </conditionalFormatting>
  <conditionalFormatting sqref="I276:I278 I294">
    <cfRule type="cellIs" dxfId="513" priority="516" operator="equal">
      <formula>0</formula>
    </cfRule>
  </conditionalFormatting>
  <conditionalFormatting sqref="I273:I278 J273:N273">
    <cfRule type="cellIs" dxfId="512" priority="517" operator="equal">
      <formula>0</formula>
    </cfRule>
  </conditionalFormatting>
  <conditionalFormatting sqref="J276:J278 J294">
    <cfRule type="cellIs" dxfId="511" priority="518" operator="equal">
      <formula>0</formula>
    </cfRule>
  </conditionalFormatting>
  <conditionalFormatting sqref="J273:J278">
    <cfRule type="cellIs" dxfId="510" priority="519" operator="equal">
      <formula>0</formula>
    </cfRule>
  </conditionalFormatting>
  <conditionalFormatting sqref="K276:K278 K294">
    <cfRule type="cellIs" dxfId="509" priority="520" operator="equal">
      <formula>0</formula>
    </cfRule>
  </conditionalFormatting>
  <conditionalFormatting sqref="K273:K278">
    <cfRule type="cellIs" dxfId="508" priority="521" operator="equal">
      <formula>0</formula>
    </cfRule>
  </conditionalFormatting>
  <conditionalFormatting sqref="L273:L278">
    <cfRule type="cellIs" dxfId="507" priority="523" operator="equal">
      <formula>0</formula>
    </cfRule>
  </conditionalFormatting>
  <conditionalFormatting sqref="M276:M278 M294">
    <cfRule type="cellIs" dxfId="506" priority="524" operator="equal">
      <formula>0</formula>
    </cfRule>
  </conditionalFormatting>
  <conditionalFormatting sqref="M273:M278">
    <cfRule type="cellIs" dxfId="505" priority="525" operator="equal">
      <formula>0</formula>
    </cfRule>
  </conditionalFormatting>
  <conditionalFormatting sqref="N276:N278 N294">
    <cfRule type="cellIs" dxfId="504" priority="526" operator="equal">
      <formula>0</formula>
    </cfRule>
  </conditionalFormatting>
  <conditionalFormatting sqref="K276:K277">
    <cfRule type="cellIs" dxfId="503" priority="529" operator="equal">
      <formula>0</formula>
    </cfRule>
  </conditionalFormatting>
  <conditionalFormatting sqref="L276:L277">
    <cfRule type="cellIs" dxfId="502" priority="530" operator="equal">
      <formula>0</formula>
    </cfRule>
  </conditionalFormatting>
  <conditionalFormatting sqref="C284:Q285">
    <cfRule type="cellIs" dxfId="501" priority="531" operator="equal">
      <formula>0</formula>
    </cfRule>
  </conditionalFormatting>
  <conditionalFormatting sqref="M276:N276">
    <cfRule type="cellIs" dxfId="500" priority="534" operator="equal">
      <formula>0</formula>
    </cfRule>
  </conditionalFormatting>
  <conditionalFormatting sqref="N273:N278">
    <cfRule type="cellIs" dxfId="499" priority="527" operator="equal">
      <formula>0</formula>
    </cfRule>
  </conditionalFormatting>
  <conditionalFormatting sqref="O284:O285">
    <cfRule type="cellIs" dxfId="498" priority="532" operator="equal">
      <formula>0</formula>
    </cfRule>
  </conditionalFormatting>
  <conditionalFormatting sqref="M277:N277">
    <cfRule type="cellIs" dxfId="497" priority="535" operator="equal">
      <formula>0</formula>
    </cfRule>
  </conditionalFormatting>
  <conditionalFormatting sqref="R295:R302 C296:Q297 C295:H295 O295:Q295 C299:Q301 C298:H298 O298:Q298">
    <cfRule type="cellIs" dxfId="496" priority="536" operator="equal">
      <formula>0</formula>
    </cfRule>
  </conditionalFormatting>
  <conditionalFormatting sqref="D302:Q302">
    <cfRule type="cellIs" dxfId="495" priority="537" operator="equal">
      <formula>0</formula>
    </cfRule>
  </conditionalFormatting>
  <conditionalFormatting sqref="D302:Q302">
    <cfRule type="cellIs" dxfId="494" priority="539" operator="equal">
      <formula>0</formula>
    </cfRule>
  </conditionalFormatting>
  <conditionalFormatting sqref="C303:Q303">
    <cfRule type="cellIs" dxfId="493" priority="540" operator="equal">
      <formula>0</formula>
    </cfRule>
  </conditionalFormatting>
  <conditionalFormatting sqref="L276:L278 L294">
    <cfRule type="cellIs" dxfId="492" priority="522" operator="equal">
      <formula>0</formula>
    </cfRule>
  </conditionalFormatting>
  <conditionalFormatting sqref="C303:Q303">
    <cfRule type="expression" dxfId="491" priority="541">
      <formula>LEN(TRIM(C303))=0</formula>
    </cfRule>
  </conditionalFormatting>
  <conditionalFormatting sqref="R303">
    <cfRule type="cellIs" dxfId="490" priority="509" operator="equal">
      <formula>0</formula>
    </cfRule>
  </conditionalFormatting>
  <conditionalFormatting sqref="C281:R281 C286:Q290 R282:R293 C273:R273 C293:Q293 C291:N292 Q291:Q292 C282:Q283 D275:R279 D274 F274:R274">
    <cfRule type="expression" dxfId="489" priority="528">
      <formula>LEN(TRIM(C273))=0</formula>
    </cfRule>
  </conditionalFormatting>
  <conditionalFormatting sqref="C284:Q285">
    <cfRule type="expression" dxfId="488" priority="533">
      <formula>LEN(TRIM(C284))=0</formula>
    </cfRule>
  </conditionalFormatting>
  <conditionalFormatting sqref="C296:R297 C295:H295 O295:R295 C299:R301 C298:H298 O298:R298 D302:R302">
    <cfRule type="expression" dxfId="487" priority="538">
      <formula>LEN(TRIM(C295))=0</formula>
    </cfRule>
  </conditionalFormatting>
  <conditionalFormatting sqref="R303">
    <cfRule type="expression" dxfId="486" priority="510">
      <formula>LEN(TRIM(R303))=0</formula>
    </cfRule>
  </conditionalFormatting>
  <conditionalFormatting sqref="O291:P292">
    <cfRule type="cellIs" dxfId="485" priority="507" operator="equal">
      <formula>0</formula>
    </cfRule>
  </conditionalFormatting>
  <conditionalFormatting sqref="O291:P292">
    <cfRule type="expression" dxfId="484" priority="508">
      <formula>LEN(TRIM(O291))=0</formula>
    </cfRule>
  </conditionalFormatting>
  <conditionalFormatting sqref="AI86:AJ87">
    <cfRule type="cellIs" dxfId="483" priority="505" operator="equal">
      <formula>0</formula>
    </cfRule>
  </conditionalFormatting>
  <conditionalFormatting sqref="AI86:AJ87">
    <cfRule type="expression" dxfId="482" priority="506">
      <formula>LEN(TRIM(AI86))=0</formula>
    </cfRule>
  </conditionalFormatting>
  <conditionalFormatting sqref="X126:Z126 W127:Z128 AI130:AL130 W130:AB130 AA126:AB128 W122:AB125 AC122:AK126 AI112:AL114 X114:AB114 AJ109:AL111 Z109 W109:W114 W117:AL117 AJ116:AL116 W116:AH116 W129:AK129 AL118:AL129 X115:AC115 AC127:AH128 AK127:AK128 W119:AK119 AI118:AK118 AE115:AL115 AF112:AH113 X112:X113 Z111">
    <cfRule type="cellIs" dxfId="481" priority="474" operator="equal">
      <formula>0</formula>
    </cfRule>
  </conditionalFormatting>
  <conditionalFormatting sqref="AI109:AI114">
    <cfRule type="cellIs" dxfId="480" priority="475" operator="equal">
      <formula>0</formula>
    </cfRule>
  </conditionalFormatting>
  <conditionalFormatting sqref="W109:X114 AA109:AB109 AA114:AB114 AA111:AB111">
    <cfRule type="cellIs" dxfId="479" priority="476" operator="equal">
      <formula>0</formula>
    </cfRule>
  </conditionalFormatting>
  <conditionalFormatting sqref="Y109 Y114 Y111">
    <cfRule type="cellIs" dxfId="478" priority="477" operator="equal">
      <formula>0</formula>
    </cfRule>
  </conditionalFormatting>
  <conditionalFormatting sqref="W126">
    <cfRule type="cellIs" dxfId="477" priority="478" operator="equal">
      <formula>0</formula>
    </cfRule>
  </conditionalFormatting>
  <conditionalFormatting sqref="AC114 AC130">
    <cfRule type="cellIs" dxfId="476" priority="479" operator="equal">
      <formula>0</formula>
    </cfRule>
  </conditionalFormatting>
  <conditionalFormatting sqref="AF109:AH109 AC114 AC111">
    <cfRule type="cellIs" dxfId="475" priority="480" operator="equal">
      <formula>0</formula>
    </cfRule>
  </conditionalFormatting>
  <conditionalFormatting sqref="AD130">
    <cfRule type="cellIs" dxfId="474" priority="481" operator="equal">
      <formula>0</formula>
    </cfRule>
  </conditionalFormatting>
  <conditionalFormatting sqref="AE114 AE130">
    <cfRule type="cellIs" dxfId="473" priority="483" operator="equal">
      <formula>0</formula>
    </cfRule>
  </conditionalFormatting>
  <conditionalFormatting sqref="AE114 AE111">
    <cfRule type="cellIs" dxfId="472" priority="484" operator="equal">
      <formula>0</formula>
    </cfRule>
  </conditionalFormatting>
  <conditionalFormatting sqref="AF109:AF114">
    <cfRule type="cellIs" dxfId="471" priority="486" operator="equal">
      <formula>0</formula>
    </cfRule>
  </conditionalFormatting>
  <conditionalFormatting sqref="AG112:AG114 AG130">
    <cfRule type="cellIs" dxfId="470" priority="487" operator="equal">
      <formula>0</formula>
    </cfRule>
  </conditionalFormatting>
  <conditionalFormatting sqref="AG109:AG114">
    <cfRule type="cellIs" dxfId="469" priority="488" operator="equal">
      <formula>0</formula>
    </cfRule>
  </conditionalFormatting>
  <conditionalFormatting sqref="AH112:AH114 AH130">
    <cfRule type="cellIs" dxfId="468" priority="489" operator="equal">
      <formula>0</formula>
    </cfRule>
  </conditionalFormatting>
  <conditionalFormatting sqref="AF112:AF113">
    <cfRule type="cellIs" dxfId="467" priority="493" operator="equal">
      <formula>0</formula>
    </cfRule>
  </conditionalFormatting>
  <conditionalFormatting sqref="W120:AK121">
    <cfRule type="cellIs" dxfId="466" priority="494" operator="equal">
      <formula>0</formula>
    </cfRule>
  </conditionalFormatting>
  <conditionalFormatting sqref="AG112:AH112">
    <cfRule type="cellIs" dxfId="465" priority="497" operator="equal">
      <formula>0</formula>
    </cfRule>
  </conditionalFormatting>
  <conditionalFormatting sqref="AH109:AH114">
    <cfRule type="cellIs" dxfId="464" priority="490" operator="equal">
      <formula>0</formula>
    </cfRule>
  </conditionalFormatting>
  <conditionalFormatting sqref="AI120:AI121">
    <cfRule type="cellIs" dxfId="463" priority="495" operator="equal">
      <formula>0</formula>
    </cfRule>
  </conditionalFormatting>
  <conditionalFormatting sqref="AG113:AH113">
    <cfRule type="cellIs" dxfId="462" priority="498" operator="equal">
      <formula>0</formula>
    </cfRule>
  </conditionalFormatting>
  <conditionalFormatting sqref="AL131:AL138 W132:AK133 Z131:AB131 AI131:AK131 W135:AK137 W134:AB134 AI134:AK134">
    <cfRule type="cellIs" dxfId="461" priority="499" operator="equal">
      <formula>0</formula>
    </cfRule>
  </conditionalFormatting>
  <conditionalFormatting sqref="X138:AB138 AD138:AK138">
    <cfRule type="cellIs" dxfId="460" priority="500" operator="equal">
      <formula>0</formula>
    </cfRule>
  </conditionalFormatting>
  <conditionalFormatting sqref="X138:AB138 AD138:AK138">
    <cfRule type="cellIs" dxfId="459" priority="502" operator="equal">
      <formula>0</formula>
    </cfRule>
  </conditionalFormatting>
  <conditionalFormatting sqref="W139:AK139">
    <cfRule type="cellIs" dxfId="458" priority="503" operator="equal">
      <formula>0</formula>
    </cfRule>
  </conditionalFormatting>
  <conditionalFormatting sqref="AF112:AF114 AF130">
    <cfRule type="cellIs" dxfId="457" priority="485" operator="equal">
      <formula>0</formula>
    </cfRule>
  </conditionalFormatting>
  <conditionalFormatting sqref="W139:AK139">
    <cfRule type="expression" dxfId="456" priority="504">
      <formula>LEN(TRIM(W139))=0</formula>
    </cfRule>
  </conditionalFormatting>
  <conditionalFormatting sqref="AL139">
    <cfRule type="cellIs" dxfId="455" priority="472" operator="equal">
      <formula>0</formula>
    </cfRule>
  </conditionalFormatting>
  <conditionalFormatting sqref="W117:AL117 W122:AK126 AL118:AL129 W109:AB109 W129:AK129 W127:AH128 AK127:AK128 W119:AK119 AI118:AK118 AE114:AL115 AF112:AL113 W114:AC114 W112:X113 X115:AC115 AE111:AL111 AF109:AL110 W111:AC111 W110:X110">
    <cfRule type="expression" dxfId="454" priority="491">
      <formula>LEN(TRIM(W109))=0</formula>
    </cfRule>
  </conditionalFormatting>
  <conditionalFormatting sqref="W120:AK121">
    <cfRule type="expression" dxfId="453" priority="496">
      <formula>LEN(TRIM(W120))=0</formula>
    </cfRule>
  </conditionalFormatting>
  <conditionalFormatting sqref="W132:AL133 Z131:AB131 AI131:AL131 W135:AL137 W134:AB134 AI134:AL134 X138:AB138 AD138:AL138">
    <cfRule type="expression" dxfId="452" priority="501">
      <formula>LEN(TRIM(W131))=0</formula>
    </cfRule>
  </conditionalFormatting>
  <conditionalFormatting sqref="AL139">
    <cfRule type="expression" dxfId="451" priority="473">
      <formula>LEN(TRIM(AL139))=0</formula>
    </cfRule>
  </conditionalFormatting>
  <conditionalFormatting sqref="AI127:AJ128">
    <cfRule type="cellIs" dxfId="450" priority="470" operator="equal">
      <formula>0</formula>
    </cfRule>
  </conditionalFormatting>
  <conditionalFormatting sqref="AI127:AJ128">
    <cfRule type="expression" dxfId="449" priority="471">
      <formula>LEN(TRIM(AI127))=0</formula>
    </cfRule>
  </conditionalFormatting>
  <conditionalFormatting sqref="X167:Z167 W168:Z169 AI171:AL171 W171:AB171 AA167:AB169 W163:AB166 AC163:AK167 AI153:AL155 X155:AB155 AJ150:AL152 Z150 W150:W155 W158:AL158 AJ157:AL157 W157:AH157 W170:AK170 AL159:AL170 X156:AC156 AC168:AH169 AK168:AK169 W160:AK160 AI159:AK159 AE156:AL156 AF153:AH154 X153:X154 Z152">
    <cfRule type="cellIs" dxfId="448" priority="439" operator="equal">
      <formula>0</formula>
    </cfRule>
  </conditionalFormatting>
  <conditionalFormatting sqref="AI150:AI155">
    <cfRule type="cellIs" dxfId="447" priority="440" operator="equal">
      <formula>0</formula>
    </cfRule>
  </conditionalFormatting>
  <conditionalFormatting sqref="W150:X155 AA150:AB150 AA155:AB155 AA152:AB152">
    <cfRule type="cellIs" dxfId="446" priority="441" operator="equal">
      <formula>0</formula>
    </cfRule>
  </conditionalFormatting>
  <conditionalFormatting sqref="Y150 Y155 Y152">
    <cfRule type="cellIs" dxfId="445" priority="442" operator="equal">
      <formula>0</formula>
    </cfRule>
  </conditionalFormatting>
  <conditionalFormatting sqref="W167">
    <cfRule type="cellIs" dxfId="444" priority="443" operator="equal">
      <formula>0</formula>
    </cfRule>
  </conditionalFormatting>
  <conditionalFormatting sqref="AC155 AC171">
    <cfRule type="cellIs" dxfId="443" priority="444" operator="equal">
      <formula>0</formula>
    </cfRule>
  </conditionalFormatting>
  <conditionalFormatting sqref="AF150:AH150 AC155 AC152">
    <cfRule type="cellIs" dxfId="442" priority="445" operator="equal">
      <formula>0</formula>
    </cfRule>
  </conditionalFormatting>
  <conditionalFormatting sqref="AD171">
    <cfRule type="cellIs" dxfId="441" priority="446" operator="equal">
      <formula>0</formula>
    </cfRule>
  </conditionalFormatting>
  <conditionalFormatting sqref="AG194:AH194">
    <cfRule type="cellIs" dxfId="440" priority="427" operator="equal">
      <formula>0</formula>
    </cfRule>
  </conditionalFormatting>
  <conditionalFormatting sqref="AE155 AE171">
    <cfRule type="cellIs" dxfId="439" priority="448" operator="equal">
      <formula>0</formula>
    </cfRule>
  </conditionalFormatting>
  <conditionalFormatting sqref="AE155 AE152">
    <cfRule type="cellIs" dxfId="438" priority="449" operator="equal">
      <formula>0</formula>
    </cfRule>
  </conditionalFormatting>
  <conditionalFormatting sqref="AF150:AF155">
    <cfRule type="cellIs" dxfId="437" priority="451" operator="equal">
      <formula>0</formula>
    </cfRule>
  </conditionalFormatting>
  <conditionalFormatting sqref="AG153:AG155 AG171">
    <cfRule type="cellIs" dxfId="436" priority="452" operator="equal">
      <formula>0</formula>
    </cfRule>
  </conditionalFormatting>
  <conditionalFormatting sqref="AG150:AG155">
    <cfRule type="cellIs" dxfId="435" priority="453" operator="equal">
      <formula>0</formula>
    </cfRule>
  </conditionalFormatting>
  <conditionalFormatting sqref="AH153:AH155 AH171">
    <cfRule type="cellIs" dxfId="434" priority="454" operator="equal">
      <formula>0</formula>
    </cfRule>
  </conditionalFormatting>
  <conditionalFormatting sqref="AF153:AF154">
    <cfRule type="cellIs" dxfId="433" priority="458" operator="equal">
      <formula>0</formula>
    </cfRule>
  </conditionalFormatting>
  <conditionalFormatting sqref="W161:AK162">
    <cfRule type="cellIs" dxfId="432" priority="459" operator="equal">
      <formula>0</formula>
    </cfRule>
  </conditionalFormatting>
  <conditionalFormatting sqref="AG153:AH153">
    <cfRule type="cellIs" dxfId="431" priority="462" operator="equal">
      <formula>0</formula>
    </cfRule>
  </conditionalFormatting>
  <conditionalFormatting sqref="AH150:AH155">
    <cfRule type="cellIs" dxfId="430" priority="455" operator="equal">
      <formula>0</formula>
    </cfRule>
  </conditionalFormatting>
  <conditionalFormatting sqref="AI161:AI162">
    <cfRule type="cellIs" dxfId="429" priority="460" operator="equal">
      <formula>0</formula>
    </cfRule>
  </conditionalFormatting>
  <conditionalFormatting sqref="AG154:AH154">
    <cfRule type="cellIs" dxfId="428" priority="463" operator="equal">
      <formula>0</formula>
    </cfRule>
  </conditionalFormatting>
  <conditionalFormatting sqref="AL172:AL179 W173:AK174 Z172:AB172 AI172:AK172 W176:AK178 W175:AB175 AI175:AK175">
    <cfRule type="cellIs" dxfId="427" priority="464" operator="equal">
      <formula>0</formula>
    </cfRule>
  </conditionalFormatting>
  <conditionalFormatting sqref="X179:AB179 AD179:AK179">
    <cfRule type="cellIs" dxfId="426" priority="465" operator="equal">
      <formula>0</formula>
    </cfRule>
  </conditionalFormatting>
  <conditionalFormatting sqref="X179:AB179 AD179:AK179">
    <cfRule type="cellIs" dxfId="425" priority="467" operator="equal">
      <formula>0</formula>
    </cfRule>
  </conditionalFormatting>
  <conditionalFormatting sqref="W180:AK180">
    <cfRule type="cellIs" dxfId="424" priority="468" operator="equal">
      <formula>0</formula>
    </cfRule>
  </conditionalFormatting>
  <conditionalFormatting sqref="AF153:AF155 AF171">
    <cfRule type="cellIs" dxfId="423" priority="450" operator="equal">
      <formula>0</formula>
    </cfRule>
  </conditionalFormatting>
  <conditionalFormatting sqref="W180:AK180">
    <cfRule type="expression" dxfId="422" priority="469">
      <formula>LEN(TRIM(W180))=0</formula>
    </cfRule>
  </conditionalFormatting>
  <conditionalFormatting sqref="AL180">
    <cfRule type="cellIs" dxfId="421" priority="437" operator="equal">
      <formula>0</formula>
    </cfRule>
  </conditionalFormatting>
  <conditionalFormatting sqref="W158:AL158 W163:AK167 AL159:AL170 W150:AB150 W170:AK170 W168:AH169 AK168:AK169 W160:AK160 AI159:AK159 AE155:AL156 AF153:AL154 W155:AC155 W153:X154 X156:AC156 AE152:AL152 AF150:AL151 W152:AC152 W151:X151">
    <cfRule type="expression" dxfId="420" priority="456">
      <formula>LEN(TRIM(W150))=0</formula>
    </cfRule>
  </conditionalFormatting>
  <conditionalFormatting sqref="W161:AK162">
    <cfRule type="expression" dxfId="419" priority="461">
      <formula>LEN(TRIM(W161))=0</formula>
    </cfRule>
  </conditionalFormatting>
  <conditionalFormatting sqref="W173:AL174 Z172:AB172 AI172:AL172 W176:AL178 W175:AB175 AI175:AL175 X179:AB179 AD179:AL179">
    <cfRule type="expression" dxfId="418" priority="466">
      <formula>LEN(TRIM(W172))=0</formula>
    </cfRule>
  </conditionalFormatting>
  <conditionalFormatting sqref="AL180">
    <cfRule type="expression" dxfId="417" priority="438">
      <formula>LEN(TRIM(AL180))=0</formula>
    </cfRule>
  </conditionalFormatting>
  <conditionalFormatting sqref="AI168:AJ169">
    <cfRule type="cellIs" dxfId="416" priority="435" operator="equal">
      <formula>0</formula>
    </cfRule>
  </conditionalFormatting>
  <conditionalFormatting sqref="AI168:AJ169">
    <cfRule type="expression" dxfId="415" priority="436">
      <formula>LEN(TRIM(AI168))=0</formula>
    </cfRule>
  </conditionalFormatting>
  <conditionalFormatting sqref="X208:Z208 W209:Z210 AI212:AL212 W212:AB212 AA208:AB210 W204:AB207 AC204:AK208 AI194:AL196 X196:AB196 AJ191:AL193 Z191 W191:W196 W199:AL199 AJ198:AL198 W198:AH198 W211:AK211 AL200:AL211 X197:AC197 AC209:AH210 AK209:AK210 W201:AK201 AI200:AK200 AE197:AL197 AF194:AH195 X194:X195 Z193">
    <cfRule type="cellIs" dxfId="414" priority="404" operator="equal">
      <formula>0</formula>
    </cfRule>
  </conditionalFormatting>
  <conditionalFormatting sqref="AI191:AI196">
    <cfRule type="cellIs" dxfId="413" priority="405" operator="equal">
      <formula>0</formula>
    </cfRule>
  </conditionalFormatting>
  <conditionalFormatting sqref="W191:X196 AA191:AB191 AA196:AB196 AA193:AB193">
    <cfRule type="cellIs" dxfId="412" priority="406" operator="equal">
      <formula>0</formula>
    </cfRule>
  </conditionalFormatting>
  <conditionalFormatting sqref="Y191 Y196 Y193">
    <cfRule type="cellIs" dxfId="411" priority="407" operator="equal">
      <formula>0</formula>
    </cfRule>
  </conditionalFormatting>
  <conditionalFormatting sqref="W208">
    <cfRule type="cellIs" dxfId="410" priority="408" operator="equal">
      <formula>0</formula>
    </cfRule>
  </conditionalFormatting>
  <conditionalFormatting sqref="AC196 AC212">
    <cfRule type="cellIs" dxfId="409" priority="409" operator="equal">
      <formula>0</formula>
    </cfRule>
  </conditionalFormatting>
  <conditionalFormatting sqref="AF191:AH191 AC196 AC193">
    <cfRule type="cellIs" dxfId="408" priority="410" operator="equal">
      <formula>0</formula>
    </cfRule>
  </conditionalFormatting>
  <conditionalFormatting sqref="AD212">
    <cfRule type="cellIs" dxfId="407" priority="411" operator="equal">
      <formula>0</formula>
    </cfRule>
  </conditionalFormatting>
  <conditionalFormatting sqref="X261:AB261 AD261:AK261">
    <cfRule type="cellIs" dxfId="406" priority="397" operator="equal">
      <formula>0</formula>
    </cfRule>
  </conditionalFormatting>
  <conditionalFormatting sqref="AE196 AE212">
    <cfRule type="cellIs" dxfId="405" priority="413" operator="equal">
      <formula>0</formula>
    </cfRule>
  </conditionalFormatting>
  <conditionalFormatting sqref="AE196 AE193">
    <cfRule type="cellIs" dxfId="404" priority="414" operator="equal">
      <formula>0</formula>
    </cfRule>
  </conditionalFormatting>
  <conditionalFormatting sqref="AF191:AF196">
    <cfRule type="cellIs" dxfId="403" priority="416" operator="equal">
      <formula>0</formula>
    </cfRule>
  </conditionalFormatting>
  <conditionalFormatting sqref="AG194:AG196 AG212">
    <cfRule type="cellIs" dxfId="402" priority="417" operator="equal">
      <formula>0</formula>
    </cfRule>
  </conditionalFormatting>
  <conditionalFormatting sqref="AG191:AG196">
    <cfRule type="cellIs" dxfId="401" priority="418" operator="equal">
      <formula>0</formula>
    </cfRule>
  </conditionalFormatting>
  <conditionalFormatting sqref="AH194:AH196 AH212">
    <cfRule type="cellIs" dxfId="400" priority="419" operator="equal">
      <formula>0</formula>
    </cfRule>
  </conditionalFormatting>
  <conditionalFormatting sqref="AF194:AF195">
    <cfRule type="cellIs" dxfId="399" priority="423" operator="equal">
      <formula>0</formula>
    </cfRule>
  </conditionalFormatting>
  <conditionalFormatting sqref="W202:AK203">
    <cfRule type="cellIs" dxfId="398" priority="424" operator="equal">
      <formula>0</formula>
    </cfRule>
  </conditionalFormatting>
  <conditionalFormatting sqref="AH191:AH196">
    <cfRule type="cellIs" dxfId="397" priority="420" operator="equal">
      <formula>0</formula>
    </cfRule>
  </conditionalFormatting>
  <conditionalFormatting sqref="AI202:AI203">
    <cfRule type="cellIs" dxfId="396" priority="425" operator="equal">
      <formula>0</formula>
    </cfRule>
  </conditionalFormatting>
  <conditionalFormatting sqref="AG195:AH195">
    <cfRule type="cellIs" dxfId="395" priority="428" operator="equal">
      <formula>0</formula>
    </cfRule>
  </conditionalFormatting>
  <conditionalFormatting sqref="AL213:AL220 W214:AK215 Z213:AB213 AI213:AK213 W217:AK219 W216:AB216 AI216:AK216">
    <cfRule type="cellIs" dxfId="394" priority="429" operator="equal">
      <formula>0</formula>
    </cfRule>
  </conditionalFormatting>
  <conditionalFormatting sqref="X220:AB220 AD220:AK220">
    <cfRule type="cellIs" dxfId="393" priority="430" operator="equal">
      <formula>0</formula>
    </cfRule>
  </conditionalFormatting>
  <conditionalFormatting sqref="X220:AB220 AD220:AK220">
    <cfRule type="cellIs" dxfId="392" priority="432" operator="equal">
      <formula>0</formula>
    </cfRule>
  </conditionalFormatting>
  <conditionalFormatting sqref="W221:AK221">
    <cfRule type="cellIs" dxfId="391" priority="433" operator="equal">
      <formula>0</formula>
    </cfRule>
  </conditionalFormatting>
  <conditionalFormatting sqref="AF194:AF196 AF212">
    <cfRule type="cellIs" dxfId="390" priority="415" operator="equal">
      <formula>0</formula>
    </cfRule>
  </conditionalFormatting>
  <conditionalFormatting sqref="W221:AK221">
    <cfRule type="expression" dxfId="389" priority="434">
      <formula>LEN(TRIM(W221))=0</formula>
    </cfRule>
  </conditionalFormatting>
  <conditionalFormatting sqref="AL221">
    <cfRule type="cellIs" dxfId="388" priority="402" operator="equal">
      <formula>0</formula>
    </cfRule>
  </conditionalFormatting>
  <conditionalFormatting sqref="W199:AL199 W204:AK208 AL200:AL211 W191:AB191 W211:AK211 W209:AH210 AK209:AK210 W201:AK201 AI200:AK200 AE196:AL197 AF194:AL195 W196:AC196 W194:X195 X197:AC197 AE193:AL193 AF191:AL192 W193:AC193 W192:X192">
    <cfRule type="expression" dxfId="387" priority="421">
      <formula>LEN(TRIM(W191))=0</formula>
    </cfRule>
  </conditionalFormatting>
  <conditionalFormatting sqref="W202:AK203">
    <cfRule type="expression" dxfId="386" priority="426">
      <formula>LEN(TRIM(W202))=0</formula>
    </cfRule>
  </conditionalFormatting>
  <conditionalFormatting sqref="W214:AL215 Z213:AB213 AI213:AL213 W217:AL219 W216:AB216 AI216:AL216 X220:AB220 AD220:AL220">
    <cfRule type="expression" dxfId="385" priority="431">
      <formula>LEN(TRIM(W213))=0</formula>
    </cfRule>
  </conditionalFormatting>
  <conditionalFormatting sqref="AL221">
    <cfRule type="expression" dxfId="384" priority="403">
      <formula>LEN(TRIM(AL221))=0</formula>
    </cfRule>
  </conditionalFormatting>
  <conditionalFormatting sqref="AI209:AJ210">
    <cfRule type="cellIs" dxfId="383" priority="400" operator="equal">
      <formula>0</formula>
    </cfRule>
  </conditionalFormatting>
  <conditionalFormatting sqref="AI209:AJ210">
    <cfRule type="expression" dxfId="382" priority="401">
      <formula>LEN(TRIM(AI209))=0</formula>
    </cfRule>
  </conditionalFormatting>
  <conditionalFormatting sqref="X249:Z249 W250:Z251 AI253:AL253 W253:AB253 AA249:AB251 W245:AB248 AC245:AK249 AI235:AL237 X237:AB237 AJ232:AL234 Z232 W232:W237 W240:AL240 AJ239:AL239 W239:AH239 W252:AK252 AL241:AL252 X238:AC238 AC250:AH251 AK250:AK251 W242:AK242 AI241:AK241 AE238:AL238 AF235:AH236 X235:X236 Z234">
    <cfRule type="cellIs" dxfId="381" priority="369" operator="equal">
      <formula>0</formula>
    </cfRule>
  </conditionalFormatting>
  <conditionalFormatting sqref="AI232:AI237">
    <cfRule type="cellIs" dxfId="380" priority="370" operator="equal">
      <formula>0</formula>
    </cfRule>
  </conditionalFormatting>
  <conditionalFormatting sqref="W232:X237 AA232:AB232 AA237:AB237 AA234:AB234">
    <cfRule type="cellIs" dxfId="379" priority="371" operator="equal">
      <formula>0</formula>
    </cfRule>
  </conditionalFormatting>
  <conditionalFormatting sqref="Y232 Y237 Y234">
    <cfRule type="cellIs" dxfId="378" priority="372" operator="equal">
      <formula>0</formula>
    </cfRule>
  </conditionalFormatting>
  <conditionalFormatting sqref="W249">
    <cfRule type="cellIs" dxfId="377" priority="373" operator="equal">
      <formula>0</formula>
    </cfRule>
  </conditionalFormatting>
  <conditionalFormatting sqref="AC237 AC253">
    <cfRule type="cellIs" dxfId="376" priority="374" operator="equal">
      <formula>0</formula>
    </cfRule>
  </conditionalFormatting>
  <conditionalFormatting sqref="AF232:AH232 AC237 AC234">
    <cfRule type="cellIs" dxfId="375" priority="375" operator="equal">
      <formula>0</formula>
    </cfRule>
  </conditionalFormatting>
  <conditionalFormatting sqref="AD253">
    <cfRule type="cellIs" dxfId="374" priority="376" operator="equal">
      <formula>0</formula>
    </cfRule>
  </conditionalFormatting>
  <conditionalFormatting sqref="AL262">
    <cfRule type="cellIs" dxfId="373" priority="367" operator="equal">
      <formula>0</formula>
    </cfRule>
  </conditionalFormatting>
  <conditionalFormatting sqref="AE237 AE253">
    <cfRule type="cellIs" dxfId="372" priority="378" operator="equal">
      <formula>0</formula>
    </cfRule>
  </conditionalFormatting>
  <conditionalFormatting sqref="AE237 AE234">
    <cfRule type="cellIs" dxfId="371" priority="379" operator="equal">
      <formula>0</formula>
    </cfRule>
  </conditionalFormatting>
  <conditionalFormatting sqref="AF232:AF237">
    <cfRule type="cellIs" dxfId="370" priority="381" operator="equal">
      <formula>0</formula>
    </cfRule>
  </conditionalFormatting>
  <conditionalFormatting sqref="AG235:AG237 AG253">
    <cfRule type="cellIs" dxfId="369" priority="382" operator="equal">
      <formula>0</formula>
    </cfRule>
  </conditionalFormatting>
  <conditionalFormatting sqref="AG232:AG237">
    <cfRule type="cellIs" dxfId="368" priority="383" operator="equal">
      <formula>0</formula>
    </cfRule>
  </conditionalFormatting>
  <conditionalFormatting sqref="AH235:AH237 AH253">
    <cfRule type="cellIs" dxfId="367" priority="384" operator="equal">
      <formula>0</formula>
    </cfRule>
  </conditionalFormatting>
  <conditionalFormatting sqref="AF235:AF236">
    <cfRule type="cellIs" dxfId="366" priority="388" operator="equal">
      <formula>0</formula>
    </cfRule>
  </conditionalFormatting>
  <conditionalFormatting sqref="W243:AK244">
    <cfRule type="cellIs" dxfId="365" priority="389" operator="equal">
      <formula>0</formula>
    </cfRule>
  </conditionalFormatting>
  <conditionalFormatting sqref="AG235:AH235">
    <cfRule type="cellIs" dxfId="364" priority="392" operator="equal">
      <formula>0</formula>
    </cfRule>
  </conditionalFormatting>
  <conditionalFormatting sqref="AH232:AH237">
    <cfRule type="cellIs" dxfId="363" priority="385" operator="equal">
      <formula>0</formula>
    </cfRule>
  </conditionalFormatting>
  <conditionalFormatting sqref="AI243:AI244">
    <cfRule type="cellIs" dxfId="362" priority="390" operator="equal">
      <formula>0</formula>
    </cfRule>
  </conditionalFormatting>
  <conditionalFormatting sqref="AG236:AH236">
    <cfRule type="cellIs" dxfId="361" priority="393" operator="equal">
      <formula>0</formula>
    </cfRule>
  </conditionalFormatting>
  <conditionalFormatting sqref="AL254:AL261 W255:AK256 Z254:AB254 AI254:AK254 W258:AK260 W257:AB257 AI257:AK257">
    <cfRule type="cellIs" dxfId="360" priority="394" operator="equal">
      <formula>0</formula>
    </cfRule>
  </conditionalFormatting>
  <conditionalFormatting sqref="X261:AB261 AD261:AK261">
    <cfRule type="cellIs" dxfId="359" priority="395" operator="equal">
      <formula>0</formula>
    </cfRule>
  </conditionalFormatting>
  <conditionalFormatting sqref="W262:AK262">
    <cfRule type="cellIs" dxfId="358" priority="398" operator="equal">
      <formula>0</formula>
    </cfRule>
  </conditionalFormatting>
  <conditionalFormatting sqref="AF235:AF237 AF253">
    <cfRule type="cellIs" dxfId="357" priority="380" operator="equal">
      <formula>0</formula>
    </cfRule>
  </conditionalFormatting>
  <conditionalFormatting sqref="W262:AK262">
    <cfRule type="expression" dxfId="356" priority="399">
      <formula>LEN(TRIM(W262))=0</formula>
    </cfRule>
  </conditionalFormatting>
  <conditionalFormatting sqref="W240:AL240 W245:AK249 AL241:AL252 W232:AB232 W252:AK252 W250:AH251 AK250:AK251 W242:AK242 AI241:AK241 AE237:AL238 AF235:AL236 W237:AC237 W235:X236 X238:AC238 AE234:AL234 AF232:AL233 W234:AC234 W233:X233">
    <cfRule type="expression" dxfId="355" priority="386">
      <formula>LEN(TRIM(W232))=0</formula>
    </cfRule>
  </conditionalFormatting>
  <conditionalFormatting sqref="W243:AK244">
    <cfRule type="expression" dxfId="354" priority="391">
      <formula>LEN(TRIM(W243))=0</formula>
    </cfRule>
  </conditionalFormatting>
  <conditionalFormatting sqref="W255:AL256 Z254:AB254 AI254:AL254 W258:AL260 W257:AB257 AI257:AL257 X261:AB261 AD261:AL261">
    <cfRule type="expression" dxfId="353" priority="396">
      <formula>LEN(TRIM(W254))=0</formula>
    </cfRule>
  </conditionalFormatting>
  <conditionalFormatting sqref="AL262">
    <cfRule type="expression" dxfId="352" priority="368">
      <formula>LEN(TRIM(AL262))=0</formula>
    </cfRule>
  </conditionalFormatting>
  <conditionalFormatting sqref="AI250:AJ251">
    <cfRule type="cellIs" dxfId="351" priority="365" operator="equal">
      <formula>0</formula>
    </cfRule>
  </conditionalFormatting>
  <conditionalFormatting sqref="AI250:AJ251">
    <cfRule type="expression" dxfId="350" priority="366">
      <formula>LEN(TRIM(AI250))=0</formula>
    </cfRule>
  </conditionalFormatting>
  <conditionalFormatting sqref="X290:Z290 W291:Z292 AI294:AL294 W294:AB294 AA290:AB292 W286:AB289 AC286:AK290 AI276:AL278 X278:AB278 AJ273:AL275 Z273 W273:W278 W281:AL281 AJ280:AL280 W280:AH280 W293:AK293 AL282:AL293 X279:AC279 AC291:AH292 AK291:AK292 W283:AK283 AI282:AK282 AE279:AL279 AF276:AH277 X276:X277 Z275">
    <cfRule type="cellIs" dxfId="349" priority="334" operator="equal">
      <formula>0</formula>
    </cfRule>
  </conditionalFormatting>
  <conditionalFormatting sqref="AI273:AI278">
    <cfRule type="cellIs" dxfId="348" priority="335" operator="equal">
      <formula>0</formula>
    </cfRule>
  </conditionalFormatting>
  <conditionalFormatting sqref="W273:X278 AA273:AB273 AA278:AB278 AA275:AB275">
    <cfRule type="cellIs" dxfId="347" priority="336" operator="equal">
      <formula>0</formula>
    </cfRule>
  </conditionalFormatting>
  <conditionalFormatting sqref="Y273 Y278 Y275">
    <cfRule type="cellIs" dxfId="346" priority="337" operator="equal">
      <formula>0</formula>
    </cfRule>
  </conditionalFormatting>
  <conditionalFormatting sqref="W290">
    <cfRule type="cellIs" dxfId="345" priority="338" operator="equal">
      <formula>0</formula>
    </cfRule>
  </conditionalFormatting>
  <conditionalFormatting sqref="AC278 AC294">
    <cfRule type="cellIs" dxfId="344" priority="339" operator="equal">
      <formula>0</formula>
    </cfRule>
  </conditionalFormatting>
  <conditionalFormatting sqref="AF273:AH273 AC278 AC275">
    <cfRule type="cellIs" dxfId="343" priority="340" operator="equal">
      <formula>0</formula>
    </cfRule>
  </conditionalFormatting>
  <conditionalFormatting sqref="AD294">
    <cfRule type="cellIs" dxfId="342" priority="341" operator="equal">
      <formula>0</formula>
    </cfRule>
  </conditionalFormatting>
  <conditionalFormatting sqref="AE278 AE294">
    <cfRule type="cellIs" dxfId="341" priority="343" operator="equal">
      <formula>0</formula>
    </cfRule>
  </conditionalFormatting>
  <conditionalFormatting sqref="AE278 AE275">
    <cfRule type="cellIs" dxfId="340" priority="344" operator="equal">
      <formula>0</formula>
    </cfRule>
  </conditionalFormatting>
  <conditionalFormatting sqref="AF273:AF278">
    <cfRule type="cellIs" dxfId="339" priority="346" operator="equal">
      <formula>0</formula>
    </cfRule>
  </conditionalFormatting>
  <conditionalFormatting sqref="AG276:AG278 AG294">
    <cfRule type="cellIs" dxfId="338" priority="347" operator="equal">
      <formula>0</formula>
    </cfRule>
  </conditionalFormatting>
  <conditionalFormatting sqref="AG273:AG278">
    <cfRule type="cellIs" dxfId="337" priority="348" operator="equal">
      <formula>0</formula>
    </cfRule>
  </conditionalFormatting>
  <conditionalFormatting sqref="AH276:AH278 AH294">
    <cfRule type="cellIs" dxfId="336" priority="349" operator="equal">
      <formula>0</formula>
    </cfRule>
  </conditionalFormatting>
  <conditionalFormatting sqref="AF276:AF277">
    <cfRule type="cellIs" dxfId="335" priority="353" operator="equal">
      <formula>0</formula>
    </cfRule>
  </conditionalFormatting>
  <conditionalFormatting sqref="W284:AK285">
    <cfRule type="cellIs" dxfId="334" priority="354" operator="equal">
      <formula>0</formula>
    </cfRule>
  </conditionalFormatting>
  <conditionalFormatting sqref="AG276:AH276">
    <cfRule type="cellIs" dxfId="333" priority="357" operator="equal">
      <formula>0</formula>
    </cfRule>
  </conditionalFormatting>
  <conditionalFormatting sqref="AH273:AH278">
    <cfRule type="cellIs" dxfId="332" priority="350" operator="equal">
      <formula>0</formula>
    </cfRule>
  </conditionalFormatting>
  <conditionalFormatting sqref="AI284:AI285">
    <cfRule type="cellIs" dxfId="331" priority="355" operator="equal">
      <formula>0</formula>
    </cfRule>
  </conditionalFormatting>
  <conditionalFormatting sqref="AG277:AH277">
    <cfRule type="cellIs" dxfId="330" priority="358" operator="equal">
      <formula>0</formula>
    </cfRule>
  </conditionalFormatting>
  <conditionalFormatting sqref="AL295:AL302 W296:AK297 Z295:AB295 AI295:AK295 W299:AK301 W298:AB298 AI298:AK298">
    <cfRule type="cellIs" dxfId="329" priority="359" operator="equal">
      <formula>0</formula>
    </cfRule>
  </conditionalFormatting>
  <conditionalFormatting sqref="X302:AB302 AD302:AK302">
    <cfRule type="cellIs" dxfId="328" priority="360" operator="equal">
      <formula>0</formula>
    </cfRule>
  </conditionalFormatting>
  <conditionalFormatting sqref="X302:AB302 AD302:AK302">
    <cfRule type="cellIs" dxfId="327" priority="362" operator="equal">
      <formula>0</formula>
    </cfRule>
  </conditionalFormatting>
  <conditionalFormatting sqref="W303:AK303">
    <cfRule type="cellIs" dxfId="326" priority="363" operator="equal">
      <formula>0</formula>
    </cfRule>
  </conditionalFormatting>
  <conditionalFormatting sqref="AF276:AF278 AF294">
    <cfRule type="cellIs" dxfId="325" priority="345" operator="equal">
      <formula>0</formula>
    </cfRule>
  </conditionalFormatting>
  <conditionalFormatting sqref="W303:AK303">
    <cfRule type="expression" dxfId="324" priority="364">
      <formula>LEN(TRIM(W303))=0</formula>
    </cfRule>
  </conditionalFormatting>
  <conditionalFormatting sqref="AL303">
    <cfRule type="cellIs" dxfId="323" priority="332" operator="equal">
      <formula>0</formula>
    </cfRule>
  </conditionalFormatting>
  <conditionalFormatting sqref="W281:AL281 W286:AK290 AL282:AL293 W273:AB273 W293:AK293 W291:AH292 AK291:AK292 W283:AK283 AI282:AK282 AE278:AL279 AF276:AL277 W278:AC278 W276:X277 X279:AC279 AE275:AL275 AF273:AL274 W275:AC275 W274:X274">
    <cfRule type="expression" dxfId="322" priority="351">
      <formula>LEN(TRIM(W273))=0</formula>
    </cfRule>
  </conditionalFormatting>
  <conditionalFormatting sqref="W284:AK285">
    <cfRule type="expression" dxfId="321" priority="356">
      <formula>LEN(TRIM(W284))=0</formula>
    </cfRule>
  </conditionalFormatting>
  <conditionalFormatting sqref="W296:AL297 Z295:AB295 AI295:AL295 W299:AL301 W298:AB298 AI298:AL298 X302:AB302 AD302:AL302">
    <cfRule type="expression" dxfId="320" priority="361">
      <formula>LEN(TRIM(W295))=0</formula>
    </cfRule>
  </conditionalFormatting>
  <conditionalFormatting sqref="AL303">
    <cfRule type="expression" dxfId="319" priority="333">
      <formula>LEN(TRIM(AL303))=0</formula>
    </cfRule>
  </conditionalFormatting>
  <conditionalFormatting sqref="AI291:AJ292">
    <cfRule type="cellIs" dxfId="318" priority="330" operator="equal">
      <formula>0</formula>
    </cfRule>
  </conditionalFormatting>
  <conditionalFormatting sqref="AI291:AJ292">
    <cfRule type="expression" dxfId="317" priority="331">
      <formula>LEN(TRIM(AI291))=0</formula>
    </cfRule>
  </conditionalFormatting>
  <conditionalFormatting sqref="I90:N90">
    <cfRule type="cellIs" dxfId="316" priority="328" operator="equal">
      <formula>0</formula>
    </cfRule>
  </conditionalFormatting>
  <conditionalFormatting sqref="I90:N90">
    <cfRule type="expression" dxfId="315" priority="329">
      <formula>LEN(TRIM(I90))=0</formula>
    </cfRule>
  </conditionalFormatting>
  <conditionalFormatting sqref="I93:N93">
    <cfRule type="cellIs" dxfId="314" priority="326" operator="equal">
      <formula>0</formula>
    </cfRule>
  </conditionalFormatting>
  <conditionalFormatting sqref="I93:N93">
    <cfRule type="expression" dxfId="313" priority="327">
      <formula>LEN(TRIM(I93))=0</formula>
    </cfRule>
  </conditionalFormatting>
  <conditionalFormatting sqref="V17:AA17">
    <cfRule type="cellIs" dxfId="312" priority="324" operator="equal">
      <formula>0</formula>
    </cfRule>
  </conditionalFormatting>
  <conditionalFormatting sqref="V17:AA17">
    <cfRule type="expression" dxfId="311" priority="325">
      <formula>LEN(TRIM(V17))=0</formula>
    </cfRule>
  </conditionalFormatting>
  <conditionalFormatting sqref="I131:N131">
    <cfRule type="cellIs" dxfId="310" priority="322" operator="equal">
      <formula>0</formula>
    </cfRule>
  </conditionalFormatting>
  <conditionalFormatting sqref="I131:N131">
    <cfRule type="expression" dxfId="309" priority="323">
      <formula>LEN(TRIM(I131))=0</formula>
    </cfRule>
  </conditionalFormatting>
  <conditionalFormatting sqref="I134:N134">
    <cfRule type="cellIs" dxfId="308" priority="320" operator="equal">
      <formula>0</formula>
    </cfRule>
  </conditionalFormatting>
  <conditionalFormatting sqref="I134:N134">
    <cfRule type="expression" dxfId="307" priority="321">
      <formula>LEN(TRIM(I134))=0</formula>
    </cfRule>
  </conditionalFormatting>
  <conditionalFormatting sqref="I172:N172">
    <cfRule type="cellIs" dxfId="306" priority="318" operator="equal">
      <formula>0</formula>
    </cfRule>
  </conditionalFormatting>
  <conditionalFormatting sqref="I172:N172">
    <cfRule type="expression" dxfId="305" priority="319">
      <formula>LEN(TRIM(I172))=0</formula>
    </cfRule>
  </conditionalFormatting>
  <conditionalFormatting sqref="I175:N175">
    <cfRule type="cellIs" dxfId="304" priority="316" operator="equal">
      <formula>0</formula>
    </cfRule>
  </conditionalFormatting>
  <conditionalFormatting sqref="I175:N175">
    <cfRule type="expression" dxfId="303" priority="317">
      <formula>LEN(TRIM(I175))=0</formula>
    </cfRule>
  </conditionalFormatting>
  <conditionalFormatting sqref="I213:N213">
    <cfRule type="cellIs" dxfId="302" priority="314" operator="equal">
      <formula>0</formula>
    </cfRule>
  </conditionalFormatting>
  <conditionalFormatting sqref="I213:N213">
    <cfRule type="expression" dxfId="301" priority="315">
      <formula>LEN(TRIM(I213))=0</formula>
    </cfRule>
  </conditionalFormatting>
  <conditionalFormatting sqref="I216:N216">
    <cfRule type="cellIs" dxfId="300" priority="312" operator="equal">
      <formula>0</formula>
    </cfRule>
  </conditionalFormatting>
  <conditionalFormatting sqref="I216:N216">
    <cfRule type="expression" dxfId="299" priority="313">
      <formula>LEN(TRIM(I216))=0</formula>
    </cfRule>
  </conditionalFormatting>
  <conditionalFormatting sqref="I254:N254">
    <cfRule type="cellIs" dxfId="298" priority="310" operator="equal">
      <formula>0</formula>
    </cfRule>
  </conditionalFormatting>
  <conditionalFormatting sqref="I254:N254">
    <cfRule type="expression" dxfId="297" priority="311">
      <formula>LEN(TRIM(I254))=0</formula>
    </cfRule>
  </conditionalFormatting>
  <conditionalFormatting sqref="I257:N257">
    <cfRule type="cellIs" dxfId="296" priority="308" operator="equal">
      <formula>0</formula>
    </cfRule>
  </conditionalFormatting>
  <conditionalFormatting sqref="I257:N257">
    <cfRule type="expression" dxfId="295" priority="309">
      <formula>LEN(TRIM(I257))=0</formula>
    </cfRule>
  </conditionalFormatting>
  <conditionalFormatting sqref="I295:N295">
    <cfRule type="cellIs" dxfId="294" priority="306" operator="equal">
      <formula>0</formula>
    </cfRule>
  </conditionalFormatting>
  <conditionalFormatting sqref="I295:N295">
    <cfRule type="expression" dxfId="293" priority="307">
      <formula>LEN(TRIM(I295))=0</formula>
    </cfRule>
  </conditionalFormatting>
  <conditionalFormatting sqref="I298:N298">
    <cfRule type="cellIs" dxfId="292" priority="304" operator="equal">
      <formula>0</formula>
    </cfRule>
  </conditionalFormatting>
  <conditionalFormatting sqref="I298:N298">
    <cfRule type="expression" dxfId="291" priority="305">
      <formula>LEN(TRIM(I298))=0</formula>
    </cfRule>
  </conditionalFormatting>
  <conditionalFormatting sqref="C110">
    <cfRule type="cellIs" dxfId="290" priority="301" operator="equal">
      <formula>0</formula>
    </cfRule>
  </conditionalFormatting>
  <conditionalFormatting sqref="C110">
    <cfRule type="cellIs" dxfId="289" priority="302" operator="equal">
      <formula>0</formula>
    </cfRule>
  </conditionalFormatting>
  <conditionalFormatting sqref="C110">
    <cfRule type="expression" dxfId="288" priority="303">
      <formula>LEN(TRIM(C110))=0</formula>
    </cfRule>
  </conditionalFormatting>
  <conditionalFormatting sqref="C138">
    <cfRule type="cellIs" dxfId="287" priority="286" operator="equal">
      <formula>0</formula>
    </cfRule>
  </conditionalFormatting>
  <conditionalFormatting sqref="C138">
    <cfRule type="cellIs" dxfId="286" priority="288" operator="equal">
      <formula>0</formula>
    </cfRule>
  </conditionalFormatting>
  <conditionalFormatting sqref="C138">
    <cfRule type="expression" dxfId="285" priority="287">
      <formula>LEN(TRIM(C138))=0</formula>
    </cfRule>
  </conditionalFormatting>
  <conditionalFormatting sqref="C179">
    <cfRule type="cellIs" dxfId="284" priority="283" operator="equal">
      <formula>0</formula>
    </cfRule>
  </conditionalFormatting>
  <conditionalFormatting sqref="C179">
    <cfRule type="cellIs" dxfId="283" priority="285" operator="equal">
      <formula>0</formula>
    </cfRule>
  </conditionalFormatting>
  <conditionalFormatting sqref="C179">
    <cfRule type="expression" dxfId="282" priority="284">
      <formula>LEN(TRIM(C179))=0</formula>
    </cfRule>
  </conditionalFormatting>
  <conditionalFormatting sqref="C220">
    <cfRule type="cellIs" dxfId="281" priority="280" operator="equal">
      <formula>0</formula>
    </cfRule>
  </conditionalFormatting>
  <conditionalFormatting sqref="C220">
    <cfRule type="cellIs" dxfId="280" priority="282" operator="equal">
      <formula>0</formula>
    </cfRule>
  </conditionalFormatting>
  <conditionalFormatting sqref="C220">
    <cfRule type="expression" dxfId="279" priority="281">
      <formula>LEN(TRIM(C220))=0</formula>
    </cfRule>
  </conditionalFormatting>
  <conditionalFormatting sqref="C261">
    <cfRule type="cellIs" dxfId="278" priority="277" operator="equal">
      <formula>0</formula>
    </cfRule>
  </conditionalFormatting>
  <conditionalFormatting sqref="C261">
    <cfRule type="cellIs" dxfId="277" priority="279" operator="equal">
      <formula>0</formula>
    </cfRule>
  </conditionalFormatting>
  <conditionalFormatting sqref="C261">
    <cfRule type="expression" dxfId="276" priority="278">
      <formula>LEN(TRIM(C261))=0</formula>
    </cfRule>
  </conditionalFormatting>
  <conditionalFormatting sqref="C302">
    <cfRule type="cellIs" dxfId="275" priority="274" operator="equal">
      <formula>0</formula>
    </cfRule>
  </conditionalFormatting>
  <conditionalFormatting sqref="C302">
    <cfRule type="cellIs" dxfId="274" priority="276" operator="equal">
      <formula>0</formula>
    </cfRule>
  </conditionalFormatting>
  <conditionalFormatting sqref="C302">
    <cfRule type="expression" dxfId="273" priority="275">
      <formula>LEN(TRIM(C302))=0</formula>
    </cfRule>
  </conditionalFormatting>
  <conditionalFormatting sqref="C152:C156">
    <cfRule type="cellIs" dxfId="272" priority="271" operator="equal">
      <formula>0</formula>
    </cfRule>
  </conditionalFormatting>
  <conditionalFormatting sqref="C152:C155">
    <cfRule type="cellIs" dxfId="271" priority="272" operator="equal">
      <formula>0</formula>
    </cfRule>
  </conditionalFormatting>
  <conditionalFormatting sqref="C152:C156">
    <cfRule type="expression" dxfId="270" priority="273">
      <formula>LEN(TRIM(C152))=0</formula>
    </cfRule>
  </conditionalFormatting>
  <conditionalFormatting sqref="C151">
    <cfRule type="cellIs" dxfId="269" priority="268" operator="equal">
      <formula>0</formula>
    </cfRule>
  </conditionalFormatting>
  <conditionalFormatting sqref="C151">
    <cfRule type="cellIs" dxfId="268" priority="269" operator="equal">
      <formula>0</formula>
    </cfRule>
  </conditionalFormatting>
  <conditionalFormatting sqref="C151">
    <cfRule type="expression" dxfId="267" priority="270">
      <formula>LEN(TRIM(C151))=0</formula>
    </cfRule>
  </conditionalFormatting>
  <conditionalFormatting sqref="C193:C197">
    <cfRule type="cellIs" dxfId="266" priority="265" operator="equal">
      <formula>0</formula>
    </cfRule>
  </conditionalFormatting>
  <conditionalFormatting sqref="C193:C196">
    <cfRule type="cellIs" dxfId="265" priority="266" operator="equal">
      <formula>0</formula>
    </cfRule>
  </conditionalFormatting>
  <conditionalFormatting sqref="C193:C197">
    <cfRule type="expression" dxfId="264" priority="267">
      <formula>LEN(TRIM(C193))=0</formula>
    </cfRule>
  </conditionalFormatting>
  <conditionalFormatting sqref="C192">
    <cfRule type="cellIs" dxfId="263" priority="262" operator="equal">
      <formula>0</formula>
    </cfRule>
  </conditionalFormatting>
  <conditionalFormatting sqref="C192">
    <cfRule type="cellIs" dxfId="262" priority="263" operator="equal">
      <formula>0</formula>
    </cfRule>
  </conditionalFormatting>
  <conditionalFormatting sqref="C192">
    <cfRule type="expression" dxfId="261" priority="264">
      <formula>LEN(TRIM(C192))=0</formula>
    </cfRule>
  </conditionalFormatting>
  <conditionalFormatting sqref="C234:C238">
    <cfRule type="cellIs" dxfId="260" priority="259" operator="equal">
      <formula>0</formula>
    </cfRule>
  </conditionalFormatting>
  <conditionalFormatting sqref="C234:C237">
    <cfRule type="cellIs" dxfId="259" priority="260" operator="equal">
      <formula>0</formula>
    </cfRule>
  </conditionalFormatting>
  <conditionalFormatting sqref="C234:C238">
    <cfRule type="expression" dxfId="258" priority="261">
      <formula>LEN(TRIM(C234))=0</formula>
    </cfRule>
  </conditionalFormatting>
  <conditionalFormatting sqref="C233">
    <cfRule type="cellIs" dxfId="257" priority="256" operator="equal">
      <formula>0</formula>
    </cfRule>
  </conditionalFormatting>
  <conditionalFormatting sqref="C233">
    <cfRule type="cellIs" dxfId="256" priority="257" operator="equal">
      <formula>0</formula>
    </cfRule>
  </conditionalFormatting>
  <conditionalFormatting sqref="C233">
    <cfRule type="expression" dxfId="255" priority="258">
      <formula>LEN(TRIM(C233))=0</formula>
    </cfRule>
  </conditionalFormatting>
  <conditionalFormatting sqref="C275:C279">
    <cfRule type="cellIs" dxfId="254" priority="253" operator="equal">
      <formula>0</formula>
    </cfRule>
  </conditionalFormatting>
  <conditionalFormatting sqref="C275:C278">
    <cfRule type="cellIs" dxfId="253" priority="254" operator="equal">
      <formula>0</formula>
    </cfRule>
  </conditionalFormatting>
  <conditionalFormatting sqref="C275:C279">
    <cfRule type="expression" dxfId="252" priority="255">
      <formula>LEN(TRIM(C275))=0</formula>
    </cfRule>
  </conditionalFormatting>
  <conditionalFormatting sqref="C274">
    <cfRule type="cellIs" dxfId="251" priority="250" operator="equal">
      <formula>0</formula>
    </cfRule>
  </conditionalFormatting>
  <conditionalFormatting sqref="C274">
    <cfRule type="cellIs" dxfId="250" priority="251" operator="equal">
      <formula>0</formula>
    </cfRule>
  </conditionalFormatting>
  <conditionalFormatting sqref="C274">
    <cfRule type="expression" dxfId="249" priority="252">
      <formula>LEN(TRIM(C274))=0</formula>
    </cfRule>
  </conditionalFormatting>
  <conditionalFormatting sqref="E110">
    <cfRule type="cellIs" dxfId="248" priority="248" operator="equal">
      <formula>0</formula>
    </cfRule>
  </conditionalFormatting>
  <conditionalFormatting sqref="E110">
    <cfRule type="expression" dxfId="247" priority="249">
      <formula>LEN(TRIM(E110))=0</formula>
    </cfRule>
  </conditionalFormatting>
  <conditionalFormatting sqref="E151">
    <cfRule type="cellIs" dxfId="246" priority="246" operator="equal">
      <formula>0</formula>
    </cfRule>
  </conditionalFormatting>
  <conditionalFormatting sqref="E151">
    <cfRule type="expression" dxfId="245" priority="247">
      <formula>LEN(TRIM(E151))=0</formula>
    </cfRule>
  </conditionalFormatting>
  <conditionalFormatting sqref="E192">
    <cfRule type="cellIs" dxfId="244" priority="244" operator="equal">
      <formula>0</formula>
    </cfRule>
  </conditionalFormatting>
  <conditionalFormatting sqref="E192">
    <cfRule type="expression" dxfId="243" priority="245">
      <formula>LEN(TRIM(E192))=0</formula>
    </cfRule>
  </conditionalFormatting>
  <conditionalFormatting sqref="E233">
    <cfRule type="cellIs" dxfId="242" priority="242" operator="equal">
      <formula>0</formula>
    </cfRule>
  </conditionalFormatting>
  <conditionalFormatting sqref="E233">
    <cfRule type="expression" dxfId="241" priority="243">
      <formula>LEN(TRIM(E233))=0</formula>
    </cfRule>
  </conditionalFormatting>
  <conditionalFormatting sqref="E274">
    <cfRule type="cellIs" dxfId="240" priority="240" operator="equal">
      <formula>0</formula>
    </cfRule>
  </conditionalFormatting>
  <conditionalFormatting sqref="E274">
    <cfRule type="expression" dxfId="239" priority="241">
      <formula>LEN(TRIM(E274))=0</formula>
    </cfRule>
  </conditionalFormatting>
  <conditionalFormatting sqref="W118:AH118">
    <cfRule type="cellIs" dxfId="238" priority="238" operator="equal">
      <formula>0</formula>
    </cfRule>
  </conditionalFormatting>
  <conditionalFormatting sqref="W118:AH118">
    <cfRule type="expression" dxfId="237" priority="239">
      <formula>LEN(TRIM(W118))=0</formula>
    </cfRule>
  </conditionalFormatting>
  <conditionalFormatting sqref="AC134:AH134">
    <cfRule type="cellIs" dxfId="236" priority="234" operator="equal">
      <formula>0</formula>
    </cfRule>
  </conditionalFormatting>
  <conditionalFormatting sqref="AC134:AH134">
    <cfRule type="expression" dxfId="235" priority="235">
      <formula>LEN(TRIM(AC134))=0</formula>
    </cfRule>
  </conditionalFormatting>
  <conditionalFormatting sqref="W159:AH159">
    <cfRule type="cellIs" dxfId="234" priority="232" operator="equal">
      <formula>0</formula>
    </cfRule>
  </conditionalFormatting>
  <conditionalFormatting sqref="W159:AH159">
    <cfRule type="expression" dxfId="233" priority="233">
      <formula>LEN(TRIM(W159))=0</formula>
    </cfRule>
  </conditionalFormatting>
  <conditionalFormatting sqref="AD114">
    <cfRule type="cellIs" dxfId="232" priority="155" operator="equal">
      <formula>0</formula>
    </cfRule>
  </conditionalFormatting>
  <conditionalFormatting sqref="AC175:AH175">
    <cfRule type="cellIs" dxfId="231" priority="228" operator="equal">
      <formula>0</formula>
    </cfRule>
  </conditionalFormatting>
  <conditionalFormatting sqref="AC175:AH175">
    <cfRule type="expression" dxfId="230" priority="229">
      <formula>LEN(TRIM(AC175))=0</formula>
    </cfRule>
  </conditionalFormatting>
  <conditionalFormatting sqref="W200:AH200">
    <cfRule type="cellIs" dxfId="229" priority="226" operator="equal">
      <formula>0</formula>
    </cfRule>
  </conditionalFormatting>
  <conditionalFormatting sqref="W200:AH200">
    <cfRule type="expression" dxfId="228" priority="227">
      <formula>LEN(TRIM(W200))=0</formula>
    </cfRule>
  </conditionalFormatting>
  <conditionalFormatting sqref="AD155 AD152">
    <cfRule type="cellIs" dxfId="227" priority="151" operator="equal">
      <formula>0</formula>
    </cfRule>
  </conditionalFormatting>
  <conditionalFormatting sqref="AD155:AD156 AD152">
    <cfRule type="expression" dxfId="226" priority="152">
      <formula>LEN(TRIM(AD152))=0</formula>
    </cfRule>
  </conditionalFormatting>
  <conditionalFormatting sqref="AC216:AH216">
    <cfRule type="cellIs" dxfId="225" priority="222" operator="equal">
      <formula>0</formula>
    </cfRule>
  </conditionalFormatting>
  <conditionalFormatting sqref="AC216:AH216">
    <cfRule type="expression" dxfId="224" priority="223">
      <formula>LEN(TRIM(AC216))=0</formula>
    </cfRule>
  </conditionalFormatting>
  <conditionalFormatting sqref="W241:AH241">
    <cfRule type="cellIs" dxfId="223" priority="220" operator="equal">
      <formula>0</formula>
    </cfRule>
  </conditionalFormatting>
  <conditionalFormatting sqref="W241:AH241">
    <cfRule type="expression" dxfId="222" priority="221">
      <formula>LEN(TRIM(W241))=0</formula>
    </cfRule>
  </conditionalFormatting>
  <conditionalFormatting sqref="AC257:AH257">
    <cfRule type="cellIs" dxfId="221" priority="216" operator="equal">
      <formula>0</formula>
    </cfRule>
  </conditionalFormatting>
  <conditionalFormatting sqref="AC257:AH257">
    <cfRule type="expression" dxfId="220" priority="217">
      <formula>LEN(TRIM(AC257))=0</formula>
    </cfRule>
  </conditionalFormatting>
  <conditionalFormatting sqref="AD196">
    <cfRule type="cellIs" dxfId="219" priority="145" operator="equal">
      <formula>0</formula>
    </cfRule>
  </conditionalFormatting>
  <conditionalFormatting sqref="AC298:AH298">
    <cfRule type="cellIs" dxfId="218" priority="212" operator="equal">
      <formula>0</formula>
    </cfRule>
  </conditionalFormatting>
  <conditionalFormatting sqref="AC298:AH298">
    <cfRule type="expression" dxfId="217" priority="213">
      <formula>LEN(TRIM(AC298))=0</formula>
    </cfRule>
  </conditionalFormatting>
  <conditionalFormatting sqref="W282:AH282">
    <cfRule type="cellIs" dxfId="216" priority="210" operator="equal">
      <formula>0</formula>
    </cfRule>
  </conditionalFormatting>
  <conditionalFormatting sqref="W282:AH282">
    <cfRule type="expression" dxfId="215" priority="211">
      <formula>LEN(TRIM(W282))=0</formula>
    </cfRule>
  </conditionalFormatting>
  <conditionalFormatting sqref="AC131:AH131">
    <cfRule type="cellIs" dxfId="214" priority="208" operator="equal">
      <formula>0</formula>
    </cfRule>
  </conditionalFormatting>
  <conditionalFormatting sqref="AC131:AH131">
    <cfRule type="expression" dxfId="213" priority="209">
      <formula>LEN(TRIM(AC131))=0</formula>
    </cfRule>
  </conditionalFormatting>
  <conditionalFormatting sqref="AC172:AH172">
    <cfRule type="cellIs" dxfId="212" priority="206" operator="equal">
      <formula>0</formula>
    </cfRule>
  </conditionalFormatting>
  <conditionalFormatting sqref="AC172:AH172">
    <cfRule type="expression" dxfId="211" priority="207">
      <formula>LEN(TRIM(AC172))=0</formula>
    </cfRule>
  </conditionalFormatting>
  <conditionalFormatting sqref="AC213:AH213">
    <cfRule type="cellIs" dxfId="210" priority="204" operator="equal">
      <formula>0</formula>
    </cfRule>
  </conditionalFormatting>
  <conditionalFormatting sqref="AC213:AH213">
    <cfRule type="expression" dxfId="209" priority="205">
      <formula>LEN(TRIM(AC213))=0</formula>
    </cfRule>
  </conditionalFormatting>
  <conditionalFormatting sqref="AC254:AH254">
    <cfRule type="cellIs" dxfId="208" priority="202" operator="equal">
      <formula>0</formula>
    </cfRule>
  </conditionalFormatting>
  <conditionalFormatting sqref="AC254:AH254">
    <cfRule type="expression" dxfId="207" priority="203">
      <formula>LEN(TRIM(AC254))=0</formula>
    </cfRule>
  </conditionalFormatting>
  <conditionalFormatting sqref="AC295:AH295">
    <cfRule type="cellIs" dxfId="206" priority="200" operator="equal">
      <formula>0</formula>
    </cfRule>
  </conditionalFormatting>
  <conditionalFormatting sqref="AC295:AH295">
    <cfRule type="expression" dxfId="205" priority="201">
      <formula>LEN(TRIM(AC295))=0</formula>
    </cfRule>
  </conditionalFormatting>
  <conditionalFormatting sqref="AD279">
    <cfRule type="cellIs" dxfId="204" priority="133" operator="equal">
      <formula>0</formula>
    </cfRule>
  </conditionalFormatting>
  <conditionalFormatting sqref="W131:Y131">
    <cfRule type="cellIs" dxfId="203" priority="196" operator="equal">
      <formula>0</formula>
    </cfRule>
  </conditionalFormatting>
  <conditionalFormatting sqref="W131:Y131">
    <cfRule type="expression" dxfId="202" priority="197">
      <formula>LEN(TRIM(W131))=0</formula>
    </cfRule>
  </conditionalFormatting>
  <conditionalFormatting sqref="W172:Y172">
    <cfRule type="cellIs" dxfId="201" priority="194" operator="equal">
      <formula>0</formula>
    </cfRule>
  </conditionalFormatting>
  <conditionalFormatting sqref="W172:Y172">
    <cfRule type="expression" dxfId="200" priority="195">
      <formula>LEN(TRIM(W172))=0</formula>
    </cfRule>
  </conditionalFormatting>
  <conditionalFormatting sqref="W213:Y213">
    <cfRule type="cellIs" dxfId="199" priority="192" operator="equal">
      <formula>0</formula>
    </cfRule>
  </conditionalFormatting>
  <conditionalFormatting sqref="W213:Y213">
    <cfRule type="expression" dxfId="198" priority="193">
      <formula>LEN(TRIM(W213))=0</formula>
    </cfRule>
  </conditionalFormatting>
  <conditionalFormatting sqref="W254:Y254">
    <cfRule type="cellIs" dxfId="197" priority="190" operator="equal">
      <formula>0</formula>
    </cfRule>
  </conditionalFormatting>
  <conditionalFormatting sqref="W254:Y254">
    <cfRule type="expression" dxfId="196" priority="191">
      <formula>LEN(TRIM(W254))=0</formula>
    </cfRule>
  </conditionalFormatting>
  <conditionalFormatting sqref="W295:Y295">
    <cfRule type="cellIs" dxfId="195" priority="188" operator="equal">
      <formula>0</formula>
    </cfRule>
  </conditionalFormatting>
  <conditionalFormatting sqref="W295:Y295">
    <cfRule type="expression" dxfId="194" priority="189">
      <formula>LEN(TRIM(W295))=0</formula>
    </cfRule>
  </conditionalFormatting>
  <conditionalFormatting sqref="W138">
    <cfRule type="cellIs" dxfId="193" priority="185" operator="equal">
      <formula>0</formula>
    </cfRule>
  </conditionalFormatting>
  <conditionalFormatting sqref="W138">
    <cfRule type="cellIs" dxfId="192" priority="187" operator="equal">
      <formula>0</formula>
    </cfRule>
  </conditionalFormatting>
  <conditionalFormatting sqref="W138">
    <cfRule type="expression" dxfId="191" priority="186">
      <formula>LEN(TRIM(W138))=0</formula>
    </cfRule>
  </conditionalFormatting>
  <conditionalFormatting sqref="W179">
    <cfRule type="cellIs" dxfId="190" priority="182" operator="equal">
      <formula>0</formula>
    </cfRule>
  </conditionalFormatting>
  <conditionalFormatting sqref="W179">
    <cfRule type="cellIs" dxfId="189" priority="184" operator="equal">
      <formula>0</formula>
    </cfRule>
  </conditionalFormatting>
  <conditionalFormatting sqref="W179">
    <cfRule type="expression" dxfId="188" priority="183">
      <formula>LEN(TRIM(W179))=0</formula>
    </cfRule>
  </conditionalFormatting>
  <conditionalFormatting sqref="W220">
    <cfRule type="cellIs" dxfId="187" priority="179" operator="equal">
      <formula>0</formula>
    </cfRule>
  </conditionalFormatting>
  <conditionalFormatting sqref="W220">
    <cfRule type="cellIs" dxfId="186" priority="181" operator="equal">
      <formula>0</formula>
    </cfRule>
  </conditionalFormatting>
  <conditionalFormatting sqref="W220">
    <cfRule type="expression" dxfId="185" priority="180">
      <formula>LEN(TRIM(W220))=0</formula>
    </cfRule>
  </conditionalFormatting>
  <conditionalFormatting sqref="W261">
    <cfRule type="cellIs" dxfId="184" priority="176" operator="equal">
      <formula>0</formula>
    </cfRule>
  </conditionalFormatting>
  <conditionalFormatting sqref="W261">
    <cfRule type="cellIs" dxfId="183" priority="178" operator="equal">
      <formula>0</formula>
    </cfRule>
  </conditionalFormatting>
  <conditionalFormatting sqref="W261">
    <cfRule type="expression" dxfId="182" priority="177">
      <formula>LEN(TRIM(W261))=0</formula>
    </cfRule>
  </conditionalFormatting>
  <conditionalFormatting sqref="W302">
    <cfRule type="cellIs" dxfId="181" priority="173" operator="equal">
      <formula>0</formula>
    </cfRule>
  </conditionalFormatting>
  <conditionalFormatting sqref="W302">
    <cfRule type="cellIs" dxfId="180" priority="175" operator="equal">
      <formula>0</formula>
    </cfRule>
  </conditionalFormatting>
  <conditionalFormatting sqref="W302">
    <cfRule type="expression" dxfId="179" priority="174">
      <formula>LEN(TRIM(W302))=0</formula>
    </cfRule>
  </conditionalFormatting>
  <conditionalFormatting sqref="AC138">
    <cfRule type="cellIs" dxfId="178" priority="170" operator="equal">
      <formula>0</formula>
    </cfRule>
  </conditionalFormatting>
  <conditionalFormatting sqref="AC138">
    <cfRule type="cellIs" dxfId="177" priority="172" operator="equal">
      <formula>0</formula>
    </cfRule>
  </conditionalFormatting>
  <conditionalFormatting sqref="AC138">
    <cfRule type="expression" dxfId="176" priority="171">
      <formula>LEN(TRIM(AC138))=0</formula>
    </cfRule>
  </conditionalFormatting>
  <conditionalFormatting sqref="AC179">
    <cfRule type="cellIs" dxfId="175" priority="167" operator="equal">
      <formula>0</formula>
    </cfRule>
  </conditionalFormatting>
  <conditionalFormatting sqref="AC179">
    <cfRule type="cellIs" dxfId="174" priority="169" operator="equal">
      <formula>0</formula>
    </cfRule>
  </conditionalFormatting>
  <conditionalFormatting sqref="AC179">
    <cfRule type="expression" dxfId="173" priority="168">
      <formula>LEN(TRIM(AC179))=0</formula>
    </cfRule>
  </conditionalFormatting>
  <conditionalFormatting sqref="AC220">
    <cfRule type="cellIs" dxfId="172" priority="164" operator="equal">
      <formula>0</formula>
    </cfRule>
  </conditionalFormatting>
  <conditionalFormatting sqref="AC220">
    <cfRule type="cellIs" dxfId="171" priority="166" operator="equal">
      <formula>0</formula>
    </cfRule>
  </conditionalFormatting>
  <conditionalFormatting sqref="AC220">
    <cfRule type="expression" dxfId="170" priority="165">
      <formula>LEN(TRIM(AC220))=0</formula>
    </cfRule>
  </conditionalFormatting>
  <conditionalFormatting sqref="AC261">
    <cfRule type="cellIs" dxfId="169" priority="161" operator="equal">
      <formula>0</formula>
    </cfRule>
  </conditionalFormatting>
  <conditionalFormatting sqref="AC261">
    <cfRule type="cellIs" dxfId="168" priority="163" operator="equal">
      <formula>0</formula>
    </cfRule>
  </conditionalFormatting>
  <conditionalFormatting sqref="AC261">
    <cfRule type="expression" dxfId="167" priority="162">
      <formula>LEN(TRIM(AC261))=0</formula>
    </cfRule>
  </conditionalFormatting>
  <conditionalFormatting sqref="AC302">
    <cfRule type="cellIs" dxfId="166" priority="158" operator="equal">
      <formula>0</formula>
    </cfRule>
  </conditionalFormatting>
  <conditionalFormatting sqref="AC302">
    <cfRule type="cellIs" dxfId="165" priority="160" operator="equal">
      <formula>0</formula>
    </cfRule>
  </conditionalFormatting>
  <conditionalFormatting sqref="AC302">
    <cfRule type="expression" dxfId="164" priority="159">
      <formula>LEN(TRIM(AC302))=0</formula>
    </cfRule>
  </conditionalFormatting>
  <conditionalFormatting sqref="AD115">
    <cfRule type="cellIs" dxfId="163" priority="153" operator="equal">
      <formula>0</formula>
    </cfRule>
  </conditionalFormatting>
  <conditionalFormatting sqref="AD114 AD111">
    <cfRule type="cellIs" dxfId="162" priority="156" operator="equal">
      <formula>0</formula>
    </cfRule>
  </conditionalFormatting>
  <conditionalFormatting sqref="AD114:AD115 AD111">
    <cfRule type="expression" dxfId="161" priority="157">
      <formula>LEN(TRIM(AD111))=0</formula>
    </cfRule>
  </conditionalFormatting>
  <conditionalFormatting sqref="AD156">
    <cfRule type="cellIs" dxfId="160" priority="148" operator="equal">
      <formula>0</formula>
    </cfRule>
  </conditionalFormatting>
  <conditionalFormatting sqref="AD155">
    <cfRule type="cellIs" dxfId="159" priority="150" operator="equal">
      <formula>0</formula>
    </cfRule>
  </conditionalFormatting>
  <conditionalFormatting sqref="AD197">
    <cfRule type="cellIs" dxfId="158" priority="143" operator="equal">
      <formula>0</formula>
    </cfRule>
  </conditionalFormatting>
  <conditionalFormatting sqref="AD196 AD193">
    <cfRule type="cellIs" dxfId="157" priority="146" operator="equal">
      <formula>0</formula>
    </cfRule>
  </conditionalFormatting>
  <conditionalFormatting sqref="AD196:AD197 AD193">
    <cfRule type="expression" dxfId="156" priority="147">
      <formula>LEN(TRIM(AD193))=0</formula>
    </cfRule>
  </conditionalFormatting>
  <conditionalFormatting sqref="AD238">
    <cfRule type="cellIs" dxfId="155" priority="138" operator="equal">
      <formula>0</formula>
    </cfRule>
  </conditionalFormatting>
  <conditionalFormatting sqref="AD237">
    <cfRule type="cellIs" dxfId="154" priority="140" operator="equal">
      <formula>0</formula>
    </cfRule>
  </conditionalFormatting>
  <conditionalFormatting sqref="AD237 AD234">
    <cfRule type="cellIs" dxfId="153" priority="141" operator="equal">
      <formula>0</formula>
    </cfRule>
  </conditionalFormatting>
  <conditionalFormatting sqref="AD237:AD238 AD234">
    <cfRule type="expression" dxfId="152" priority="142">
      <formula>LEN(TRIM(AD234))=0</formula>
    </cfRule>
  </conditionalFormatting>
  <conditionalFormatting sqref="AD278">
    <cfRule type="cellIs" dxfId="151" priority="135" operator="equal">
      <formula>0</formula>
    </cfRule>
  </conditionalFormatting>
  <conditionalFormatting sqref="AD278 AD275">
    <cfRule type="cellIs" dxfId="150" priority="136" operator="equal">
      <formula>0</formula>
    </cfRule>
  </conditionalFormatting>
  <conditionalFormatting sqref="AD278:AD279 AD275">
    <cfRule type="expression" dxfId="149" priority="137">
      <formula>LEN(TRIM(AD275))=0</formula>
    </cfRule>
  </conditionalFormatting>
  <conditionalFormatting sqref="Y112:AE113">
    <cfRule type="cellIs" dxfId="148" priority="122" operator="equal">
      <formula>0</formula>
    </cfRule>
  </conditionalFormatting>
  <conditionalFormatting sqref="AA112:AB113">
    <cfRule type="cellIs" dxfId="147" priority="123" operator="equal">
      <formula>0</formula>
    </cfRule>
  </conditionalFormatting>
  <conditionalFormatting sqref="Y112:Y113">
    <cfRule type="cellIs" dxfId="146" priority="124" operator="equal">
      <formula>0</formula>
    </cfRule>
  </conditionalFormatting>
  <conditionalFormatting sqref="AC112:AC113">
    <cfRule type="cellIs" dxfId="145" priority="125" operator="equal">
      <formula>0</formula>
    </cfRule>
  </conditionalFormatting>
  <conditionalFormatting sqref="AC112:AC113">
    <cfRule type="cellIs" dxfId="144" priority="126" operator="equal">
      <formula>0</formula>
    </cfRule>
  </conditionalFormatting>
  <conditionalFormatting sqref="AD112:AD113">
    <cfRule type="cellIs" dxfId="143" priority="127" operator="equal">
      <formula>0</formula>
    </cfRule>
  </conditionalFormatting>
  <conditionalFormatting sqref="AD112:AD113">
    <cfRule type="cellIs" dxfId="142" priority="128" operator="equal">
      <formula>0</formula>
    </cfRule>
  </conditionalFormatting>
  <conditionalFormatting sqref="AE112:AE113">
    <cfRule type="cellIs" dxfId="141" priority="129" operator="equal">
      <formula>0</formula>
    </cfRule>
  </conditionalFormatting>
  <conditionalFormatting sqref="AE112:AE113">
    <cfRule type="cellIs" dxfId="140" priority="130" operator="equal">
      <formula>0</formula>
    </cfRule>
  </conditionalFormatting>
  <conditionalFormatting sqref="AE112:AE113">
    <cfRule type="cellIs" dxfId="139" priority="132" operator="equal">
      <formula>0</formula>
    </cfRule>
  </conditionalFormatting>
  <conditionalFormatting sqref="Y112:AE113">
    <cfRule type="expression" dxfId="138" priority="131">
      <formula>LEN(TRIM(Y112))=0</formula>
    </cfRule>
  </conditionalFormatting>
  <conditionalFormatting sqref="Y153:AE154">
    <cfRule type="cellIs" dxfId="137" priority="111" operator="equal">
      <formula>0</formula>
    </cfRule>
  </conditionalFormatting>
  <conditionalFormatting sqref="AA153:AB154">
    <cfRule type="cellIs" dxfId="136" priority="112" operator="equal">
      <formula>0</formula>
    </cfRule>
  </conditionalFormatting>
  <conditionalFormatting sqref="Y153:Y154">
    <cfRule type="cellIs" dxfId="135" priority="113" operator="equal">
      <formula>0</formula>
    </cfRule>
  </conditionalFormatting>
  <conditionalFormatting sqref="AC153:AC154">
    <cfRule type="cellIs" dxfId="134" priority="114" operator="equal">
      <formula>0</formula>
    </cfRule>
  </conditionalFormatting>
  <conditionalFormatting sqref="AC153:AC154">
    <cfRule type="cellIs" dxfId="133" priority="115" operator="equal">
      <formula>0</formula>
    </cfRule>
  </conditionalFormatting>
  <conditionalFormatting sqref="AD153:AD154">
    <cfRule type="cellIs" dxfId="132" priority="116" operator="equal">
      <formula>0</formula>
    </cfRule>
  </conditionalFormatting>
  <conditionalFormatting sqref="AD153:AD154">
    <cfRule type="cellIs" dxfId="131" priority="117" operator="equal">
      <formula>0</formula>
    </cfRule>
  </conditionalFormatting>
  <conditionalFormatting sqref="AE153:AE154">
    <cfRule type="cellIs" dxfId="130" priority="118" operator="equal">
      <formula>0</formula>
    </cfRule>
  </conditionalFormatting>
  <conditionalFormatting sqref="AE153:AE154">
    <cfRule type="cellIs" dxfId="129" priority="119" operator="equal">
      <formula>0</formula>
    </cfRule>
  </conditionalFormatting>
  <conditionalFormatting sqref="AE153:AE154">
    <cfRule type="cellIs" dxfId="128" priority="121" operator="equal">
      <formula>0</formula>
    </cfRule>
  </conditionalFormatting>
  <conditionalFormatting sqref="Y153:AE154">
    <cfRule type="expression" dxfId="127" priority="120">
      <formula>LEN(TRIM(Y153))=0</formula>
    </cfRule>
  </conditionalFormatting>
  <conditionalFormatting sqref="Y194:AE195">
    <cfRule type="cellIs" dxfId="126" priority="100" operator="equal">
      <formula>0</formula>
    </cfRule>
  </conditionalFormatting>
  <conditionalFormatting sqref="AA194:AB195">
    <cfRule type="cellIs" dxfId="125" priority="101" operator="equal">
      <formula>0</formula>
    </cfRule>
  </conditionalFormatting>
  <conditionalFormatting sqref="Y194:Y195">
    <cfRule type="cellIs" dxfId="124" priority="102" operator="equal">
      <formula>0</formula>
    </cfRule>
  </conditionalFormatting>
  <conditionalFormatting sqref="AC194:AC195">
    <cfRule type="cellIs" dxfId="123" priority="103" operator="equal">
      <formula>0</formula>
    </cfRule>
  </conditionalFormatting>
  <conditionalFormatting sqref="AC194:AC195">
    <cfRule type="cellIs" dxfId="122" priority="104" operator="equal">
      <formula>0</formula>
    </cfRule>
  </conditionalFormatting>
  <conditionalFormatting sqref="AD194:AD195">
    <cfRule type="cellIs" dxfId="121" priority="105" operator="equal">
      <formula>0</formula>
    </cfRule>
  </conditionalFormatting>
  <conditionalFormatting sqref="AD194:AD195">
    <cfRule type="cellIs" dxfId="120" priority="106" operator="equal">
      <formula>0</formula>
    </cfRule>
  </conditionalFormatting>
  <conditionalFormatting sqref="AE194:AE195">
    <cfRule type="cellIs" dxfId="119" priority="107" operator="equal">
      <formula>0</formula>
    </cfRule>
  </conditionalFormatting>
  <conditionalFormatting sqref="AE194:AE195">
    <cfRule type="cellIs" dxfId="118" priority="108" operator="equal">
      <formula>0</formula>
    </cfRule>
  </conditionalFormatting>
  <conditionalFormatting sqref="AE194:AE195">
    <cfRule type="cellIs" dxfId="117" priority="110" operator="equal">
      <formula>0</formula>
    </cfRule>
  </conditionalFormatting>
  <conditionalFormatting sqref="Y194:AE195">
    <cfRule type="expression" dxfId="116" priority="109">
      <formula>LEN(TRIM(Y194))=0</formula>
    </cfRule>
  </conditionalFormatting>
  <conditionalFormatting sqref="Y235:AE236">
    <cfRule type="cellIs" dxfId="115" priority="89" operator="equal">
      <formula>0</formula>
    </cfRule>
  </conditionalFormatting>
  <conditionalFormatting sqref="AA235:AB236">
    <cfRule type="cellIs" dxfId="114" priority="90" operator="equal">
      <formula>0</formula>
    </cfRule>
  </conditionalFormatting>
  <conditionalFormatting sqref="Y235:Y236">
    <cfRule type="cellIs" dxfId="113" priority="91" operator="equal">
      <formula>0</formula>
    </cfRule>
  </conditionalFormatting>
  <conditionalFormatting sqref="AC235:AC236">
    <cfRule type="cellIs" dxfId="112" priority="92" operator="equal">
      <formula>0</formula>
    </cfRule>
  </conditionalFormatting>
  <conditionalFormatting sqref="AC235:AC236">
    <cfRule type="cellIs" dxfId="111" priority="93" operator="equal">
      <formula>0</formula>
    </cfRule>
  </conditionalFormatting>
  <conditionalFormatting sqref="AD235:AD236">
    <cfRule type="cellIs" dxfId="110" priority="94" operator="equal">
      <formula>0</formula>
    </cfRule>
  </conditionalFormatting>
  <conditionalFormatting sqref="AD235:AD236">
    <cfRule type="cellIs" dxfId="109" priority="95" operator="equal">
      <formula>0</formula>
    </cfRule>
  </conditionalFormatting>
  <conditionalFormatting sqref="AE235:AE236">
    <cfRule type="cellIs" dxfId="108" priority="96" operator="equal">
      <formula>0</formula>
    </cfRule>
  </conditionalFormatting>
  <conditionalFormatting sqref="AE235:AE236">
    <cfRule type="cellIs" dxfId="107" priority="97" operator="equal">
      <formula>0</formula>
    </cfRule>
  </conditionalFormatting>
  <conditionalFormatting sqref="AE235:AE236">
    <cfRule type="cellIs" dxfId="106" priority="99" operator="equal">
      <formula>0</formula>
    </cfRule>
  </conditionalFormatting>
  <conditionalFormatting sqref="Y235:AE236">
    <cfRule type="expression" dxfId="105" priority="98">
      <formula>LEN(TRIM(Y235))=0</formula>
    </cfRule>
  </conditionalFormatting>
  <conditionalFormatting sqref="Y276:AE277">
    <cfRule type="cellIs" dxfId="104" priority="78" operator="equal">
      <formula>0</formula>
    </cfRule>
  </conditionalFormatting>
  <conditionalFormatting sqref="AA276:AB277">
    <cfRule type="cellIs" dxfId="103" priority="79" operator="equal">
      <formula>0</formula>
    </cfRule>
  </conditionalFormatting>
  <conditionalFormatting sqref="Y276:Y277">
    <cfRule type="cellIs" dxfId="102" priority="80" operator="equal">
      <formula>0</formula>
    </cfRule>
  </conditionalFormatting>
  <conditionalFormatting sqref="AC276:AC277">
    <cfRule type="cellIs" dxfId="101" priority="81" operator="equal">
      <formula>0</formula>
    </cfRule>
  </conditionalFormatting>
  <conditionalFormatting sqref="AC276:AC277">
    <cfRule type="cellIs" dxfId="100" priority="82" operator="equal">
      <formula>0</formula>
    </cfRule>
  </conditionalFormatting>
  <conditionalFormatting sqref="AD276:AD277">
    <cfRule type="cellIs" dxfId="99" priority="83" operator="equal">
      <formula>0</formula>
    </cfRule>
  </conditionalFormatting>
  <conditionalFormatting sqref="AD276:AD277">
    <cfRule type="cellIs" dxfId="98" priority="84" operator="equal">
      <formula>0</formula>
    </cfRule>
  </conditionalFormatting>
  <conditionalFormatting sqref="AE276:AE277">
    <cfRule type="cellIs" dxfId="97" priority="85" operator="equal">
      <formula>0</formula>
    </cfRule>
  </conditionalFormatting>
  <conditionalFormatting sqref="AE276:AE277">
    <cfRule type="cellIs" dxfId="96" priority="86" operator="equal">
      <formula>0</formula>
    </cfRule>
  </conditionalFormatting>
  <conditionalFormatting sqref="AE276:AE277">
    <cfRule type="cellIs" dxfId="95" priority="88" operator="equal">
      <formula>0</formula>
    </cfRule>
  </conditionalFormatting>
  <conditionalFormatting sqref="Y276:AE277">
    <cfRule type="expression" dxfId="94" priority="87">
      <formula>LEN(TRIM(Y276))=0</formula>
    </cfRule>
  </conditionalFormatting>
  <conditionalFormatting sqref="W115">
    <cfRule type="cellIs" dxfId="93" priority="76" operator="equal">
      <formula>0</formula>
    </cfRule>
  </conditionalFormatting>
  <conditionalFormatting sqref="W115">
    <cfRule type="expression" dxfId="92" priority="77">
      <formula>LEN(TRIM(W115))=0</formula>
    </cfRule>
  </conditionalFormatting>
  <conditionalFormatting sqref="W156">
    <cfRule type="cellIs" dxfId="91" priority="74" operator="equal">
      <formula>0</formula>
    </cfRule>
  </conditionalFormatting>
  <conditionalFormatting sqref="W156">
    <cfRule type="expression" dxfId="90" priority="75">
      <formula>LEN(TRIM(W156))=0</formula>
    </cfRule>
  </conditionalFormatting>
  <conditionalFormatting sqref="W197">
    <cfRule type="cellIs" dxfId="89" priority="72" operator="equal">
      <formula>0</formula>
    </cfRule>
  </conditionalFormatting>
  <conditionalFormatting sqref="W197">
    <cfRule type="expression" dxfId="88" priority="73">
      <formula>LEN(TRIM(W197))=0</formula>
    </cfRule>
  </conditionalFormatting>
  <conditionalFormatting sqref="W238">
    <cfRule type="cellIs" dxfId="87" priority="70" operator="equal">
      <formula>0</formula>
    </cfRule>
  </conditionalFormatting>
  <conditionalFormatting sqref="W238">
    <cfRule type="expression" dxfId="86" priority="71">
      <formula>LEN(TRIM(W238))=0</formula>
    </cfRule>
  </conditionalFormatting>
  <conditionalFormatting sqref="W279">
    <cfRule type="cellIs" dxfId="85" priority="68" operator="equal">
      <formula>0</formula>
    </cfRule>
  </conditionalFormatting>
  <conditionalFormatting sqref="W279">
    <cfRule type="expression" dxfId="84" priority="69">
      <formula>LEN(TRIM(W279))=0</formula>
    </cfRule>
  </conditionalFormatting>
  <conditionalFormatting sqref="Z110">
    <cfRule type="cellIs" dxfId="83" priority="61" operator="equal">
      <formula>0</formula>
    </cfRule>
  </conditionalFormatting>
  <conditionalFormatting sqref="AA110:AB110">
    <cfRule type="cellIs" dxfId="82" priority="62" operator="equal">
      <formula>0</formula>
    </cfRule>
  </conditionalFormatting>
  <conditionalFormatting sqref="Y110">
    <cfRule type="cellIs" dxfId="81" priority="63" operator="equal">
      <formula>0</formula>
    </cfRule>
  </conditionalFormatting>
  <conditionalFormatting sqref="Y110:AB110">
    <cfRule type="expression" dxfId="80" priority="67">
      <formula>LEN(TRIM(Y110))=0</formula>
    </cfRule>
  </conditionalFormatting>
  <conditionalFormatting sqref="Z151">
    <cfRule type="cellIs" dxfId="79" priority="54" operator="equal">
      <formula>0</formula>
    </cfRule>
  </conditionalFormatting>
  <conditionalFormatting sqref="AA151:AB151">
    <cfRule type="cellIs" dxfId="78" priority="55" operator="equal">
      <formula>0</formula>
    </cfRule>
  </conditionalFormatting>
  <conditionalFormatting sqref="Y151">
    <cfRule type="cellIs" dxfId="77" priority="56" operator="equal">
      <formula>0</formula>
    </cfRule>
  </conditionalFormatting>
  <conditionalFormatting sqref="Y151:AB151">
    <cfRule type="expression" dxfId="76" priority="60">
      <formula>LEN(TRIM(Y151))=0</formula>
    </cfRule>
  </conditionalFormatting>
  <conditionalFormatting sqref="Z192">
    <cfRule type="cellIs" dxfId="75" priority="47" operator="equal">
      <formula>0</formula>
    </cfRule>
  </conditionalFormatting>
  <conditionalFormatting sqref="AA192:AB192">
    <cfRule type="cellIs" dxfId="74" priority="48" operator="equal">
      <formula>0</formula>
    </cfRule>
  </conditionalFormatting>
  <conditionalFormatting sqref="Y192">
    <cfRule type="cellIs" dxfId="73" priority="49" operator="equal">
      <formula>0</formula>
    </cfRule>
  </conditionalFormatting>
  <conditionalFormatting sqref="Y192:AB192">
    <cfRule type="expression" dxfId="72" priority="53">
      <formula>LEN(TRIM(Y192))=0</formula>
    </cfRule>
  </conditionalFormatting>
  <conditionalFormatting sqref="Z233">
    <cfRule type="cellIs" dxfId="71" priority="40" operator="equal">
      <formula>0</formula>
    </cfRule>
  </conditionalFormatting>
  <conditionalFormatting sqref="AA233:AB233">
    <cfRule type="cellIs" dxfId="70" priority="41" operator="equal">
      <formula>0</formula>
    </cfRule>
  </conditionalFormatting>
  <conditionalFormatting sqref="Y233">
    <cfRule type="cellIs" dxfId="69" priority="42" operator="equal">
      <formula>0</formula>
    </cfRule>
  </conditionalFormatting>
  <conditionalFormatting sqref="Y233:AB233">
    <cfRule type="expression" dxfId="68" priority="46">
      <formula>LEN(TRIM(Y233))=0</formula>
    </cfRule>
  </conditionalFormatting>
  <conditionalFormatting sqref="Z274">
    <cfRule type="cellIs" dxfId="67" priority="33" operator="equal">
      <formula>0</formula>
    </cfRule>
  </conditionalFormatting>
  <conditionalFormatting sqref="AA274:AB274">
    <cfRule type="cellIs" dxfId="66" priority="34" operator="equal">
      <formula>0</formula>
    </cfRule>
  </conditionalFormatting>
  <conditionalFormatting sqref="Y274">
    <cfRule type="cellIs" dxfId="65" priority="35" operator="equal">
      <formula>0</formula>
    </cfRule>
  </conditionalFormatting>
  <conditionalFormatting sqref="Y274:AB274">
    <cfRule type="expression" dxfId="64" priority="39">
      <formula>LEN(TRIM(Y274))=0</formula>
    </cfRule>
  </conditionalFormatting>
  <conditionalFormatting sqref="AC68:AC69">
    <cfRule type="cellIs" dxfId="63" priority="31" operator="equal">
      <formula>0</formula>
    </cfRule>
  </conditionalFormatting>
  <conditionalFormatting sqref="AC68:AC69">
    <cfRule type="expression" dxfId="62" priority="32">
      <formula>LEN(TRIM(AC68))=0</formula>
    </cfRule>
  </conditionalFormatting>
  <conditionalFormatting sqref="AD109:AE109">
    <cfRule type="cellIs" dxfId="61" priority="27" operator="equal">
      <formula>0</formula>
    </cfRule>
  </conditionalFormatting>
  <conditionalFormatting sqref="AD109:AD110">
    <cfRule type="cellIs" dxfId="60" priority="28" operator="equal">
      <formula>0</formula>
    </cfRule>
  </conditionalFormatting>
  <conditionalFormatting sqref="AE109:AE110">
    <cfRule type="cellIs" dxfId="59" priority="29" operator="equal">
      <formula>0</formula>
    </cfRule>
  </conditionalFormatting>
  <conditionalFormatting sqref="AD109:AE110">
    <cfRule type="expression" dxfId="58" priority="30">
      <formula>LEN(TRIM(AD109))=0</formula>
    </cfRule>
  </conditionalFormatting>
  <conditionalFormatting sqref="AC109:AC110">
    <cfRule type="cellIs" dxfId="57" priority="25" operator="equal">
      <formula>0</formula>
    </cfRule>
  </conditionalFormatting>
  <conditionalFormatting sqref="AC109:AC110">
    <cfRule type="expression" dxfId="56" priority="26">
      <formula>LEN(TRIM(AC109))=0</formula>
    </cfRule>
  </conditionalFormatting>
  <conditionalFormatting sqref="AD150:AE150">
    <cfRule type="cellIs" dxfId="55" priority="21" operator="equal">
      <formula>0</formula>
    </cfRule>
  </conditionalFormatting>
  <conditionalFormatting sqref="AD150:AD151">
    <cfRule type="cellIs" dxfId="54" priority="22" operator="equal">
      <formula>0</formula>
    </cfRule>
  </conditionalFormatting>
  <conditionalFormatting sqref="AE150:AE151">
    <cfRule type="cellIs" dxfId="53" priority="23" operator="equal">
      <formula>0</formula>
    </cfRule>
  </conditionalFormatting>
  <conditionalFormatting sqref="AD150:AE151">
    <cfRule type="expression" dxfId="52" priority="24">
      <formula>LEN(TRIM(AD150))=0</formula>
    </cfRule>
  </conditionalFormatting>
  <conditionalFormatting sqref="AC150:AC151">
    <cfRule type="cellIs" dxfId="51" priority="19" operator="equal">
      <formula>0</formula>
    </cfRule>
  </conditionalFormatting>
  <conditionalFormatting sqref="AC150:AC151">
    <cfRule type="expression" dxfId="50" priority="20">
      <formula>LEN(TRIM(AC150))=0</formula>
    </cfRule>
  </conditionalFormatting>
  <conditionalFormatting sqref="AD191:AE191">
    <cfRule type="cellIs" dxfId="49" priority="15" operator="equal">
      <formula>0</formula>
    </cfRule>
  </conditionalFormatting>
  <conditionalFormatting sqref="AD191:AD192">
    <cfRule type="cellIs" dxfId="48" priority="16" operator="equal">
      <formula>0</formula>
    </cfRule>
  </conditionalFormatting>
  <conditionalFormatting sqref="AE191:AE192">
    <cfRule type="cellIs" dxfId="47" priority="17" operator="equal">
      <formula>0</formula>
    </cfRule>
  </conditionalFormatting>
  <conditionalFormatting sqref="AD191:AE192">
    <cfRule type="expression" dxfId="46" priority="18">
      <formula>LEN(TRIM(AD191))=0</formula>
    </cfRule>
  </conditionalFormatting>
  <conditionalFormatting sqref="AC191:AC192">
    <cfRule type="cellIs" dxfId="45" priority="13" operator="equal">
      <formula>0</formula>
    </cfRule>
  </conditionalFormatting>
  <conditionalFormatting sqref="AC191:AC192">
    <cfRule type="expression" dxfId="44" priority="14">
      <formula>LEN(TRIM(AC191))=0</formula>
    </cfRule>
  </conditionalFormatting>
  <conditionalFormatting sqref="AD232:AE232">
    <cfRule type="cellIs" dxfId="43" priority="9" operator="equal">
      <formula>0</formula>
    </cfRule>
  </conditionalFormatting>
  <conditionalFormatting sqref="AD232:AD233">
    <cfRule type="cellIs" dxfId="42" priority="10" operator="equal">
      <formula>0</formula>
    </cfRule>
  </conditionalFormatting>
  <conditionalFormatting sqref="AE232:AE233">
    <cfRule type="cellIs" dxfId="41" priority="11" operator="equal">
      <formula>0</formula>
    </cfRule>
  </conditionalFormatting>
  <conditionalFormatting sqref="AD232:AE233">
    <cfRule type="expression" dxfId="40" priority="12">
      <formula>LEN(TRIM(AD232))=0</formula>
    </cfRule>
  </conditionalFormatting>
  <conditionalFormatting sqref="AC232:AC233">
    <cfRule type="cellIs" dxfId="39" priority="7" operator="equal">
      <formula>0</formula>
    </cfRule>
  </conditionalFormatting>
  <conditionalFormatting sqref="AC232:AC233">
    <cfRule type="expression" dxfId="38" priority="8">
      <formula>LEN(TRIM(AC232))=0</formula>
    </cfRule>
  </conditionalFormatting>
  <conditionalFormatting sqref="AD273:AE273">
    <cfRule type="cellIs" dxfId="37" priority="3" operator="equal">
      <formula>0</formula>
    </cfRule>
  </conditionalFormatting>
  <conditionalFormatting sqref="AD273:AD274">
    <cfRule type="cellIs" dxfId="36" priority="4" operator="equal">
      <formula>0</formula>
    </cfRule>
  </conditionalFormatting>
  <conditionalFormatting sqref="AE273:AE274">
    <cfRule type="cellIs" dxfId="35" priority="5" operator="equal">
      <formula>0</formula>
    </cfRule>
  </conditionalFormatting>
  <conditionalFormatting sqref="AD273:AE274">
    <cfRule type="expression" dxfId="34" priority="6">
      <formula>LEN(TRIM(AD273))=0</formula>
    </cfRule>
  </conditionalFormatting>
  <conditionalFormatting sqref="AC273:AC274">
    <cfRule type="cellIs" dxfId="33" priority="1" operator="equal">
      <formula>0</formula>
    </cfRule>
  </conditionalFormatting>
  <conditionalFormatting sqref="AC273:AC274">
    <cfRule type="expression" dxfId="32" priority="2">
      <formula>LEN(TRIM(AC273))=0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A18" sqref="A18:H18"/>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559" t="s">
        <v>55</v>
      </c>
      <c r="B2" s="559"/>
      <c r="C2" s="559"/>
      <c r="D2" s="559"/>
      <c r="E2" s="559"/>
      <c r="F2" s="559"/>
      <c r="G2" s="559"/>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56" t="s">
        <v>394</v>
      </c>
      <c r="O4" t="s">
        <v>415</v>
      </c>
    </row>
    <row r="5" spans="1:19">
      <c r="A5" s="31" t="s">
        <v>57</v>
      </c>
      <c r="B5" s="32">
        <v>247400</v>
      </c>
      <c r="C5" s="32">
        <v>252100</v>
      </c>
      <c r="D5" s="32">
        <v>256600</v>
      </c>
      <c r="E5" s="32">
        <v>261400</v>
      </c>
      <c r="F5" s="32">
        <v>268767</v>
      </c>
      <c r="G5" s="32">
        <v>270200</v>
      </c>
      <c r="H5" s="32">
        <v>274600</v>
      </c>
      <c r="I5" s="32">
        <v>278500</v>
      </c>
      <c r="J5" s="32">
        <v>282200</v>
      </c>
      <c r="K5" s="32">
        <v>271407</v>
      </c>
      <c r="L5" s="32">
        <v>271407</v>
      </c>
      <c r="M5" s="367"/>
      <c r="N5" s="333" t="s">
        <v>463</v>
      </c>
      <c r="O5" t="s">
        <v>415</v>
      </c>
    </row>
    <row r="6" spans="1:19">
      <c r="A6" s="30" t="s">
        <v>58</v>
      </c>
      <c r="B6" s="299">
        <v>7064.34</v>
      </c>
      <c r="C6" s="299">
        <v>7433.06</v>
      </c>
      <c r="D6" s="299">
        <v>7516.8600000000006</v>
      </c>
      <c r="E6" s="299">
        <v>7642.56</v>
      </c>
      <c r="F6" s="299">
        <v>8002.9000000000005</v>
      </c>
      <c r="G6" s="30">
        <v>7877.2</v>
      </c>
      <c r="H6" s="30">
        <v>8120.2199999999993</v>
      </c>
      <c r="I6" s="30">
        <v>8120.2199999999993</v>
      </c>
      <c r="J6" s="30">
        <v>8338.1</v>
      </c>
      <c r="K6" s="30">
        <v>8430.2800000000007</v>
      </c>
      <c r="L6" s="30">
        <v>8279.44</v>
      </c>
      <c r="M6" s="30"/>
      <c r="N6" s="308" t="s">
        <v>464</v>
      </c>
      <c r="O6" t="s">
        <v>415</v>
      </c>
    </row>
    <row r="7" spans="1:19">
      <c r="A7" s="30" t="s">
        <v>59</v>
      </c>
      <c r="B7" s="299">
        <v>25584.14</v>
      </c>
      <c r="C7" s="299">
        <v>25525.48</v>
      </c>
      <c r="D7" s="299">
        <v>28550.66</v>
      </c>
      <c r="E7" s="299">
        <v>29497.600000000002</v>
      </c>
      <c r="F7" s="299">
        <v>30109.34</v>
      </c>
      <c r="G7" s="30">
        <v>29254.58</v>
      </c>
      <c r="H7" s="30">
        <v>29221.06</v>
      </c>
      <c r="I7" s="30">
        <v>30033.920000000002</v>
      </c>
      <c r="J7" s="30">
        <v>30779.74</v>
      </c>
      <c r="K7" s="33">
        <v>31081.420000000002</v>
      </c>
      <c r="L7" s="30">
        <v>30519.960000000003</v>
      </c>
      <c r="M7" s="30"/>
      <c r="N7" s="308" t="s">
        <v>464</v>
      </c>
      <c r="O7" t="s">
        <v>415</v>
      </c>
    </row>
    <row r="8" spans="1:19">
      <c r="A8" s="560" t="s">
        <v>466</v>
      </c>
      <c r="B8" s="561"/>
      <c r="C8" s="561"/>
      <c r="D8" s="561"/>
      <c r="E8" s="561"/>
      <c r="F8" s="561"/>
      <c r="G8" s="561"/>
      <c r="H8" s="561"/>
      <c r="I8" s="561"/>
      <c r="J8" s="561"/>
      <c r="K8" s="561"/>
      <c r="L8" s="561"/>
      <c r="M8" s="561"/>
      <c r="N8" s="562"/>
    </row>
    <row r="9" spans="1:19">
      <c r="B9" s="34"/>
    </row>
    <row r="10" spans="1:19">
      <c r="B10" s="331"/>
    </row>
    <row r="11" spans="1:19">
      <c r="A11" s="559" t="s">
        <v>60</v>
      </c>
      <c r="B11" s="559"/>
      <c r="C11" s="559"/>
      <c r="D11" s="559"/>
      <c r="E11" s="559"/>
      <c r="F11" s="559"/>
      <c r="G11" s="559"/>
      <c r="H11" s="559"/>
      <c r="M11" s="559" t="s">
        <v>66</v>
      </c>
      <c r="N11" s="559"/>
      <c r="O11" s="559"/>
      <c r="P11" s="559"/>
      <c r="Q11" s="334"/>
      <c r="R11" s="334"/>
      <c r="S11" s="334"/>
    </row>
    <row r="13" spans="1:19">
      <c r="A13" s="35"/>
      <c r="B13" s="335">
        <v>2020</v>
      </c>
      <c r="C13" s="335">
        <v>2025</v>
      </c>
      <c r="D13" s="335">
        <v>2030</v>
      </c>
      <c r="E13" s="335">
        <v>2035</v>
      </c>
      <c r="F13" s="335">
        <v>2040</v>
      </c>
      <c r="G13" s="335">
        <v>2045</v>
      </c>
      <c r="H13" s="335">
        <v>2050</v>
      </c>
      <c r="M13" s="35"/>
      <c r="N13" s="557">
        <v>2015</v>
      </c>
      <c r="O13" s="557"/>
      <c r="P13" s="557"/>
    </row>
    <row r="14" spans="1:19">
      <c r="A14" s="36"/>
      <c r="B14" s="30" t="s">
        <v>465</v>
      </c>
      <c r="C14" s="30" t="s">
        <v>465</v>
      </c>
      <c r="D14" s="30" t="s">
        <v>465</v>
      </c>
      <c r="E14" s="30" t="s">
        <v>465</v>
      </c>
      <c r="F14" s="30" t="s">
        <v>465</v>
      </c>
      <c r="G14" s="30" t="s">
        <v>465</v>
      </c>
      <c r="H14" s="30" t="s">
        <v>465</v>
      </c>
      <c r="M14" s="30"/>
      <c r="N14" s="30" t="s">
        <v>61</v>
      </c>
      <c r="O14" s="30" t="s">
        <v>62</v>
      </c>
      <c r="P14" s="37" t="s">
        <v>67</v>
      </c>
    </row>
    <row r="15" spans="1:19">
      <c r="A15" s="36" t="s">
        <v>63</v>
      </c>
      <c r="B15" s="38">
        <f>K5/1000000</f>
        <v>0.27140700000000001</v>
      </c>
      <c r="C15" s="38">
        <v>0.29887000000000002</v>
      </c>
      <c r="D15" s="38">
        <v>0.31252999999999997</v>
      </c>
      <c r="E15" s="38">
        <v>0.32485999999999998</v>
      </c>
      <c r="F15" s="38">
        <v>0.33589000000000002</v>
      </c>
      <c r="G15" s="38">
        <v>0.34542</v>
      </c>
      <c r="H15" s="38">
        <v>0.35319</v>
      </c>
      <c r="M15" s="30" t="s">
        <v>68</v>
      </c>
      <c r="N15" s="30"/>
      <c r="O15" s="30"/>
      <c r="P15" s="37"/>
    </row>
    <row r="16" spans="1:19">
      <c r="A16" s="41" t="s">
        <v>64</v>
      </c>
      <c r="B16" s="233">
        <f>K6</f>
        <v>8430.2800000000007</v>
      </c>
      <c r="C16" s="42">
        <f t="shared" ref="C16:F16" si="0">$B$16*(1+2%)^(C13-$K$4)</f>
        <v>9493.8645198729155</v>
      </c>
      <c r="D16" s="42">
        <f t="shared" si="0"/>
        <v>10481.993564573268</v>
      </c>
      <c r="E16" s="42">
        <f t="shared" si="0"/>
        <v>11572.967873911286</v>
      </c>
      <c r="F16" s="42">
        <f t="shared" si="0"/>
        <v>12777.491665635769</v>
      </c>
      <c r="G16" s="42">
        <f>$B$16*(1+2%)^(G13-$K$4)</f>
        <v>14107.383261076446</v>
      </c>
      <c r="H16" s="42">
        <f>$B$16*(1+2%)^(H13-$K$4)</f>
        <v>15575.691041939514</v>
      </c>
      <c r="M16" s="30" t="s">
        <v>72</v>
      </c>
      <c r="N16" s="30"/>
      <c r="O16" s="30"/>
      <c r="P16" s="37"/>
    </row>
    <row r="17" spans="1:22">
      <c r="A17" s="41" t="s">
        <v>65</v>
      </c>
      <c r="B17" s="234">
        <f>K7</f>
        <v>31081.420000000002</v>
      </c>
      <c r="C17" s="336">
        <f t="shared" ref="C17:G17" si="1">C16/C15</f>
        <v>31765.866496714007</v>
      </c>
      <c r="D17" s="336">
        <f t="shared" si="1"/>
        <v>33539.159647308319</v>
      </c>
      <c r="E17" s="336">
        <f t="shared" si="1"/>
        <v>35624.477848646449</v>
      </c>
      <c r="F17" s="336">
        <f t="shared" si="1"/>
        <v>38040.702806382353</v>
      </c>
      <c r="G17" s="336">
        <f t="shared" si="1"/>
        <v>40841.246196156695</v>
      </c>
      <c r="H17" s="336">
        <f>H16/H15</f>
        <v>44100.034094791794</v>
      </c>
      <c r="M17" s="30" t="s">
        <v>76</v>
      </c>
      <c r="N17" s="30"/>
      <c r="O17" s="30"/>
      <c r="P17" s="37"/>
    </row>
    <row r="18" spans="1:22" ht="14.4" customHeight="1">
      <c r="A18" s="558" t="s">
        <v>625</v>
      </c>
      <c r="B18" s="558"/>
      <c r="C18" s="558"/>
      <c r="D18" s="558"/>
      <c r="E18" s="558"/>
      <c r="F18" s="558"/>
      <c r="G18" s="558"/>
      <c r="H18" s="558"/>
      <c r="I18" s="226"/>
      <c r="J18" s="226"/>
      <c r="K18" s="226"/>
      <c r="L18" s="226"/>
      <c r="M18" s="30" t="s">
        <v>80</v>
      </c>
      <c r="N18" s="44"/>
      <c r="O18" s="44"/>
      <c r="P18" s="45"/>
      <c r="T18" s="226"/>
      <c r="U18" s="226"/>
      <c r="V18" s="226"/>
    </row>
    <row r="19" spans="1:22">
      <c r="M19" s="30" t="s">
        <v>81</v>
      </c>
      <c r="N19" s="44"/>
      <c r="O19" s="44"/>
      <c r="P19" s="45"/>
    </row>
    <row r="20" spans="1:22">
      <c r="M20" s="30" t="s">
        <v>80</v>
      </c>
      <c r="N20" s="44"/>
      <c r="O20" s="44"/>
      <c r="P20" s="45"/>
    </row>
    <row r="21" spans="1:22">
      <c r="M21" s="30" t="s">
        <v>82</v>
      </c>
      <c r="N21" s="30"/>
      <c r="O21" s="30"/>
      <c r="P21" s="37"/>
    </row>
    <row r="22" spans="1:22">
      <c r="M22" s="30" t="s">
        <v>80</v>
      </c>
      <c r="N22" s="44"/>
      <c r="O22" s="30"/>
      <c r="P22" s="37"/>
    </row>
    <row r="25" spans="1:22">
      <c r="M25" s="559" t="s">
        <v>83</v>
      </c>
      <c r="N25" s="559"/>
      <c r="O25" s="559"/>
      <c r="P25" s="559"/>
      <c r="Q25" s="334"/>
      <c r="R25" s="334"/>
      <c r="S25" s="334"/>
    </row>
    <row r="27" spans="1:22">
      <c r="M27" s="35"/>
      <c r="N27" s="557">
        <v>2015</v>
      </c>
      <c r="O27" s="557"/>
      <c r="P27" s="557"/>
    </row>
    <row r="28" spans="1:22">
      <c r="M28" s="30"/>
      <c r="N28" s="30" t="s">
        <v>61</v>
      </c>
      <c r="O28" s="30" t="s">
        <v>62</v>
      </c>
      <c r="P28" s="37" t="s">
        <v>67</v>
      </c>
    </row>
    <row r="29" spans="1:22">
      <c r="M29" s="30" t="s">
        <v>68</v>
      </c>
      <c r="N29" s="30" t="s">
        <v>69</v>
      </c>
      <c r="O29" s="30" t="s">
        <v>70</v>
      </c>
      <c r="P29" s="37" t="s">
        <v>71</v>
      </c>
    </row>
    <row r="30" spans="1:22">
      <c r="M30" s="30" t="s">
        <v>72</v>
      </c>
      <c r="N30" s="30" t="s">
        <v>73</v>
      </c>
      <c r="O30" s="30" t="s">
        <v>74</v>
      </c>
      <c r="P30" s="37" t="s">
        <v>75</v>
      </c>
    </row>
    <row r="31" spans="1:22">
      <c r="M31" s="30" t="s">
        <v>76</v>
      </c>
      <c r="N31" s="30" t="s">
        <v>77</v>
      </c>
      <c r="O31" s="30" t="s">
        <v>78</v>
      </c>
      <c r="P31" s="37" t="s">
        <v>79</v>
      </c>
    </row>
    <row r="32" spans="1:22">
      <c r="M32" s="30" t="s">
        <v>80</v>
      </c>
      <c r="N32" s="44">
        <v>1.6500000000000001E-2</v>
      </c>
      <c r="O32" s="44">
        <v>1.6799999999999999E-2</v>
      </c>
      <c r="P32" s="45">
        <v>5.4999999999999997E-3</v>
      </c>
    </row>
    <row r="33" spans="13:16">
      <c r="M33" s="30" t="s">
        <v>81</v>
      </c>
      <c r="N33" s="44">
        <v>9.7000000000000003E-3</v>
      </c>
      <c r="O33" s="44">
        <v>8.8999999999999999E-3</v>
      </c>
      <c r="P33" s="45">
        <v>5.8999999999999999E-3</v>
      </c>
    </row>
    <row r="34" spans="13:16">
      <c r="M34" s="30" t="s">
        <v>80</v>
      </c>
      <c r="N34" s="44">
        <v>2.47E-2</v>
      </c>
      <c r="O34" s="44">
        <v>2.1100000000000001E-2</v>
      </c>
      <c r="P34" s="45">
        <v>8.8999999999999999E-3</v>
      </c>
    </row>
    <row r="35" spans="13:16">
      <c r="M35" s="30" t="s">
        <v>82</v>
      </c>
      <c r="N35" s="134">
        <v>5.7</v>
      </c>
      <c r="O35" s="134">
        <v>10.8</v>
      </c>
      <c r="P35" s="235">
        <v>6.7</v>
      </c>
    </row>
    <row r="36" spans="13:16">
      <c r="M36" s="30" t="s">
        <v>80</v>
      </c>
      <c r="N36" s="44">
        <v>2.0199999999999999E-2</v>
      </c>
      <c r="O36" s="30"/>
      <c r="P36" s="37"/>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3:N44"/>
  <sheetViews>
    <sheetView workbookViewId="0">
      <selection activeCell="H50" sqref="H50"/>
    </sheetView>
  </sheetViews>
  <sheetFormatPr baseColWidth="10" defaultRowHeight="14.4"/>
  <sheetData>
    <row r="3" spans="2:14">
      <c r="B3" t="s">
        <v>508</v>
      </c>
      <c r="I3" t="s">
        <v>511</v>
      </c>
    </row>
    <row r="4" spans="2:14">
      <c r="I4" t="s">
        <v>512</v>
      </c>
    </row>
    <row r="6" spans="2:14">
      <c r="C6" t="s">
        <v>509</v>
      </c>
      <c r="D6" t="s">
        <v>510</v>
      </c>
      <c r="E6" t="s">
        <v>626</v>
      </c>
      <c r="F6" t="s">
        <v>484</v>
      </c>
      <c r="G6" t="s">
        <v>618</v>
      </c>
      <c r="H6" t="s">
        <v>619</v>
      </c>
    </row>
    <row r="7" spans="2:14">
      <c r="B7">
        <v>1990</v>
      </c>
      <c r="C7">
        <v>857308</v>
      </c>
      <c r="D7">
        <v>86510.527317100001</v>
      </c>
    </row>
    <row r="8" spans="2:14">
      <c r="B8">
        <v>1991</v>
      </c>
      <c r="C8">
        <v>869268</v>
      </c>
      <c r="D8">
        <v>99969.826849999983</v>
      </c>
      <c r="I8" t="s">
        <v>513</v>
      </c>
      <c r="K8">
        <v>2020</v>
      </c>
      <c r="L8">
        <v>3300</v>
      </c>
      <c r="N8" t="s">
        <v>515</v>
      </c>
    </row>
    <row r="9" spans="2:14">
      <c r="B9" s="386">
        <v>1992</v>
      </c>
      <c r="C9">
        <v>783391</v>
      </c>
      <c r="D9">
        <v>99691.853220000005</v>
      </c>
      <c r="I9" t="s">
        <v>514</v>
      </c>
      <c r="K9">
        <v>2030</v>
      </c>
      <c r="L9">
        <v>5250</v>
      </c>
      <c r="M9">
        <f>L9/$L$8</f>
        <v>1.5909090909090908</v>
      </c>
      <c r="N9" s="331" t="s">
        <v>512</v>
      </c>
    </row>
    <row r="10" spans="2:14">
      <c r="B10" s="386">
        <v>1993</v>
      </c>
      <c r="C10">
        <v>941243</v>
      </c>
      <c r="D10">
        <v>97087.973783999973</v>
      </c>
      <c r="K10">
        <v>2040</v>
      </c>
      <c r="L10">
        <v>7000</v>
      </c>
      <c r="M10" s="386">
        <f t="shared" ref="M10:M11" si="0">L10/$L$8</f>
        <v>2.1212121212121211</v>
      </c>
    </row>
    <row r="11" spans="2:14">
      <c r="B11" s="386">
        <v>1994</v>
      </c>
      <c r="C11">
        <v>977451</v>
      </c>
      <c r="D11">
        <v>97227.102089299995</v>
      </c>
      <c r="K11">
        <v>2050</v>
      </c>
      <c r="L11">
        <v>10250</v>
      </c>
      <c r="M11" s="386">
        <f t="shared" si="0"/>
        <v>3.106060606060606</v>
      </c>
    </row>
    <row r="12" spans="2:14">
      <c r="B12" s="386">
        <v>1995</v>
      </c>
      <c r="C12">
        <v>1014410</v>
      </c>
      <c r="D12">
        <v>119714.16444800003</v>
      </c>
    </row>
    <row r="13" spans="2:14">
      <c r="B13" s="386">
        <v>1996</v>
      </c>
      <c r="C13">
        <v>1067000</v>
      </c>
      <c r="D13">
        <v>122449.50736820001</v>
      </c>
      <c r="M13" t="s">
        <v>516</v>
      </c>
    </row>
    <row r="14" spans="2:14">
      <c r="B14" s="386">
        <v>1997</v>
      </c>
      <c r="C14">
        <v>1099342</v>
      </c>
      <c r="D14">
        <v>136608.775509</v>
      </c>
      <c r="M14" t="s">
        <v>517</v>
      </c>
    </row>
    <row r="15" spans="2:14">
      <c r="B15" s="386">
        <v>1998</v>
      </c>
      <c r="C15">
        <v>1128893</v>
      </c>
      <c r="D15">
        <v>124736.51174100001</v>
      </c>
    </row>
    <row r="16" spans="2:14">
      <c r="B16" s="386">
        <v>1999</v>
      </c>
      <c r="C16">
        <v>1140853</v>
      </c>
      <c r="D16">
        <v>109509.00221690003</v>
      </c>
    </row>
    <row r="17" spans="2:8">
      <c r="B17" s="386">
        <v>2000</v>
      </c>
      <c r="C17">
        <v>1135796</v>
      </c>
      <c r="D17">
        <v>126791.1795382</v>
      </c>
    </row>
    <row r="18" spans="2:8">
      <c r="B18" s="386">
        <v>2001</v>
      </c>
      <c r="C18">
        <v>1188644.084</v>
      </c>
      <c r="D18">
        <v>117162.27988700001</v>
      </c>
    </row>
    <row r="19" spans="2:8">
      <c r="B19" s="386">
        <v>2002</v>
      </c>
      <c r="C19">
        <v>1197285.2080000001</v>
      </c>
      <c r="D19">
        <v>99114.603631700011</v>
      </c>
    </row>
    <row r="20" spans="2:8">
      <c r="B20" s="386">
        <v>2003</v>
      </c>
      <c r="C20">
        <v>1200902.6429999999</v>
      </c>
      <c r="D20">
        <v>112012.57158800001</v>
      </c>
    </row>
    <row r="21" spans="2:8">
      <c r="B21" s="386">
        <v>2004</v>
      </c>
      <c r="C21">
        <v>1079381.4169999999</v>
      </c>
      <c r="D21">
        <v>119198.95698300001</v>
      </c>
    </row>
    <row r="22" spans="2:8">
      <c r="B22" s="386">
        <v>2005</v>
      </c>
      <c r="C22">
        <v>1259031.8729999999</v>
      </c>
      <c r="D22">
        <v>111938.82802019999</v>
      </c>
    </row>
    <row r="23" spans="2:8">
      <c r="B23" s="386">
        <v>2006</v>
      </c>
      <c r="C23">
        <v>1227380.798</v>
      </c>
      <c r="D23">
        <v>104087.6312794</v>
      </c>
    </row>
    <row r="24" spans="2:8">
      <c r="B24" s="386">
        <v>2007</v>
      </c>
      <c r="C24">
        <v>1243134.2450000001</v>
      </c>
      <c r="D24">
        <v>126052.01879300001</v>
      </c>
    </row>
    <row r="25" spans="2:8">
      <c r="B25" s="386">
        <v>2008</v>
      </c>
      <c r="C25">
        <v>1167698.554</v>
      </c>
      <c r="D25">
        <v>105883.99848939998</v>
      </c>
    </row>
    <row r="26" spans="2:8">
      <c r="B26" s="386">
        <v>2009</v>
      </c>
      <c r="C26">
        <v>1231251.149</v>
      </c>
      <c r="D26">
        <v>97307.969194499994</v>
      </c>
      <c r="E26">
        <v>324</v>
      </c>
      <c r="F26">
        <v>35.6</v>
      </c>
      <c r="G26">
        <v>83.1</v>
      </c>
      <c r="H26">
        <f>(E26+F26+G26)*11.63</f>
        <v>5148.6010000000006</v>
      </c>
    </row>
    <row r="27" spans="2:8">
      <c r="B27" s="386">
        <v>2010</v>
      </c>
      <c r="C27">
        <v>1370009.747</v>
      </c>
      <c r="D27">
        <v>132121.66554849996</v>
      </c>
      <c r="E27">
        <v>307.7</v>
      </c>
      <c r="F27">
        <v>47.1</v>
      </c>
      <c r="G27">
        <v>88</v>
      </c>
      <c r="H27" s="466">
        <f t="shared" ref="H27:H35" si="1">(E27+F27+G27)*11.63</f>
        <v>5149.7640000000001</v>
      </c>
    </row>
    <row r="28" spans="2:8">
      <c r="B28" s="386">
        <v>2011</v>
      </c>
      <c r="C28">
        <v>1453237.3672000002</v>
      </c>
      <c r="D28">
        <v>128106.94577799999</v>
      </c>
      <c r="E28">
        <v>356</v>
      </c>
      <c r="F28">
        <v>25.4</v>
      </c>
      <c r="G28">
        <v>83.8</v>
      </c>
      <c r="H28" s="466">
        <f t="shared" si="1"/>
        <v>5410.2759999999998</v>
      </c>
    </row>
    <row r="29" spans="2:8">
      <c r="B29" s="386">
        <v>2012</v>
      </c>
      <c r="C29">
        <v>1452400.1259999999</v>
      </c>
      <c r="D29">
        <v>131686.712206</v>
      </c>
      <c r="E29">
        <v>366.6</v>
      </c>
      <c r="F29">
        <v>26.1</v>
      </c>
      <c r="G29">
        <v>86.1</v>
      </c>
      <c r="H29" s="466">
        <f t="shared" si="1"/>
        <v>5568.4440000000013</v>
      </c>
    </row>
    <row r="30" spans="2:8">
      <c r="B30" s="386">
        <v>2013</v>
      </c>
      <c r="C30">
        <v>1684709.8841539351</v>
      </c>
      <c r="D30">
        <v>164405.844101</v>
      </c>
      <c r="E30">
        <v>367.5</v>
      </c>
      <c r="F30">
        <v>61.6</v>
      </c>
      <c r="G30">
        <v>88.9</v>
      </c>
      <c r="H30" s="466">
        <f t="shared" si="1"/>
        <v>6024.34</v>
      </c>
    </row>
    <row r="31" spans="2:8">
      <c r="B31" s="386">
        <v>2014</v>
      </c>
      <c r="C31">
        <v>2207622.665</v>
      </c>
      <c r="D31">
        <v>175174.16451599996</v>
      </c>
      <c r="E31">
        <v>431.7</v>
      </c>
      <c r="F31">
        <v>65.8</v>
      </c>
      <c r="G31">
        <v>126.2</v>
      </c>
      <c r="H31" s="466">
        <f t="shared" si="1"/>
        <v>7253.6310000000012</v>
      </c>
    </row>
    <row r="32" spans="2:8">
      <c r="B32" s="386">
        <v>2015</v>
      </c>
      <c r="C32">
        <v>2072269.8094507959</v>
      </c>
      <c r="D32">
        <v>193075.30130400002</v>
      </c>
      <c r="E32">
        <v>412.4</v>
      </c>
      <c r="F32">
        <v>60.8</v>
      </c>
      <c r="G32">
        <v>123</v>
      </c>
      <c r="H32" s="466">
        <f t="shared" si="1"/>
        <v>6933.8060000000014</v>
      </c>
    </row>
    <row r="33" spans="2:8">
      <c r="B33" s="386">
        <v>2016</v>
      </c>
      <c r="C33">
        <v>2257071</v>
      </c>
      <c r="D33">
        <v>204210.02918900002</v>
      </c>
      <c r="E33">
        <v>419.3</v>
      </c>
      <c r="F33">
        <v>68.7</v>
      </c>
      <c r="G33">
        <v>153.4</v>
      </c>
      <c r="H33" s="466">
        <f t="shared" si="1"/>
        <v>7459.482</v>
      </c>
    </row>
    <row r="34" spans="2:8">
      <c r="B34" s="386">
        <v>2017</v>
      </c>
      <c r="C34">
        <v>2362649</v>
      </c>
      <c r="D34">
        <v>215381.59461299996</v>
      </c>
      <c r="E34">
        <v>438.5</v>
      </c>
      <c r="F34">
        <v>69.599999999999994</v>
      </c>
      <c r="G34">
        <v>156</v>
      </c>
      <c r="H34" s="466">
        <f t="shared" si="1"/>
        <v>7723.4830000000011</v>
      </c>
    </row>
    <row r="35" spans="2:8">
      <c r="B35" s="386">
        <v>2018</v>
      </c>
      <c r="C35">
        <v>2617200</v>
      </c>
      <c r="D35">
        <v>216224.61549700002</v>
      </c>
      <c r="E35">
        <v>477.1</v>
      </c>
      <c r="F35">
        <v>73.599999999999994</v>
      </c>
      <c r="G35">
        <v>167.4</v>
      </c>
      <c r="H35" s="466">
        <f t="shared" si="1"/>
        <v>8351.5030000000006</v>
      </c>
    </row>
    <row r="37" spans="2:8">
      <c r="B37">
        <v>2030</v>
      </c>
      <c r="C37">
        <f>(D37-32414)/0.0721</f>
        <v>3923710.0711345342</v>
      </c>
      <c r="D37">
        <f>1.8*D31</f>
        <v>315313.49612879992</v>
      </c>
      <c r="E37" t="s">
        <v>614</v>
      </c>
      <c r="F37">
        <f>C37/C31</f>
        <v>1.7773463433500916</v>
      </c>
    </row>
    <row r="39" spans="2:8">
      <c r="B39">
        <v>2050</v>
      </c>
      <c r="C39">
        <f>(D39-32414)/0.0721</f>
        <v>8865364.2199144717</v>
      </c>
      <c r="D39">
        <f>D35*M11</f>
        <v>671606.76025583339</v>
      </c>
      <c r="E39" t="s">
        <v>615</v>
      </c>
    </row>
    <row r="40" spans="2:8">
      <c r="C40">
        <f>C39/1000</f>
        <v>8865.3642199144724</v>
      </c>
    </row>
    <row r="43" spans="2:8">
      <c r="F43" t="s">
        <v>627</v>
      </c>
    </row>
    <row r="44" spans="2:8">
      <c r="D44">
        <f>D31*1.8</f>
        <v>315313.49612879992</v>
      </c>
      <c r="F44" s="480">
        <f>C37/1000</f>
        <v>3923.7100711345342</v>
      </c>
    </row>
  </sheetData>
  <hyperlinks>
    <hyperlink ref="N9"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106"/>
  <sheetViews>
    <sheetView topLeftCell="A32" zoomScale="70" zoomScaleNormal="70" workbookViewId="0">
      <selection activeCell="D60" sqref="D60"/>
    </sheetView>
  </sheetViews>
  <sheetFormatPr baseColWidth="10" defaultColWidth="8.88671875" defaultRowHeight="14.4"/>
  <cols>
    <col min="1" max="1" width="22.5546875" customWidth="1"/>
    <col min="2" max="13" width="10.44140625" customWidth="1"/>
    <col min="14" max="14" width="10.44140625" style="349" customWidth="1"/>
    <col min="15" max="15" width="15.88671875" customWidth="1"/>
    <col min="16" max="1027" width="10.44140625" customWidth="1"/>
  </cols>
  <sheetData>
    <row r="2" spans="1:25" ht="25.8">
      <c r="A2" s="564" t="s">
        <v>439</v>
      </c>
      <c r="B2" s="564"/>
      <c r="C2" s="564"/>
      <c r="D2" s="564"/>
      <c r="E2" s="564"/>
      <c r="F2" s="564"/>
      <c r="G2" s="564"/>
      <c r="H2" s="564"/>
      <c r="I2" s="564"/>
      <c r="J2" s="564"/>
      <c r="P2" s="564" t="s">
        <v>440</v>
      </c>
      <c r="Q2" s="564"/>
      <c r="R2" s="564"/>
      <c r="S2" s="564"/>
      <c r="T2" s="564"/>
      <c r="U2" s="564"/>
      <c r="V2" s="564"/>
      <c r="W2" s="564"/>
      <c r="X2" s="564"/>
      <c r="Y2" s="564"/>
    </row>
    <row r="6" spans="1:25">
      <c r="A6" s="559" t="s">
        <v>55</v>
      </c>
      <c r="B6" s="559"/>
      <c r="C6" s="559"/>
      <c r="D6" s="559"/>
      <c r="E6" s="559"/>
      <c r="F6" s="559"/>
      <c r="G6" s="559"/>
      <c r="H6" s="559"/>
      <c r="I6" s="559"/>
    </row>
    <row r="7" spans="1:25">
      <c r="A7" s="571"/>
      <c r="B7" s="571"/>
      <c r="C7" s="571"/>
      <c r="D7" s="571"/>
      <c r="E7" s="571"/>
      <c r="F7" s="571"/>
      <c r="G7" s="571"/>
      <c r="H7" s="571"/>
      <c r="I7" s="571"/>
      <c r="J7" s="571"/>
      <c r="K7" s="571"/>
      <c r="L7" s="571"/>
      <c r="M7" s="283"/>
      <c r="N7" s="350"/>
    </row>
    <row r="8" spans="1:25">
      <c r="A8" s="35"/>
      <c r="B8" s="30">
        <v>2010</v>
      </c>
      <c r="C8" s="30">
        <v>2011</v>
      </c>
      <c r="D8" s="30">
        <v>2012</v>
      </c>
      <c r="E8" s="30">
        <v>2013</v>
      </c>
      <c r="F8" s="30">
        <v>2014</v>
      </c>
      <c r="G8" s="30">
        <v>2015</v>
      </c>
      <c r="H8" s="30">
        <v>2016</v>
      </c>
      <c r="I8" s="30">
        <v>2017</v>
      </c>
      <c r="J8" s="30">
        <v>2018</v>
      </c>
      <c r="K8" s="30">
        <v>2019</v>
      </c>
      <c r="L8" s="30">
        <v>2020</v>
      </c>
      <c r="M8" s="185"/>
      <c r="N8" s="351"/>
    </row>
    <row r="9" spans="1:25">
      <c r="A9" s="570" t="s">
        <v>145</v>
      </c>
      <c r="B9" s="570"/>
      <c r="C9" s="570"/>
      <c r="D9" s="570"/>
      <c r="E9" s="570"/>
      <c r="F9" s="570"/>
      <c r="G9" s="570"/>
      <c r="H9" s="570"/>
      <c r="I9" s="570"/>
      <c r="J9" s="570"/>
      <c r="K9" s="570"/>
      <c r="L9" s="570"/>
      <c r="M9" s="342"/>
      <c r="N9" s="352"/>
    </row>
    <row r="10" spans="1:25">
      <c r="A10" s="30" t="s">
        <v>146</v>
      </c>
      <c r="B10" s="30"/>
      <c r="C10" s="30"/>
      <c r="D10" s="30"/>
      <c r="E10" s="30"/>
      <c r="F10" s="30"/>
      <c r="G10" s="244">
        <v>0.104</v>
      </c>
      <c r="H10" s="95">
        <v>7.0000000000000007E-2</v>
      </c>
      <c r="I10" s="244">
        <v>5.0999999999999997E-2</v>
      </c>
      <c r="J10" s="244">
        <v>8.5999999999999993E-2</v>
      </c>
      <c r="K10" s="244">
        <v>4.2000000000000003E-2</v>
      </c>
      <c r="L10" s="244">
        <v>3.2000000000000001E-2</v>
      </c>
      <c r="M10" s="343"/>
      <c r="N10" s="351"/>
    </row>
    <row r="11" spans="1:25">
      <c r="A11" s="30" t="s">
        <v>14</v>
      </c>
      <c r="B11" s="95">
        <v>0</v>
      </c>
      <c r="C11" s="95">
        <v>0</v>
      </c>
      <c r="D11" s="95">
        <v>0</v>
      </c>
      <c r="E11" s="95">
        <v>0</v>
      </c>
      <c r="F11" s="95">
        <v>0</v>
      </c>
      <c r="G11" s="95">
        <v>0.28399999999999997</v>
      </c>
      <c r="H11" s="95">
        <v>0.36</v>
      </c>
      <c r="I11" s="95">
        <v>0.41499999999999998</v>
      </c>
      <c r="J11" s="95">
        <v>0.41</v>
      </c>
      <c r="K11" s="244">
        <v>0.45400000000000001</v>
      </c>
      <c r="L11" s="244">
        <v>0.47199999999999998</v>
      </c>
      <c r="M11" s="344"/>
      <c r="N11" s="353"/>
    </row>
    <row r="12" spans="1:25">
      <c r="A12" s="30" t="s">
        <v>16</v>
      </c>
      <c r="B12" s="95">
        <v>0</v>
      </c>
      <c r="C12" s="95">
        <v>0</v>
      </c>
      <c r="D12" s="95">
        <v>0</v>
      </c>
      <c r="E12" s="95">
        <v>0</v>
      </c>
      <c r="F12" s="95">
        <v>0</v>
      </c>
      <c r="G12" s="95">
        <v>0.47099999999999997</v>
      </c>
      <c r="H12" s="95">
        <v>0.47799999999999998</v>
      </c>
      <c r="I12" s="95">
        <v>0.39900000000000002</v>
      </c>
      <c r="J12" s="95">
        <v>0.38700000000000001</v>
      </c>
      <c r="K12" s="95">
        <v>0.36699999999999999</v>
      </c>
      <c r="L12" s="95">
        <v>0.34</v>
      </c>
      <c r="M12" s="344"/>
      <c r="N12" s="353"/>
    </row>
    <row r="13" spans="1:25">
      <c r="A13" s="30" t="s">
        <v>27</v>
      </c>
      <c r="B13" s="30"/>
      <c r="C13" s="30"/>
      <c r="D13" s="30">
        <v>0</v>
      </c>
      <c r="E13" s="30"/>
      <c r="F13" s="30">
        <v>0</v>
      </c>
      <c r="G13" s="244">
        <v>2E-3</v>
      </c>
      <c r="H13" s="95">
        <v>4.0000000000000001E-3</v>
      </c>
      <c r="I13" s="244">
        <v>8.9999999999999993E-3</v>
      </c>
      <c r="J13" s="244">
        <v>1.2999999999999999E-2</v>
      </c>
      <c r="K13" s="244">
        <v>3.5000000000000003E-2</v>
      </c>
      <c r="L13" s="244">
        <v>4.7E-2</v>
      </c>
      <c r="M13" s="344"/>
      <c r="N13" s="353"/>
    </row>
    <row r="14" spans="1:25">
      <c r="A14" s="30" t="s">
        <v>147</v>
      </c>
      <c r="B14" s="95">
        <v>0</v>
      </c>
      <c r="C14" s="95">
        <v>0</v>
      </c>
      <c r="D14" s="95">
        <v>0</v>
      </c>
      <c r="E14" s="95">
        <v>0</v>
      </c>
      <c r="F14" s="95">
        <v>0</v>
      </c>
      <c r="G14" s="95">
        <v>0</v>
      </c>
      <c r="H14" s="95">
        <v>0</v>
      </c>
      <c r="I14" s="95">
        <v>0</v>
      </c>
      <c r="J14" s="95">
        <v>0</v>
      </c>
      <c r="K14" s="95">
        <v>0</v>
      </c>
      <c r="L14" s="95">
        <v>0</v>
      </c>
      <c r="M14" s="345"/>
      <c r="N14" s="354"/>
    </row>
    <row r="15" spans="1:25">
      <c r="A15" s="30" t="s">
        <v>7</v>
      </c>
      <c r="B15" s="95">
        <v>0</v>
      </c>
      <c r="C15" s="95">
        <v>0</v>
      </c>
      <c r="D15" s="95">
        <v>0</v>
      </c>
      <c r="E15" s="95">
        <v>0</v>
      </c>
      <c r="F15" s="95">
        <v>0</v>
      </c>
      <c r="G15" s="95">
        <v>0</v>
      </c>
      <c r="H15" s="95">
        <v>0</v>
      </c>
      <c r="I15" s="95">
        <v>0</v>
      </c>
      <c r="J15" s="95">
        <v>0</v>
      </c>
      <c r="K15" s="95">
        <v>0</v>
      </c>
      <c r="L15" s="95">
        <v>0</v>
      </c>
      <c r="M15" s="345"/>
      <c r="N15" s="354"/>
    </row>
    <row r="16" spans="1:25">
      <c r="A16" s="30" t="s">
        <v>360</v>
      </c>
      <c r="B16" s="95">
        <v>0</v>
      </c>
      <c r="C16" s="95">
        <v>0</v>
      </c>
      <c r="D16" s="95">
        <v>0</v>
      </c>
      <c r="E16" s="95">
        <v>0</v>
      </c>
      <c r="F16" s="95">
        <v>0</v>
      </c>
      <c r="G16" s="95">
        <v>0</v>
      </c>
      <c r="H16" s="95">
        <v>0</v>
      </c>
      <c r="I16" s="95">
        <v>0</v>
      </c>
      <c r="J16" s="95">
        <v>0</v>
      </c>
      <c r="K16" s="95">
        <v>2E-3</v>
      </c>
      <c r="L16" s="244">
        <v>0</v>
      </c>
      <c r="M16" s="344"/>
      <c r="N16" s="353"/>
    </row>
    <row r="17" spans="1:36">
      <c r="A17" s="30" t="s">
        <v>359</v>
      </c>
      <c r="B17" s="95">
        <v>0</v>
      </c>
      <c r="C17" s="95">
        <v>0</v>
      </c>
      <c r="D17" s="95">
        <v>0</v>
      </c>
      <c r="E17" s="95">
        <v>0</v>
      </c>
      <c r="F17" s="95">
        <v>0</v>
      </c>
      <c r="G17" s="95">
        <v>0</v>
      </c>
      <c r="H17" s="95">
        <v>0</v>
      </c>
      <c r="I17" s="95">
        <v>0</v>
      </c>
      <c r="J17" s="95">
        <v>0</v>
      </c>
      <c r="K17" s="95">
        <v>2E-3</v>
      </c>
      <c r="L17" s="95">
        <v>0</v>
      </c>
      <c r="M17" s="345"/>
      <c r="N17" s="354"/>
    </row>
    <row r="18" spans="1:36">
      <c r="A18" s="30" t="s">
        <v>26</v>
      </c>
      <c r="B18" s="95">
        <v>0</v>
      </c>
      <c r="C18" s="95">
        <v>0</v>
      </c>
      <c r="D18" s="95">
        <v>0</v>
      </c>
      <c r="E18" s="95">
        <v>0</v>
      </c>
      <c r="F18" s="95">
        <v>0</v>
      </c>
      <c r="G18" s="95">
        <v>2.1999999999999999E-2</v>
      </c>
      <c r="H18" s="95">
        <v>1.4E-2</v>
      </c>
      <c r="I18" s="95">
        <v>1.4E-2</v>
      </c>
      <c r="J18" s="95">
        <v>1.2999999999999999E-2</v>
      </c>
      <c r="K18" s="244">
        <v>1.7000000000000001E-2</v>
      </c>
      <c r="L18" s="244">
        <v>1.4999999999999999E-2</v>
      </c>
      <c r="M18" s="344"/>
      <c r="N18" s="353"/>
    </row>
    <row r="19" spans="1:36">
      <c r="A19" s="30" t="s">
        <v>25</v>
      </c>
      <c r="B19" s="95">
        <v>0</v>
      </c>
      <c r="C19" s="95">
        <v>0</v>
      </c>
      <c r="D19" s="95">
        <v>0</v>
      </c>
      <c r="E19" s="95">
        <v>0</v>
      </c>
      <c r="F19" s="95">
        <v>0</v>
      </c>
      <c r="G19" s="95">
        <v>0.11700000000000001</v>
      </c>
      <c r="H19" s="95">
        <v>7.3999999999999996E-2</v>
      </c>
      <c r="I19" s="95">
        <v>0.112</v>
      </c>
      <c r="J19" s="95">
        <v>9.0999999999999998E-2</v>
      </c>
      <c r="K19" s="244">
        <v>8.5000000000000006E-2</v>
      </c>
      <c r="L19" s="244">
        <v>9.4E-2</v>
      </c>
      <c r="M19" s="344"/>
      <c r="N19" s="353"/>
    </row>
    <row r="20" spans="1:36">
      <c r="A20" s="30" t="s">
        <v>386</v>
      </c>
      <c r="B20" s="95">
        <v>0</v>
      </c>
      <c r="C20" s="95">
        <v>0</v>
      </c>
      <c r="D20" s="95">
        <v>0</v>
      </c>
      <c r="E20" s="95">
        <v>0</v>
      </c>
      <c r="F20" s="95">
        <v>0</v>
      </c>
      <c r="G20" s="95">
        <v>0</v>
      </c>
      <c r="H20" s="95">
        <v>0</v>
      </c>
      <c r="I20" s="95">
        <v>0</v>
      </c>
      <c r="J20" s="95">
        <v>0</v>
      </c>
      <c r="K20" s="244">
        <v>0</v>
      </c>
      <c r="L20" s="95">
        <v>0</v>
      </c>
      <c r="M20" s="345"/>
      <c r="N20" s="354"/>
    </row>
    <row r="21" spans="1:36">
      <c r="A21" s="83" t="s">
        <v>23</v>
      </c>
      <c r="B21" s="245">
        <f>SUM(B10:B20)</f>
        <v>0</v>
      </c>
      <c r="C21" s="245">
        <f t="shared" ref="C21:K21" si="0">SUM(C10:C20)</f>
        <v>0</v>
      </c>
      <c r="D21" s="245">
        <f t="shared" si="0"/>
        <v>0</v>
      </c>
      <c r="E21" s="245">
        <f t="shared" si="0"/>
        <v>0</v>
      </c>
      <c r="F21" s="245">
        <f t="shared" si="0"/>
        <v>0</v>
      </c>
      <c r="G21" s="245">
        <f t="shared" si="0"/>
        <v>1</v>
      </c>
      <c r="H21" s="245">
        <f t="shared" si="0"/>
        <v>0.99999999999999989</v>
      </c>
      <c r="I21" s="245">
        <f t="shared" si="0"/>
        <v>1</v>
      </c>
      <c r="J21" s="245">
        <f t="shared" si="0"/>
        <v>1</v>
      </c>
      <c r="K21" s="245">
        <f t="shared" si="0"/>
        <v>1.004</v>
      </c>
      <c r="L21" s="281">
        <f>SUM(L10:L20)</f>
        <v>1.0000000000000002</v>
      </c>
      <c r="M21" s="344"/>
      <c r="N21" s="353"/>
    </row>
    <row r="22" spans="1:36">
      <c r="A22" s="30" t="s">
        <v>149</v>
      </c>
      <c r="B22" s="244">
        <f t="shared" ref="B22" si="1">B14+B17+B18+B19+B20</f>
        <v>0</v>
      </c>
      <c r="C22" s="244">
        <f t="shared" ref="C22:D22" si="2">C14+C17+C18+C19+C20</f>
        <v>0</v>
      </c>
      <c r="D22" s="244">
        <f t="shared" si="2"/>
        <v>0</v>
      </c>
      <c r="E22" s="244">
        <f t="shared" ref="E22:F22" si="3">E14+E17+E18+E19+E20</f>
        <v>0</v>
      </c>
      <c r="F22" s="244">
        <f t="shared" si="3"/>
        <v>0</v>
      </c>
      <c r="G22" s="244">
        <f>SUM(G13:G20)</f>
        <v>0.14100000000000001</v>
      </c>
      <c r="H22" s="244">
        <f t="shared" ref="H22:K22" si="4">SUM(H13:H20)</f>
        <v>9.1999999999999998E-2</v>
      </c>
      <c r="I22" s="244">
        <f t="shared" si="4"/>
        <v>0.13500000000000001</v>
      </c>
      <c r="J22" s="244">
        <f t="shared" si="4"/>
        <v>0.11699999999999999</v>
      </c>
      <c r="K22" s="244">
        <f t="shared" si="4"/>
        <v>0.14100000000000001</v>
      </c>
      <c r="L22" s="244">
        <f>SUM(L13:L20)</f>
        <v>0.156</v>
      </c>
      <c r="M22" s="344"/>
      <c r="N22" s="353"/>
    </row>
    <row r="23" spans="1:36">
      <c r="A23" s="572" t="s">
        <v>467</v>
      </c>
      <c r="B23" s="572"/>
      <c r="C23" s="572"/>
      <c r="D23" s="572"/>
      <c r="E23" s="572"/>
      <c r="F23" s="572"/>
      <c r="G23" s="572"/>
      <c r="H23" s="572"/>
      <c r="I23" s="572"/>
      <c r="J23" s="572"/>
      <c r="K23" s="572"/>
      <c r="L23" s="572"/>
      <c r="M23" s="346"/>
      <c r="N23" s="355"/>
    </row>
    <row r="24" spans="1:36" s="386" customFormat="1">
      <c r="A24" s="392"/>
      <c r="B24" s="392"/>
      <c r="C24" s="392"/>
      <c r="D24" s="392"/>
      <c r="E24" s="392"/>
      <c r="F24" s="392"/>
      <c r="G24" s="392"/>
      <c r="H24" s="392"/>
      <c r="I24" s="392"/>
      <c r="J24" s="392"/>
      <c r="K24" s="392"/>
      <c r="L24" s="392"/>
      <c r="M24" s="346"/>
      <c r="N24" s="355"/>
    </row>
    <row r="25" spans="1:36" s="386" customFormat="1">
      <c r="A25" s="392"/>
      <c r="B25" s="230">
        <v>2010</v>
      </c>
      <c r="C25" s="230">
        <v>2011</v>
      </c>
      <c r="D25" s="230">
        <v>2012</v>
      </c>
      <c r="E25" s="230">
        <v>2013</v>
      </c>
      <c r="F25" s="230">
        <v>2014</v>
      </c>
      <c r="G25" s="230">
        <v>2015</v>
      </c>
      <c r="H25" s="230">
        <v>2016</v>
      </c>
      <c r="I25" s="230">
        <v>2017</v>
      </c>
      <c r="J25" s="230">
        <v>2018</v>
      </c>
      <c r="K25" s="230">
        <v>2019</v>
      </c>
      <c r="L25" s="230">
        <v>2020</v>
      </c>
      <c r="M25" s="346"/>
      <c r="N25" s="355"/>
    </row>
    <row r="26" spans="1:36" s="386" customFormat="1" ht="28.8">
      <c r="A26" s="388" t="s">
        <v>519</v>
      </c>
      <c r="B26" s="394">
        <f>1370009.747/1000</f>
        <v>1370.0097470000001</v>
      </c>
      <c r="C26" s="394">
        <f>1453237.3672/1000</f>
        <v>1453.2373671999999</v>
      </c>
      <c r="D26" s="394">
        <f>1452400.126/1000</f>
        <v>1452.400126</v>
      </c>
      <c r="E26" s="394">
        <f>1684709.88415394/1000</f>
        <v>1684.70988415394</v>
      </c>
      <c r="F26" s="394">
        <f>2207622.665/1000</f>
        <v>2207.6226649999999</v>
      </c>
      <c r="G26" s="394">
        <f>2072269.8094508/1000</f>
        <v>2072.2698094508</v>
      </c>
      <c r="H26" s="394">
        <f>2257071/1000</f>
        <v>2257.0709999999999</v>
      </c>
      <c r="I26" s="394">
        <f>2362649/1000</f>
        <v>2362.6489999999999</v>
      </c>
      <c r="J26" s="394">
        <f>2617200/1000</f>
        <v>2617.1999999999998</v>
      </c>
      <c r="K26" s="230"/>
      <c r="L26" s="230"/>
      <c r="M26" s="346"/>
      <c r="N26" s="355"/>
    </row>
    <row r="27" spans="1:36" s="386" customFormat="1" ht="28.8">
      <c r="A27" s="388" t="s">
        <v>507</v>
      </c>
      <c r="B27" s="387">
        <v>0.33687713368580102</v>
      </c>
      <c r="C27" s="387">
        <v>0.3377705407415163</v>
      </c>
      <c r="D27" s="387">
        <v>0.34488110521146065</v>
      </c>
      <c r="E27" s="387">
        <v>0.30878180051714466</v>
      </c>
      <c r="F27" s="387">
        <v>0.25250097296279417</v>
      </c>
      <c r="G27" s="387">
        <v>0.27084478341313784</v>
      </c>
      <c r="H27" s="387">
        <v>0.26411036035401952</v>
      </c>
      <c r="I27" s="387">
        <v>0.2524384000627754</v>
      </c>
      <c r="J27" s="387">
        <v>0.23489344286257199</v>
      </c>
      <c r="K27" s="387"/>
      <c r="L27" s="387"/>
      <c r="M27" s="393"/>
      <c r="N27" s="355"/>
    </row>
    <row r="28" spans="1:36">
      <c r="A28" s="573"/>
      <c r="B28" s="573"/>
      <c r="C28" s="573"/>
      <c r="D28" s="573"/>
      <c r="E28" s="573"/>
      <c r="F28" s="573"/>
      <c r="G28" s="573"/>
      <c r="H28" s="573"/>
      <c r="I28" s="573"/>
      <c r="J28" s="573"/>
      <c r="K28" s="573"/>
      <c r="L28" s="573"/>
    </row>
    <row r="29" spans="1:36">
      <c r="A29" s="559" t="s">
        <v>434</v>
      </c>
      <c r="B29" s="559"/>
      <c r="C29" s="559"/>
      <c r="D29" s="559"/>
      <c r="E29" s="559"/>
      <c r="F29" s="559"/>
      <c r="G29" s="559"/>
      <c r="H29" s="559"/>
      <c r="I29" s="559"/>
      <c r="P29" s="559" t="s">
        <v>437</v>
      </c>
      <c r="Q29" s="559"/>
      <c r="R29" s="559"/>
      <c r="S29" s="559"/>
      <c r="T29" s="559"/>
      <c r="U29" s="559"/>
      <c r="V29" s="559"/>
      <c r="W29" s="559"/>
      <c r="X29" s="559"/>
      <c r="AB29" s="559" t="s">
        <v>151</v>
      </c>
      <c r="AC29" s="559"/>
      <c r="AD29" s="559"/>
      <c r="AE29" s="559"/>
      <c r="AF29" s="559"/>
      <c r="AG29" s="559"/>
      <c r="AH29" s="559"/>
      <c r="AI29" s="559"/>
      <c r="AJ29" s="559"/>
    </row>
    <row r="31" spans="1:36">
      <c r="A31" s="246"/>
      <c r="B31" s="246">
        <v>2015</v>
      </c>
      <c r="C31" s="246">
        <v>2019</v>
      </c>
      <c r="D31" s="246">
        <v>2025</v>
      </c>
      <c r="E31" s="246">
        <v>2030</v>
      </c>
      <c r="F31" s="246">
        <v>2035</v>
      </c>
      <c r="G31" s="246">
        <v>2040</v>
      </c>
      <c r="H31" s="246">
        <v>2045</v>
      </c>
      <c r="I31" s="246">
        <v>2050</v>
      </c>
      <c r="P31" s="246"/>
      <c r="Q31" s="246">
        <v>2015</v>
      </c>
      <c r="R31" s="246">
        <v>2020</v>
      </c>
      <c r="S31" s="246">
        <v>2025</v>
      </c>
      <c r="T31" s="246">
        <v>2030</v>
      </c>
      <c r="U31" s="246">
        <v>2035</v>
      </c>
      <c r="V31" s="246">
        <v>2040</v>
      </c>
      <c r="W31" s="246">
        <v>2045</v>
      </c>
      <c r="X31" s="246">
        <v>2050</v>
      </c>
      <c r="AB31" s="246"/>
      <c r="AC31" s="246">
        <v>2015</v>
      </c>
      <c r="AD31" s="247">
        <v>2018</v>
      </c>
      <c r="AE31" s="247">
        <v>2023</v>
      </c>
      <c r="AF31" s="247">
        <v>2028</v>
      </c>
      <c r="AG31" s="247">
        <v>2033</v>
      </c>
      <c r="AH31" s="246">
        <v>2040</v>
      </c>
      <c r="AI31" s="246">
        <v>2045</v>
      </c>
      <c r="AJ31" s="246">
        <v>2050</v>
      </c>
    </row>
    <row r="32" spans="1:36" s="363" customFormat="1">
      <c r="A32" s="569" t="s">
        <v>462</v>
      </c>
      <c r="B32" s="569"/>
      <c r="C32" s="569"/>
      <c r="D32" s="569"/>
      <c r="E32" s="569"/>
      <c r="F32" s="569"/>
      <c r="G32" s="569"/>
      <c r="H32" s="569"/>
      <c r="I32" s="569"/>
      <c r="N32" s="349"/>
      <c r="P32" s="364"/>
      <c r="Q32" s="365"/>
      <c r="R32" s="365"/>
      <c r="S32" s="365"/>
      <c r="T32" s="365"/>
      <c r="U32" s="365"/>
      <c r="V32" s="365"/>
      <c r="W32" s="365"/>
      <c r="X32" s="366"/>
      <c r="AB32" s="246"/>
      <c r="AC32" s="246"/>
      <c r="AD32" s="247"/>
      <c r="AE32" s="247"/>
      <c r="AF32" s="247"/>
      <c r="AG32" s="247"/>
      <c r="AH32" s="246"/>
      <c r="AI32" s="246"/>
      <c r="AJ32" s="246"/>
    </row>
    <row r="33" spans="1:37" s="363" customFormat="1">
      <c r="A33" s="246" t="s">
        <v>518</v>
      </c>
      <c r="B33" s="246"/>
      <c r="C33" s="246">
        <f>'Bilan d''énergie'!O55-'Bilan d''énergie'!O49</f>
        <v>668.69999999999982</v>
      </c>
      <c r="D33" s="246">
        <f>'Bilan d''énergie'!O96-'Bilan d''énergie'!O90</f>
        <v>765.76590994226581</v>
      </c>
      <c r="E33" s="256">
        <f>'Bilan d''énergie'!O137-'Bilan d''énergie'!O131</f>
        <v>862.28667983939067</v>
      </c>
      <c r="F33" s="256">
        <f>'Bilan d''énergie'!O178-'Bilan d''énergie'!O172</f>
        <v>937.02552386000025</v>
      </c>
      <c r="G33" s="256">
        <f>'Bilan d''énergie'!O219-'Bilan d''énergie'!O213</f>
        <v>1010.4098500975188</v>
      </c>
      <c r="H33" s="256">
        <f>'Bilan d''énergie'!O260-'Bilan d''énergie'!O254</f>
        <v>1078.6776045593315</v>
      </c>
      <c r="I33" s="256">
        <f>'Bilan d''énergie'!O301-'Bilan d''énergie'!O295</f>
        <v>1142.0821095428382</v>
      </c>
      <c r="N33" s="349"/>
      <c r="P33" s="364"/>
      <c r="Q33" s="365"/>
      <c r="R33" s="365"/>
      <c r="S33" s="365"/>
      <c r="T33" s="365"/>
      <c r="U33" s="365"/>
      <c r="V33" s="365"/>
      <c r="W33" s="365"/>
      <c r="X33" s="366"/>
      <c r="AB33" s="246"/>
      <c r="AC33" s="246"/>
      <c r="AD33" s="247"/>
      <c r="AE33" s="247"/>
      <c r="AF33" s="247"/>
      <c r="AG33" s="247"/>
      <c r="AH33" s="246"/>
      <c r="AI33" s="246"/>
      <c r="AJ33" s="246"/>
    </row>
    <row r="34" spans="1:37" s="386" customFormat="1">
      <c r="A34" s="246" t="s">
        <v>483</v>
      </c>
      <c r="B34" s="395"/>
      <c r="C34" s="395">
        <f>'Bilan d''énergie'!O49</f>
        <v>2603.9570000000003</v>
      </c>
      <c r="D34" s="246">
        <f>'Bilan d''énergie'!O90</f>
        <v>3323.088246059328</v>
      </c>
      <c r="E34" s="256">
        <f>'Bilan d''énergie'!O131</f>
        <v>4085.9272781085374</v>
      </c>
      <c r="F34" s="256">
        <f>'Bilan d''énergie'!O172</f>
        <v>4099.5141649245743</v>
      </c>
      <c r="G34" s="256">
        <f>'Bilan d''énergie'!O213</f>
        <v>4114.288161235897</v>
      </c>
      <c r="H34" s="256">
        <f>'Bilan d''énergie'!O254</f>
        <v>4133.0664131130161</v>
      </c>
      <c r="I34" s="256">
        <f>'Bilan d''énergie'!O295</f>
        <v>4153.4606898453849</v>
      </c>
      <c r="N34" s="349"/>
      <c r="P34" s="364"/>
      <c r="Q34" s="365"/>
      <c r="R34" s="365"/>
      <c r="S34" s="365"/>
      <c r="T34" s="365"/>
      <c r="U34" s="365"/>
      <c r="V34" s="365"/>
      <c r="W34" s="365"/>
      <c r="X34" s="366"/>
      <c r="AB34" s="246"/>
      <c r="AC34" s="246"/>
      <c r="AD34" s="247"/>
      <c r="AE34" s="247"/>
      <c r="AF34" s="247"/>
      <c r="AG34" s="247"/>
      <c r="AH34" s="246"/>
      <c r="AI34" s="246"/>
      <c r="AJ34" s="246"/>
    </row>
    <row r="35" spans="1:37">
      <c r="A35" s="569" t="s">
        <v>152</v>
      </c>
      <c r="B35" s="569"/>
      <c r="C35" s="569"/>
      <c r="D35" s="569"/>
      <c r="E35" s="569"/>
      <c r="F35" s="569"/>
      <c r="G35" s="569"/>
      <c r="H35" s="569"/>
      <c r="I35" s="569"/>
      <c r="J35" s="86"/>
      <c r="K35" s="86"/>
      <c r="L35" s="86"/>
      <c r="M35" s="212"/>
      <c r="N35" s="356"/>
      <c r="P35" s="566" t="s">
        <v>152</v>
      </c>
      <c r="Q35" s="567"/>
      <c r="R35" s="567"/>
      <c r="S35" s="567"/>
      <c r="T35" s="567"/>
      <c r="U35" s="567"/>
      <c r="V35" s="567"/>
      <c r="W35" s="567"/>
      <c r="X35" s="568"/>
      <c r="AB35" s="570" t="s">
        <v>152</v>
      </c>
      <c r="AC35" s="570"/>
      <c r="AD35" s="570"/>
      <c r="AE35" s="570"/>
      <c r="AF35" s="570"/>
      <c r="AG35" s="570"/>
      <c r="AH35" s="570"/>
      <c r="AI35" s="570"/>
      <c r="AJ35" s="570"/>
    </row>
    <row r="36" spans="1:37">
      <c r="A36" s="30" t="s">
        <v>146</v>
      </c>
      <c r="B36" s="244">
        <f t="shared" ref="B36:B46" si="5">G10</f>
        <v>0.104</v>
      </c>
      <c r="C36" s="478">
        <f t="shared" ref="C36:C46" si="6">K10</f>
        <v>4.2000000000000003E-2</v>
      </c>
      <c r="D36" s="478">
        <f>$C$36/SUM($C$36:$C$38)*(1-SUM(D39:D46))</f>
        <v>3.6674776977298547E-2</v>
      </c>
      <c r="E36" s="478">
        <f>$C$36/SUM($C$36:$C$38)*(1-SUM(E39:E46))</f>
        <v>3.8281652555239049E-2</v>
      </c>
      <c r="F36" s="478">
        <f t="shared" ref="F36:I36" si="7">$C$36/SUM($C$36:$C$38)*(1-SUM(F39:F46))</f>
        <v>3.846378795957732E-2</v>
      </c>
      <c r="G36" s="478">
        <f t="shared" si="7"/>
        <v>3.8639317673175265E-2</v>
      </c>
      <c r="H36" s="478">
        <f t="shared" si="7"/>
        <v>3.8806806314989992E-2</v>
      </c>
      <c r="I36" s="478">
        <f t="shared" si="7"/>
        <v>3.8962844902749608E-2</v>
      </c>
      <c r="J36" s="35"/>
      <c r="K36" s="35"/>
      <c r="L36" s="343"/>
      <c r="M36" s="343"/>
      <c r="N36" s="351"/>
      <c r="P36" s="30" t="s">
        <v>146</v>
      </c>
      <c r="Q36" s="30"/>
      <c r="R36" s="87"/>
      <c r="S36" s="30"/>
      <c r="T36" s="30"/>
      <c r="U36" s="30"/>
      <c r="V36" s="30"/>
      <c r="W36" s="30"/>
      <c r="X36" s="30"/>
      <c r="AB36" s="30" t="s">
        <v>146</v>
      </c>
      <c r="AC36" s="88"/>
      <c r="AD36" s="87"/>
      <c r="AE36" s="30"/>
      <c r="AF36" s="30"/>
      <c r="AG36" s="30"/>
      <c r="AH36" s="30"/>
      <c r="AI36" s="30"/>
      <c r="AJ36" s="30"/>
      <c r="AK36" t="s">
        <v>153</v>
      </c>
    </row>
    <row r="37" spans="1:37">
      <c r="A37" s="30" t="s">
        <v>14</v>
      </c>
      <c r="B37" s="244">
        <f t="shared" si="5"/>
        <v>0.28399999999999997</v>
      </c>
      <c r="C37" s="360">
        <f t="shared" si="6"/>
        <v>0.45400000000000001</v>
      </c>
      <c r="D37" s="90">
        <f>$C$37/SUM($C$36:$C$38)*(1-SUM(D39:D46))</f>
        <v>0.39643687494508423</v>
      </c>
      <c r="E37" s="167">
        <f>$C$37/SUM($C$36:$C$38)*(1-SUM(E39:E46))</f>
        <v>0.41380643476377443</v>
      </c>
      <c r="F37" s="167">
        <f t="shared" ref="F37:I37" si="8">$C$37/SUM($C$36:$C$38)*(1-SUM(F39:F46))</f>
        <v>0.41577523175352621</v>
      </c>
      <c r="G37" s="167">
        <f t="shared" si="8"/>
        <v>0.41767262437194208</v>
      </c>
      <c r="H37" s="167">
        <f t="shared" si="8"/>
        <v>0.41948309683346319</v>
      </c>
      <c r="I37" s="167">
        <f t="shared" si="8"/>
        <v>0.42116979966305518</v>
      </c>
      <c r="J37" s="35"/>
      <c r="K37" s="35"/>
      <c r="L37" s="343"/>
      <c r="M37" s="343"/>
      <c r="N37" s="351"/>
      <c r="P37" s="30" t="s">
        <v>14</v>
      </c>
      <c r="Q37" s="30"/>
      <c r="R37" s="89">
        <v>0.36</v>
      </c>
      <c r="S37" s="167">
        <v>0.3</v>
      </c>
      <c r="T37" s="167">
        <v>0.24</v>
      </c>
      <c r="U37" s="167">
        <v>0.18</v>
      </c>
      <c r="V37" s="167">
        <v>0.12000000000000002</v>
      </c>
      <c r="W37" s="167">
        <v>0.06</v>
      </c>
      <c r="X37" s="156">
        <v>0</v>
      </c>
      <c r="AB37" s="30" t="s">
        <v>14</v>
      </c>
      <c r="AC37" s="91">
        <v>0.4</v>
      </c>
      <c r="AD37" s="89">
        <v>0.36</v>
      </c>
      <c r="AE37" s="30"/>
      <c r="AF37" s="30"/>
      <c r="AG37" s="30"/>
      <c r="AH37" s="30"/>
      <c r="AI37" s="30"/>
      <c r="AJ37" s="30"/>
      <c r="AK37" t="s">
        <v>154</v>
      </c>
    </row>
    <row r="38" spans="1:37">
      <c r="A38" s="30" t="s">
        <v>16</v>
      </c>
      <c r="B38" s="244">
        <f t="shared" si="5"/>
        <v>0.47099999999999997</v>
      </c>
      <c r="C38" s="360">
        <f t="shared" si="6"/>
        <v>0.36699999999999999</v>
      </c>
      <c r="D38" s="90">
        <f>$C$38/SUM($C$36:$C$38)*(1-SUM(D39:D46))</f>
        <v>0.32046769406353726</v>
      </c>
      <c r="E38" s="167">
        <f>$C$38/SUM($C$36:$C$38)*(1-SUM(E39:E46))</f>
        <v>0.33450872589935071</v>
      </c>
      <c r="F38" s="167">
        <f t="shared" ref="F38:I38" si="9">$C$38/SUM($C$36:$C$38)*(1-SUM(F39:F46))</f>
        <v>0.33610024240868747</v>
      </c>
      <c r="G38" s="167">
        <f t="shared" si="9"/>
        <v>0.33763403776322187</v>
      </c>
      <c r="H38" s="167">
        <f t="shared" si="9"/>
        <v>0.33909756946669822</v>
      </c>
      <c r="I38" s="167">
        <f t="shared" si="9"/>
        <v>0.34046104950735956</v>
      </c>
      <c r="J38" s="35"/>
      <c r="K38" s="35"/>
      <c r="L38" s="343"/>
      <c r="M38" s="343"/>
      <c r="N38" s="351"/>
      <c r="P38" s="30" t="s">
        <v>430</v>
      </c>
      <c r="Q38" s="30"/>
      <c r="R38" s="96">
        <v>0.33</v>
      </c>
      <c r="S38" s="167">
        <v>0.3066666666666667</v>
      </c>
      <c r="T38" s="167">
        <v>0.28333333333333333</v>
      </c>
      <c r="U38" s="167">
        <v>0.26</v>
      </c>
      <c r="V38" s="167">
        <v>0.23666666666666669</v>
      </c>
      <c r="W38" s="167">
        <v>0.21333333333333332</v>
      </c>
      <c r="X38" s="156">
        <v>0.19</v>
      </c>
      <c r="AB38" s="30" t="s">
        <v>16</v>
      </c>
      <c r="AC38" s="91">
        <v>0.24</v>
      </c>
      <c r="AD38" s="92">
        <v>0.33</v>
      </c>
      <c r="AE38" s="30"/>
      <c r="AF38" s="30"/>
      <c r="AG38" s="30"/>
      <c r="AH38" s="30"/>
      <c r="AI38" s="30"/>
      <c r="AJ38" s="93">
        <v>0.19</v>
      </c>
    </row>
    <row r="39" spans="1:37">
      <c r="A39" s="30" t="s">
        <v>27</v>
      </c>
      <c r="B39" s="244">
        <f t="shared" si="5"/>
        <v>2E-3</v>
      </c>
      <c r="C39" s="360">
        <f t="shared" si="6"/>
        <v>3.5000000000000003E-2</v>
      </c>
      <c r="D39" s="95">
        <f>315*$H$102/(D33+D34)</f>
        <v>8.3566070397842959E-2</v>
      </c>
      <c r="E39" s="95">
        <f>315*$H$102/(E33+E34)</f>
        <v>6.9053092115815423E-2</v>
      </c>
      <c r="F39" s="95">
        <f t="shared" ref="F39:I39" si="10">315*$H$102/(F33+F34)</f>
        <v>6.7842108939957332E-2</v>
      </c>
      <c r="G39" s="95">
        <f t="shared" si="10"/>
        <v>6.6675045727823554E-2</v>
      </c>
      <c r="H39" s="95">
        <f t="shared" si="10"/>
        <v>6.5561446051133218E-2</v>
      </c>
      <c r="I39" s="95">
        <f t="shared" si="10"/>
        <v>6.4523975575538017E-2</v>
      </c>
      <c r="J39" s="35"/>
      <c r="K39" s="35"/>
      <c r="L39" s="35"/>
      <c r="M39" s="185"/>
      <c r="N39" s="351"/>
      <c r="P39" s="30" t="s">
        <v>431</v>
      </c>
      <c r="Q39" s="30"/>
      <c r="R39" s="87"/>
      <c r="S39" s="30"/>
      <c r="T39" s="30"/>
      <c r="U39" s="30"/>
      <c r="V39" s="30"/>
      <c r="W39" s="30"/>
      <c r="X39" s="30"/>
      <c r="AB39" s="30" t="s">
        <v>27</v>
      </c>
      <c r="AC39" s="88">
        <v>0</v>
      </c>
      <c r="AD39" s="87"/>
      <c r="AE39" s="30"/>
      <c r="AF39" s="30"/>
      <c r="AG39" s="30"/>
      <c r="AH39" s="30"/>
      <c r="AI39" s="30"/>
      <c r="AJ39" s="30"/>
    </row>
    <row r="40" spans="1:37">
      <c r="A40" s="30" t="s">
        <v>147</v>
      </c>
      <c r="B40" s="244">
        <f t="shared" si="5"/>
        <v>0</v>
      </c>
      <c r="C40" s="360">
        <f t="shared" si="6"/>
        <v>0</v>
      </c>
      <c r="D40" s="95">
        <v>0</v>
      </c>
      <c r="E40" s="95">
        <v>0</v>
      </c>
      <c r="F40" s="95">
        <v>0</v>
      </c>
      <c r="G40" s="95">
        <v>0</v>
      </c>
      <c r="H40" s="95">
        <v>0</v>
      </c>
      <c r="I40" s="95">
        <v>0</v>
      </c>
      <c r="J40" s="94"/>
      <c r="K40" s="35"/>
      <c r="L40" s="35"/>
      <c r="M40" s="185"/>
      <c r="N40" s="351"/>
      <c r="P40" s="30" t="s">
        <v>147</v>
      </c>
      <c r="Q40" s="30"/>
      <c r="R40" s="87"/>
      <c r="S40" s="30"/>
      <c r="T40" s="30"/>
      <c r="U40" s="30"/>
      <c r="V40" s="30"/>
      <c r="W40" s="30"/>
      <c r="X40" s="30"/>
      <c r="AB40" s="30" t="s">
        <v>147</v>
      </c>
      <c r="AC40" s="88">
        <v>0</v>
      </c>
      <c r="AD40" s="87"/>
      <c r="AE40" s="30"/>
      <c r="AF40" s="30"/>
      <c r="AG40" s="30"/>
      <c r="AH40" s="30"/>
      <c r="AI40" s="30"/>
      <c r="AJ40" s="30"/>
    </row>
    <row r="41" spans="1:37">
      <c r="A41" s="30" t="s">
        <v>7</v>
      </c>
      <c r="B41" s="244">
        <f t="shared" si="5"/>
        <v>0</v>
      </c>
      <c r="C41" s="360">
        <f t="shared" si="6"/>
        <v>0</v>
      </c>
      <c r="D41" s="95">
        <v>0</v>
      </c>
      <c r="E41" s="95">
        <v>0</v>
      </c>
      <c r="F41" s="95">
        <v>0</v>
      </c>
      <c r="G41" s="95">
        <v>0</v>
      </c>
      <c r="H41" s="95">
        <v>0</v>
      </c>
      <c r="I41" s="95">
        <v>0</v>
      </c>
      <c r="J41" s="172"/>
      <c r="K41" s="185"/>
      <c r="L41" s="185"/>
      <c r="M41" s="185"/>
      <c r="N41" s="351"/>
      <c r="P41" s="30" t="s">
        <v>432</v>
      </c>
      <c r="Q41" s="30"/>
      <c r="R41" s="89">
        <v>0.08</v>
      </c>
      <c r="S41" s="95">
        <v>0.10150537634408602</v>
      </c>
      <c r="T41" s="95">
        <v>0.12301075268817205</v>
      </c>
      <c r="U41" s="95">
        <v>0.14451612903225808</v>
      </c>
      <c r="V41" s="95">
        <v>0.16602150537634408</v>
      </c>
      <c r="W41" s="95">
        <v>0.18752688172043011</v>
      </c>
      <c r="X41" s="95">
        <v>0.20903225806451614</v>
      </c>
      <c r="AB41" s="30" t="s">
        <v>7</v>
      </c>
      <c r="AC41" s="88">
        <v>0</v>
      </c>
      <c r="AD41" s="87"/>
      <c r="AE41" s="30"/>
      <c r="AF41" s="30"/>
      <c r="AG41" s="30"/>
      <c r="AH41" s="30"/>
      <c r="AI41" s="30"/>
      <c r="AJ41" s="30"/>
    </row>
    <row r="42" spans="1:37">
      <c r="A42" s="30" t="s">
        <v>360</v>
      </c>
      <c r="B42" s="244">
        <f t="shared" si="5"/>
        <v>0</v>
      </c>
      <c r="C42" s="360">
        <f t="shared" si="6"/>
        <v>2E-3</v>
      </c>
      <c r="D42" s="95">
        <v>0</v>
      </c>
      <c r="E42" s="95">
        <v>0</v>
      </c>
      <c r="F42" s="95">
        <v>0</v>
      </c>
      <c r="G42" s="95">
        <v>0</v>
      </c>
      <c r="H42" s="95">
        <v>0</v>
      </c>
      <c r="I42" s="95">
        <v>0</v>
      </c>
      <c r="J42" s="172"/>
      <c r="K42" s="185"/>
      <c r="L42" s="185"/>
      <c r="M42" s="185"/>
      <c r="N42" s="351"/>
      <c r="P42" s="30" t="s">
        <v>433</v>
      </c>
      <c r="Q42" s="30"/>
      <c r="R42" s="96">
        <v>0.09</v>
      </c>
      <c r="S42" s="95">
        <v>0.11419354838709675</v>
      </c>
      <c r="T42" s="95">
        <v>0.13838709677419353</v>
      </c>
      <c r="U42" s="95">
        <v>0.16258064516129031</v>
      </c>
      <c r="V42" s="95">
        <v>0.18677419354838706</v>
      </c>
      <c r="W42" s="95">
        <v>0.21096774193548384</v>
      </c>
      <c r="X42" s="95">
        <v>0.23516129032258062</v>
      </c>
      <c r="AB42" s="30" t="s">
        <v>360</v>
      </c>
      <c r="AC42" s="88">
        <v>0</v>
      </c>
      <c r="AD42" s="87"/>
      <c r="AE42" s="30"/>
      <c r="AF42" s="30"/>
      <c r="AG42" s="30"/>
      <c r="AH42" s="30"/>
      <c r="AI42" s="30"/>
      <c r="AJ42" s="30"/>
    </row>
    <row r="43" spans="1:37">
      <c r="A43" s="30" t="s">
        <v>359</v>
      </c>
      <c r="B43" s="244">
        <f t="shared" si="5"/>
        <v>0</v>
      </c>
      <c r="C43" s="360">
        <f t="shared" si="6"/>
        <v>2E-3</v>
      </c>
      <c r="D43" s="95">
        <f>$F$88*$H$105/(D33+D34)</f>
        <v>8.823830697484127E-4</v>
      </c>
      <c r="E43" s="95">
        <f>$G$88*$H$105/(E33+E34)</f>
        <v>9.5009018706293915E-4</v>
      </c>
      <c r="F43" s="95">
        <f t="shared" ref="F43:I43" si="11">$G$88*$H$105/(F33+F34)</f>
        <v>9.3342846784330742E-4</v>
      </c>
      <c r="G43" s="95">
        <f t="shared" si="11"/>
        <v>9.1737103621271853E-4</v>
      </c>
      <c r="H43" s="95">
        <f t="shared" si="11"/>
        <v>9.0204920061170827E-4</v>
      </c>
      <c r="I43" s="95">
        <f t="shared" si="11"/>
        <v>8.8777481422250303E-4</v>
      </c>
      <c r="J43" s="35"/>
      <c r="K43" s="35"/>
      <c r="L43" s="35"/>
      <c r="M43" s="185"/>
      <c r="N43" s="351"/>
      <c r="P43" s="30" t="s">
        <v>25</v>
      </c>
      <c r="Q43" s="30"/>
      <c r="R43" s="89">
        <v>0.14000000000000001</v>
      </c>
      <c r="S43" s="95">
        <v>0.17763440860215055</v>
      </c>
      <c r="T43" s="95">
        <v>0.21526881720430111</v>
      </c>
      <c r="U43" s="95">
        <v>0.25290322580645164</v>
      </c>
      <c r="V43" s="95">
        <v>0.29053763440860214</v>
      </c>
      <c r="W43" s="95">
        <v>0.3281720430107527</v>
      </c>
      <c r="X43" s="95">
        <v>0.36580645161290326</v>
      </c>
      <c r="AB43" s="30" t="s">
        <v>359</v>
      </c>
      <c r="AC43" s="91">
        <v>0.09</v>
      </c>
      <c r="AD43" s="89">
        <v>0.08</v>
      </c>
      <c r="AE43" s="30"/>
      <c r="AF43" s="30"/>
      <c r="AG43" s="30"/>
      <c r="AH43" s="30"/>
      <c r="AI43" s="30"/>
      <c r="AJ43" s="30"/>
    </row>
    <row r="44" spans="1:37">
      <c r="A44" s="30" t="s">
        <v>26</v>
      </c>
      <c r="B44" s="244">
        <f t="shared" si="5"/>
        <v>2.1999999999999999E-2</v>
      </c>
      <c r="C44" s="360">
        <f t="shared" si="6"/>
        <v>1.7000000000000001E-2</v>
      </c>
      <c r="D44" s="95">
        <f>84*$H$101/(D33+D34)</f>
        <v>2.7609540469091635E-2</v>
      </c>
      <c r="E44" s="95">
        <f>84*$H$101/(E33+E34)</f>
        <v>2.2814572136884047E-2</v>
      </c>
      <c r="F44" s="95">
        <f t="shared" ref="F44:I44" si="12">84*$H$101/(F33+F34)</f>
        <v>2.2414473282862713E-2</v>
      </c>
      <c r="G44" s="95">
        <f t="shared" si="12"/>
        <v>2.2028885222636928E-2</v>
      </c>
      <c r="H44" s="95">
        <f t="shared" si="12"/>
        <v>2.166096107359446E-2</v>
      </c>
      <c r="I44" s="95">
        <f t="shared" si="12"/>
        <v>2.1318189384737198E-2</v>
      </c>
      <c r="J44" s="94"/>
      <c r="K44" s="35"/>
      <c r="L44" s="35"/>
      <c r="M44" s="185"/>
      <c r="N44" s="351"/>
      <c r="P44" s="30" t="s">
        <v>148</v>
      </c>
      <c r="Q44" s="30"/>
      <c r="R44" s="96"/>
      <c r="S44" s="30"/>
      <c r="T44" s="30"/>
      <c r="U44" s="30"/>
      <c r="V44" s="30"/>
      <c r="W44" s="30"/>
      <c r="X44" s="30"/>
      <c r="AB44" s="30" t="s">
        <v>26</v>
      </c>
      <c r="AC44" s="280">
        <v>0.1</v>
      </c>
      <c r="AD44" s="87"/>
      <c r="AE44" s="30"/>
      <c r="AF44" s="30"/>
      <c r="AG44" s="30"/>
      <c r="AH44" s="30"/>
      <c r="AI44" s="30"/>
      <c r="AJ44" s="30"/>
    </row>
    <row r="45" spans="1:37">
      <c r="A45" s="30" t="s">
        <v>25</v>
      </c>
      <c r="B45" s="244">
        <f t="shared" si="5"/>
        <v>0.11700000000000001</v>
      </c>
      <c r="C45" s="360">
        <f t="shared" si="6"/>
        <v>8.5000000000000006E-2</v>
      </c>
      <c r="D45" s="95">
        <f>139.4*$H$104/(D33+D34)</f>
        <v>0.13436266007739697</v>
      </c>
      <c r="E45" s="95">
        <f>151.4*$H$104/(E33+E34)</f>
        <v>0.12058543234187342</v>
      </c>
      <c r="F45" s="95">
        <f t="shared" ref="F45:I45" si="13">151.4*$H$104/(F33+F34)</f>
        <v>0.11847072718754569</v>
      </c>
      <c r="G45" s="95">
        <f t="shared" si="13"/>
        <v>0.11643271820498753</v>
      </c>
      <c r="H45" s="95">
        <f t="shared" si="13"/>
        <v>0.11448807105950919</v>
      </c>
      <c r="I45" s="95">
        <f t="shared" si="13"/>
        <v>0.11267636615233785</v>
      </c>
      <c r="J45" s="35"/>
      <c r="K45" s="35"/>
      <c r="L45" s="35"/>
      <c r="M45" s="185"/>
      <c r="N45" s="351"/>
      <c r="P45" s="169" t="s">
        <v>23</v>
      </c>
      <c r="Q45" s="169"/>
      <c r="R45" s="96">
        <v>1</v>
      </c>
      <c r="S45" s="169"/>
      <c r="T45" s="169"/>
      <c r="U45" s="169"/>
      <c r="V45" s="169"/>
      <c r="W45" s="169"/>
      <c r="X45" s="341">
        <v>1</v>
      </c>
      <c r="AB45" s="30" t="s">
        <v>25</v>
      </c>
      <c r="AC45" s="91">
        <v>0.17</v>
      </c>
      <c r="AD45" s="89">
        <v>0.14000000000000001</v>
      </c>
      <c r="AE45" s="30"/>
      <c r="AF45" s="30"/>
      <c r="AG45" s="30"/>
      <c r="AH45" s="30"/>
      <c r="AI45" s="30"/>
      <c r="AJ45" s="30"/>
    </row>
    <row r="46" spans="1:37">
      <c r="A46" s="30" t="s">
        <v>386</v>
      </c>
      <c r="B46" s="244">
        <f t="shared" si="5"/>
        <v>0</v>
      </c>
      <c r="C46" s="360">
        <f t="shared" si="6"/>
        <v>0</v>
      </c>
      <c r="D46" s="95">
        <v>0</v>
      </c>
      <c r="E46" s="95">
        <v>0</v>
      </c>
      <c r="F46" s="95">
        <v>0</v>
      </c>
      <c r="G46" s="95">
        <v>0</v>
      </c>
      <c r="H46" s="95">
        <v>0</v>
      </c>
      <c r="I46" s="95">
        <v>0</v>
      </c>
      <c r="J46" s="94"/>
      <c r="K46" s="35"/>
      <c r="L46" s="35"/>
      <c r="M46" s="185"/>
      <c r="N46" s="351"/>
      <c r="P46" s="30" t="s">
        <v>149</v>
      </c>
      <c r="Q46" s="30"/>
      <c r="R46" s="96">
        <v>0.31</v>
      </c>
      <c r="S46" s="156">
        <v>0.39333333333333331</v>
      </c>
      <c r="T46" s="156">
        <v>0.47666666666666668</v>
      </c>
      <c r="U46" s="156">
        <v>0.56000000000000005</v>
      </c>
      <c r="V46" s="156">
        <v>0.64333333333333331</v>
      </c>
      <c r="W46" s="156">
        <v>0.72666666666666668</v>
      </c>
      <c r="X46" s="156">
        <v>0.81</v>
      </c>
      <c r="AB46" s="30" t="s">
        <v>386</v>
      </c>
      <c r="AC46" s="88">
        <v>0</v>
      </c>
      <c r="AD46" s="87"/>
      <c r="AE46" s="30"/>
      <c r="AF46" s="30"/>
      <c r="AG46" s="30"/>
      <c r="AH46" s="30"/>
      <c r="AI46" s="30"/>
      <c r="AJ46" s="30"/>
    </row>
    <row r="47" spans="1:37">
      <c r="A47" s="83" t="s">
        <v>23</v>
      </c>
      <c r="B47" s="83"/>
      <c r="C47" s="92">
        <f>SUM(C36:C46)</f>
        <v>1.004</v>
      </c>
      <c r="D47" s="532">
        <f>SUM(D36:D46)</f>
        <v>0.99999999999999989</v>
      </c>
      <c r="E47" s="100">
        <f t="shared" ref="E47:I47" si="14">SUM(E36:E46)</f>
        <v>1.0000000000000002</v>
      </c>
      <c r="F47" s="100">
        <f t="shared" si="14"/>
        <v>1</v>
      </c>
      <c r="G47" s="100">
        <f t="shared" si="14"/>
        <v>1</v>
      </c>
      <c r="H47" s="100">
        <f t="shared" si="14"/>
        <v>1</v>
      </c>
      <c r="I47" s="100">
        <f t="shared" si="14"/>
        <v>1</v>
      </c>
      <c r="J47" s="35"/>
      <c r="K47" s="35"/>
      <c r="L47" s="35"/>
      <c r="M47" s="185"/>
      <c r="N47" s="351"/>
      <c r="AB47" s="83" t="s">
        <v>23</v>
      </c>
      <c r="AC47" s="91">
        <v>1</v>
      </c>
      <c r="AD47" s="92">
        <v>1</v>
      </c>
      <c r="AE47" s="83"/>
      <c r="AF47" s="83"/>
      <c r="AG47" s="83"/>
      <c r="AH47" s="83"/>
      <c r="AI47" s="83"/>
      <c r="AJ47" s="97">
        <v>1</v>
      </c>
    </row>
    <row r="48" spans="1:37">
      <c r="A48" s="30" t="s">
        <v>149</v>
      </c>
      <c r="B48" s="30"/>
      <c r="C48" s="92">
        <f>SUM(C39:C46)</f>
        <v>0.14100000000000001</v>
      </c>
      <c r="D48" s="93">
        <f>SUM(D39:D46)</f>
        <v>0.24642065401407998</v>
      </c>
      <c r="E48" s="156">
        <f t="shared" ref="E48:I48" si="15">SUM(E39:E46)</f>
        <v>0.21340318678163583</v>
      </c>
      <c r="F48" s="156">
        <f t="shared" si="15"/>
        <v>0.20966073787820905</v>
      </c>
      <c r="G48" s="156">
        <f t="shared" si="15"/>
        <v>0.20605402019166075</v>
      </c>
      <c r="H48" s="156">
        <f t="shared" si="15"/>
        <v>0.20261252738484858</v>
      </c>
      <c r="I48" s="156">
        <f t="shared" si="15"/>
        <v>0.19940630592683556</v>
      </c>
      <c r="J48" s="35"/>
      <c r="K48" s="35"/>
      <c r="L48" s="35"/>
      <c r="M48" s="185"/>
      <c r="N48" s="351"/>
      <c r="AB48" s="30" t="s">
        <v>149</v>
      </c>
      <c r="AC48" s="91">
        <v>0.38</v>
      </c>
      <c r="AD48" s="92">
        <v>0.31</v>
      </c>
      <c r="AE48" s="30"/>
      <c r="AF48" s="30"/>
      <c r="AG48" s="30"/>
      <c r="AH48" s="30"/>
      <c r="AI48" s="30"/>
      <c r="AJ48" s="93">
        <v>0.81</v>
      </c>
      <c r="AK48" t="s">
        <v>155</v>
      </c>
    </row>
    <row r="49" spans="1:36" s="411" customFormat="1">
      <c r="A49" s="30" t="s">
        <v>612</v>
      </c>
      <c r="B49" s="30"/>
      <c r="C49" s="360">
        <f>C48*(C34+C33)/C33</f>
        <v>0.69006226558995087</v>
      </c>
      <c r="D49" s="360">
        <f t="shared" ref="D49:I49" si="16">D48*(D34+D33)/D33</f>
        <v>1.315778232235576</v>
      </c>
      <c r="E49" s="360">
        <f t="shared" si="16"/>
        <v>1.2246096944233709</v>
      </c>
      <c r="F49" s="360">
        <f t="shared" si="16"/>
        <v>1.1269326188186413</v>
      </c>
      <c r="G49" s="360">
        <f t="shared" si="16"/>
        <v>1.0450854446851878</v>
      </c>
      <c r="H49" s="360">
        <f t="shared" si="16"/>
        <v>0.97894368348812522</v>
      </c>
      <c r="I49" s="360">
        <f t="shared" si="16"/>
        <v>0.92459606772594416</v>
      </c>
      <c r="J49" s="185"/>
      <c r="K49" s="185"/>
      <c r="L49" s="185"/>
      <c r="M49" s="185"/>
      <c r="N49" s="351"/>
      <c r="AB49" s="185"/>
      <c r="AC49" s="463"/>
      <c r="AD49" s="464"/>
      <c r="AE49" s="185"/>
      <c r="AF49" s="185"/>
      <c r="AG49" s="185"/>
      <c r="AH49" s="185"/>
      <c r="AI49" s="185"/>
      <c r="AJ49" s="465"/>
    </row>
    <row r="50" spans="1:36" s="347" customFormat="1" ht="31.2" customHeight="1">
      <c r="A50" s="574" t="s">
        <v>613</v>
      </c>
      <c r="B50" s="574"/>
      <c r="C50" s="574"/>
      <c r="D50" s="574"/>
      <c r="E50" s="574"/>
      <c r="F50" s="574"/>
      <c r="G50" s="574"/>
      <c r="H50" s="574"/>
      <c r="I50" s="574"/>
      <c r="N50" s="349"/>
    </row>
    <row r="52" spans="1:36">
      <c r="A52" s="559" t="s">
        <v>435</v>
      </c>
      <c r="B52" s="559"/>
      <c r="C52" s="559"/>
      <c r="D52" s="559"/>
      <c r="E52" s="559"/>
      <c r="F52" s="559"/>
      <c r="G52" s="559"/>
      <c r="H52" s="559"/>
      <c r="I52" s="559"/>
      <c r="P52" s="559" t="s">
        <v>438</v>
      </c>
      <c r="Q52" s="559"/>
      <c r="R52" s="559"/>
      <c r="S52" s="559"/>
      <c r="T52" s="559"/>
      <c r="U52" s="559"/>
      <c r="V52" s="559"/>
      <c r="W52" s="559"/>
      <c r="X52" s="559"/>
      <c r="AB52" s="559" t="s">
        <v>157</v>
      </c>
      <c r="AC52" s="559"/>
      <c r="AD52" s="559"/>
      <c r="AE52" s="559"/>
      <c r="AF52" s="559"/>
      <c r="AG52" s="559"/>
      <c r="AH52" s="559"/>
      <c r="AI52" s="559"/>
      <c r="AJ52" s="559"/>
    </row>
    <row r="54" spans="1:36">
      <c r="A54" s="246"/>
      <c r="B54" s="246">
        <v>2015</v>
      </c>
      <c r="C54" s="246">
        <v>2020</v>
      </c>
      <c r="D54" s="246">
        <v>2025</v>
      </c>
      <c r="E54" s="246">
        <v>2030</v>
      </c>
      <c r="F54" s="246">
        <v>2035</v>
      </c>
      <c r="G54" s="246">
        <v>2040</v>
      </c>
      <c r="H54" s="246">
        <v>2045</v>
      </c>
      <c r="I54" s="246">
        <v>2050</v>
      </c>
      <c r="L54" s="347"/>
      <c r="M54" s="347"/>
      <c r="P54" s="246"/>
      <c r="Q54" s="246">
        <v>2015</v>
      </c>
      <c r="R54" s="246">
        <v>2020</v>
      </c>
      <c r="S54" s="246">
        <v>2025</v>
      </c>
      <c r="T54" s="246">
        <v>2030</v>
      </c>
      <c r="U54" s="246">
        <v>2035</v>
      </c>
      <c r="V54" s="246">
        <v>2040</v>
      </c>
      <c r="W54" s="246">
        <v>2045</v>
      </c>
      <c r="X54" s="246">
        <v>2050</v>
      </c>
      <c r="AB54" s="246"/>
      <c r="AC54" s="246">
        <v>2015</v>
      </c>
      <c r="AD54" s="247">
        <v>2018</v>
      </c>
      <c r="AE54" s="247">
        <v>2023</v>
      </c>
      <c r="AF54" s="247">
        <v>2028</v>
      </c>
      <c r="AG54" s="247">
        <v>2033</v>
      </c>
      <c r="AH54" s="246">
        <v>2040</v>
      </c>
      <c r="AI54" s="246">
        <v>2045</v>
      </c>
      <c r="AJ54" s="246">
        <v>2050</v>
      </c>
    </row>
    <row r="55" spans="1:36" s="363" customFormat="1">
      <c r="A55" s="569" t="s">
        <v>462</v>
      </c>
      <c r="B55" s="569"/>
      <c r="C55" s="569"/>
      <c r="D55" s="569"/>
      <c r="E55" s="569"/>
      <c r="F55" s="569"/>
      <c r="G55" s="569"/>
      <c r="H55" s="569"/>
      <c r="I55" s="569"/>
      <c r="L55" s="347"/>
      <c r="M55" s="347"/>
      <c r="N55" s="349"/>
      <c r="P55" s="246"/>
      <c r="Q55" s="246"/>
      <c r="R55" s="246"/>
      <c r="S55" s="246"/>
      <c r="T55" s="246"/>
      <c r="U55" s="246"/>
      <c r="V55" s="246"/>
      <c r="W55" s="246"/>
      <c r="X55" s="246"/>
      <c r="AB55" s="246"/>
      <c r="AC55" s="246"/>
      <c r="AD55" s="247"/>
      <c r="AE55" s="247"/>
      <c r="AF55" s="247"/>
      <c r="AG55" s="247"/>
      <c r="AH55" s="246"/>
      <c r="AI55" s="246"/>
      <c r="AJ55" s="246"/>
    </row>
    <row r="56" spans="1:36" s="363" customFormat="1">
      <c r="A56" s="246"/>
      <c r="B56" s="246"/>
      <c r="C56" s="246"/>
      <c r="D56" s="246"/>
      <c r="E56" s="246">
        <f>-'Bilan d''énergie'!AI118</f>
        <v>5142.2477790835237</v>
      </c>
      <c r="F56" s="246">
        <f>-'Bilan d''énergie'!AI159</f>
        <v>5331.3258855608692</v>
      </c>
      <c r="G56" s="246">
        <f>-'Bilan d''énergie'!AI200</f>
        <v>5883.1794966569369</v>
      </c>
      <c r="H56" s="246">
        <f>-'Bilan d''énergie'!AI241</f>
        <v>6422.3737742453613</v>
      </c>
      <c r="I56" s="246">
        <f>-'Bilan d''énergie'!AI282</f>
        <v>6951.4840021384871</v>
      </c>
      <c r="L56" s="347"/>
      <c r="M56" s="347"/>
      <c r="N56" s="349"/>
      <c r="P56" s="246"/>
      <c r="Q56" s="246"/>
      <c r="R56" s="246"/>
      <c r="S56" s="246"/>
      <c r="T56" s="246"/>
      <c r="U56" s="246"/>
      <c r="V56" s="246"/>
      <c r="W56" s="246"/>
      <c r="X56" s="246"/>
      <c r="AB56" s="246"/>
      <c r="AC56" s="246"/>
      <c r="AD56" s="247"/>
      <c r="AE56" s="247"/>
      <c r="AF56" s="247"/>
      <c r="AG56" s="247"/>
      <c r="AH56" s="246"/>
      <c r="AI56" s="246"/>
      <c r="AJ56" s="246"/>
    </row>
    <row r="57" spans="1:36">
      <c r="A57" s="569" t="s">
        <v>152</v>
      </c>
      <c r="B57" s="569"/>
      <c r="C57" s="569"/>
      <c r="D57" s="569"/>
      <c r="E57" s="569"/>
      <c r="F57" s="569"/>
      <c r="G57" s="569"/>
      <c r="H57" s="569"/>
      <c r="I57" s="569"/>
      <c r="L57" s="348"/>
      <c r="M57" s="348"/>
      <c r="N57" s="357"/>
      <c r="P57" s="569" t="s">
        <v>152</v>
      </c>
      <c r="Q57" s="569"/>
      <c r="R57" s="569"/>
      <c r="S57" s="569"/>
      <c r="T57" s="569"/>
      <c r="U57" s="569"/>
      <c r="V57" s="569"/>
      <c r="W57" s="569"/>
      <c r="X57" s="569"/>
      <c r="AB57" s="570" t="s">
        <v>152</v>
      </c>
      <c r="AC57" s="570"/>
      <c r="AD57" s="570"/>
      <c r="AE57" s="570"/>
      <c r="AF57" s="570"/>
      <c r="AG57" s="570"/>
      <c r="AH57" s="570"/>
      <c r="AI57" s="570"/>
      <c r="AJ57" s="570"/>
    </row>
    <row r="58" spans="1:36">
      <c r="A58" s="30" t="s">
        <v>146</v>
      </c>
      <c r="B58" s="534">
        <f>B36</f>
        <v>0.104</v>
      </c>
      <c r="C58" s="534">
        <f>C36</f>
        <v>4.2000000000000003E-2</v>
      </c>
      <c r="D58" s="360">
        <v>0</v>
      </c>
      <c r="E58" s="167">
        <v>0</v>
      </c>
      <c r="F58" s="30">
        <v>0</v>
      </c>
      <c r="G58" s="467">
        <v>0</v>
      </c>
      <c r="H58" s="467">
        <v>0</v>
      </c>
      <c r="I58" s="467">
        <v>0</v>
      </c>
      <c r="L58" s="347"/>
      <c r="M58" s="347"/>
      <c r="P58" s="30" t="s">
        <v>146</v>
      </c>
      <c r="Q58" s="88"/>
      <c r="R58" s="87"/>
      <c r="S58" s="30"/>
      <c r="T58" s="30"/>
      <c r="U58" s="30"/>
      <c r="V58" s="30"/>
      <c r="W58" s="30"/>
      <c r="X58" s="30"/>
      <c r="AB58" s="30" t="s">
        <v>146</v>
      </c>
      <c r="AC58" s="88"/>
      <c r="AD58" s="30"/>
      <c r="AE58" s="30"/>
      <c r="AF58" s="30"/>
      <c r="AG58" s="30"/>
      <c r="AH58" s="30"/>
      <c r="AI58" s="30"/>
      <c r="AJ58" s="30"/>
    </row>
    <row r="59" spans="1:36">
      <c r="A59" s="30" t="s">
        <v>14</v>
      </c>
      <c r="B59" s="534">
        <f t="shared" ref="B59:C68" si="17">B37</f>
        <v>0.28399999999999997</v>
      </c>
      <c r="C59" s="534">
        <f t="shared" si="17"/>
        <v>0.45400000000000001</v>
      </c>
      <c r="D59" s="167">
        <f>39.6436874945084%+D36</f>
        <v>0.43311165192238255</v>
      </c>
      <c r="E59" s="167">
        <f>1-SUM(E60:E68)</f>
        <v>0.17000000000000015</v>
      </c>
      <c r="F59" s="156">
        <v>0</v>
      </c>
      <c r="G59" s="156">
        <v>0</v>
      </c>
      <c r="H59" s="156">
        <v>0</v>
      </c>
      <c r="I59" s="156">
        <v>0</v>
      </c>
      <c r="P59" s="30" t="s">
        <v>14</v>
      </c>
      <c r="Q59" s="91">
        <v>0.45</v>
      </c>
      <c r="R59" s="89">
        <v>0.36</v>
      </c>
      <c r="S59" s="156">
        <v>0.3</v>
      </c>
      <c r="T59" s="156">
        <v>0.24</v>
      </c>
      <c r="U59" s="156">
        <v>0.18</v>
      </c>
      <c r="V59" s="156">
        <v>0.12000000000000002</v>
      </c>
      <c r="W59" s="156">
        <v>0.06</v>
      </c>
      <c r="X59" s="98">
        <v>0</v>
      </c>
      <c r="AB59" s="30" t="s">
        <v>14</v>
      </c>
      <c r="AC59" s="91">
        <v>0.4</v>
      </c>
      <c r="AD59" s="30"/>
      <c r="AE59" s="30"/>
      <c r="AF59" s="30"/>
      <c r="AG59" s="30"/>
      <c r="AH59" s="30"/>
      <c r="AI59" s="30"/>
      <c r="AJ59" s="30">
        <v>0</v>
      </c>
    </row>
    <row r="60" spans="1:36">
      <c r="A60" s="30" t="s">
        <v>16</v>
      </c>
      <c r="B60" s="534">
        <f t="shared" si="17"/>
        <v>0.47099999999999997</v>
      </c>
      <c r="C60" s="534">
        <f t="shared" si="17"/>
        <v>0.36699999999999999</v>
      </c>
      <c r="D60" s="167">
        <v>0.32046769406353726</v>
      </c>
      <c r="E60" s="167">
        <v>0.15</v>
      </c>
      <c r="F60" s="156">
        <v>0.15</v>
      </c>
      <c r="G60" s="156">
        <v>0</v>
      </c>
      <c r="H60" s="156">
        <v>0</v>
      </c>
      <c r="I60" s="156">
        <v>0</v>
      </c>
      <c r="P60" s="30" t="s">
        <v>430</v>
      </c>
      <c r="Q60" s="91">
        <v>0.17</v>
      </c>
      <c r="R60" s="96">
        <v>0.33</v>
      </c>
      <c r="S60" s="156">
        <v>0.27500000000000002</v>
      </c>
      <c r="T60" s="156">
        <v>0.22</v>
      </c>
      <c r="U60" s="156">
        <v>0.16500000000000001</v>
      </c>
      <c r="V60" s="156">
        <v>0.10999999999999999</v>
      </c>
      <c r="W60" s="156">
        <v>5.4999999999999993E-2</v>
      </c>
      <c r="X60" s="98">
        <v>0</v>
      </c>
      <c r="AB60" s="30" t="s">
        <v>16</v>
      </c>
      <c r="AC60" s="91">
        <v>0.24</v>
      </c>
      <c r="AD60" s="30"/>
      <c r="AE60" s="30"/>
      <c r="AF60" s="30"/>
      <c r="AG60" s="30"/>
      <c r="AH60" s="30"/>
      <c r="AI60" s="30"/>
      <c r="AJ60" s="30">
        <v>0</v>
      </c>
    </row>
    <row r="61" spans="1:36">
      <c r="A61" s="30" t="s">
        <v>27</v>
      </c>
      <c r="B61" s="534">
        <f t="shared" si="17"/>
        <v>2E-3</v>
      </c>
      <c r="C61" s="534">
        <f t="shared" si="17"/>
        <v>3.5000000000000003E-2</v>
      </c>
      <c r="D61" s="95">
        <v>8.3566070397842959E-2</v>
      </c>
      <c r="E61" s="167">
        <v>0.2</v>
      </c>
      <c r="F61" s="95">
        <v>0.2</v>
      </c>
      <c r="G61" s="95">
        <v>0.2</v>
      </c>
      <c r="H61" s="95">
        <v>0.2</v>
      </c>
      <c r="I61" s="95">
        <v>0.2</v>
      </c>
      <c r="P61" s="30" t="s">
        <v>431</v>
      </c>
      <c r="Q61" s="88"/>
      <c r="R61" s="87"/>
      <c r="S61" s="30"/>
      <c r="T61" s="30"/>
      <c r="U61" s="30"/>
      <c r="V61" s="30"/>
      <c r="W61" s="30"/>
      <c r="X61" s="30"/>
      <c r="AB61" s="30" t="s">
        <v>27</v>
      </c>
      <c r="AC61" s="88">
        <v>0</v>
      </c>
      <c r="AD61" s="30"/>
      <c r="AE61" s="30"/>
      <c r="AF61" s="30"/>
      <c r="AG61" s="30"/>
      <c r="AH61" s="30"/>
      <c r="AI61" s="30"/>
      <c r="AJ61" s="30"/>
    </row>
    <row r="62" spans="1:36">
      <c r="A62" s="30" t="s">
        <v>147</v>
      </c>
      <c r="B62" s="534">
        <f t="shared" si="17"/>
        <v>0</v>
      </c>
      <c r="C62" s="534">
        <f t="shared" si="17"/>
        <v>0</v>
      </c>
      <c r="D62" s="95">
        <v>0</v>
      </c>
      <c r="E62" s="167">
        <f t="shared" ref="E62:E68" si="18">E40</f>
        <v>0</v>
      </c>
      <c r="F62" s="95">
        <v>0</v>
      </c>
      <c r="G62" s="95">
        <v>0</v>
      </c>
      <c r="H62" s="95">
        <v>0</v>
      </c>
      <c r="I62" s="95">
        <v>0</v>
      </c>
      <c r="P62" s="30" t="s">
        <v>147</v>
      </c>
      <c r="Q62" s="88"/>
      <c r="R62" s="87"/>
      <c r="S62" s="30"/>
      <c r="T62" s="30"/>
      <c r="U62" s="30"/>
      <c r="V62" s="30"/>
      <c r="W62" s="30"/>
      <c r="X62" s="30"/>
      <c r="AB62" s="30" t="s">
        <v>147</v>
      </c>
      <c r="AC62" s="88">
        <v>0</v>
      </c>
      <c r="AD62" s="30"/>
      <c r="AE62" s="30"/>
      <c r="AF62" s="30"/>
      <c r="AG62" s="30"/>
      <c r="AH62" s="30"/>
      <c r="AI62" s="30"/>
      <c r="AJ62" s="30"/>
    </row>
    <row r="63" spans="1:36">
      <c r="A63" s="30" t="s">
        <v>7</v>
      </c>
      <c r="B63" s="534">
        <f t="shared" si="17"/>
        <v>0</v>
      </c>
      <c r="C63" s="534">
        <f t="shared" si="17"/>
        <v>0</v>
      </c>
      <c r="D63" s="95">
        <v>0</v>
      </c>
      <c r="E63" s="167">
        <v>0.1</v>
      </c>
      <c r="F63" s="95">
        <v>0.1</v>
      </c>
      <c r="G63" s="95">
        <v>0.1</v>
      </c>
      <c r="H63" s="95">
        <v>0.1</v>
      </c>
      <c r="I63" s="95">
        <v>0.1</v>
      </c>
      <c r="P63" s="30" t="s">
        <v>432</v>
      </c>
      <c r="Q63" s="91">
        <v>0.09</v>
      </c>
      <c r="R63" s="89">
        <v>0.08</v>
      </c>
      <c r="S63" s="95">
        <v>0.1096774193548387</v>
      </c>
      <c r="T63" s="95">
        <v>0.13935483870967744</v>
      </c>
      <c r="U63" s="95">
        <v>0.16903225806451613</v>
      </c>
      <c r="V63" s="95">
        <v>0.19870967741935483</v>
      </c>
      <c r="W63" s="95">
        <v>0.22838709677419355</v>
      </c>
      <c r="X63" s="95">
        <v>0.25806451612903225</v>
      </c>
      <c r="AB63" s="30" t="s">
        <v>7</v>
      </c>
      <c r="AC63" s="88">
        <v>0</v>
      </c>
      <c r="AD63" s="30"/>
      <c r="AE63" s="30"/>
      <c r="AF63" s="30"/>
      <c r="AG63" s="30"/>
      <c r="AH63" s="30"/>
      <c r="AI63" s="30"/>
      <c r="AJ63" s="30"/>
    </row>
    <row r="64" spans="1:36">
      <c r="A64" s="30" t="s">
        <v>360</v>
      </c>
      <c r="B64" s="534">
        <f t="shared" si="17"/>
        <v>0</v>
      </c>
      <c r="C64" s="534">
        <f t="shared" si="17"/>
        <v>2E-3</v>
      </c>
      <c r="D64" s="95">
        <v>0</v>
      </c>
      <c r="E64" s="167">
        <f t="shared" si="18"/>
        <v>0</v>
      </c>
      <c r="F64" s="95">
        <f>1-F61-F63-F65-F66-F67-F60</f>
        <v>0.10000000000000012</v>
      </c>
      <c r="G64" s="95">
        <f>1-G61-G63-G65-G66-G67-G60</f>
        <v>0.25000000000000011</v>
      </c>
      <c r="H64" s="95">
        <f t="shared" ref="H64:I64" si="19">1-H61-H63-H65-H66-H67-H60</f>
        <v>0.25000000000000011</v>
      </c>
      <c r="I64" s="95">
        <f t="shared" si="19"/>
        <v>0.25000000000000011</v>
      </c>
      <c r="P64" s="30" t="s">
        <v>436</v>
      </c>
      <c r="Q64" s="88"/>
      <c r="R64" s="96">
        <v>0.09</v>
      </c>
      <c r="S64" s="95">
        <v>0.12338709677419353</v>
      </c>
      <c r="T64" s="95">
        <v>0.15677419354838709</v>
      </c>
      <c r="U64" s="95">
        <v>0.19016129032258064</v>
      </c>
      <c r="V64" s="95">
        <v>0.22354838709677416</v>
      </c>
      <c r="W64" s="95">
        <v>0.25693548387096771</v>
      </c>
      <c r="X64" s="95">
        <v>0.29032258064516125</v>
      </c>
      <c r="AB64" s="30" t="s">
        <v>360</v>
      </c>
      <c r="AC64" s="88">
        <v>0</v>
      </c>
      <c r="AD64" s="30"/>
      <c r="AE64" s="30"/>
      <c r="AF64" s="30"/>
      <c r="AG64" s="30"/>
      <c r="AH64" s="30"/>
      <c r="AI64" s="30"/>
      <c r="AJ64" s="30"/>
    </row>
    <row r="65" spans="1:36">
      <c r="A65" s="30" t="s">
        <v>359</v>
      </c>
      <c r="B65" s="534">
        <f t="shared" si="17"/>
        <v>0</v>
      </c>
      <c r="C65" s="534">
        <f t="shared" si="17"/>
        <v>2E-3</v>
      </c>
      <c r="D65" s="95">
        <v>8.823830697484127E-4</v>
      </c>
      <c r="E65" s="167">
        <v>0.1</v>
      </c>
      <c r="F65" s="95">
        <v>0.1</v>
      </c>
      <c r="G65" s="95">
        <v>0.1</v>
      </c>
      <c r="H65" s="95">
        <v>0.1</v>
      </c>
      <c r="I65" s="95">
        <v>0.1</v>
      </c>
      <c r="P65" s="30" t="s">
        <v>25</v>
      </c>
      <c r="Q65" s="91">
        <v>0.2</v>
      </c>
      <c r="R65" s="89">
        <v>0.14000000000000001</v>
      </c>
      <c r="S65" s="95">
        <v>0.19193548387096776</v>
      </c>
      <c r="T65" s="95">
        <v>0.24387096774193553</v>
      </c>
      <c r="U65" s="95">
        <v>0.29580645161290325</v>
      </c>
      <c r="V65" s="95">
        <v>0.347741935483871</v>
      </c>
      <c r="W65" s="95">
        <v>0.39967741935483875</v>
      </c>
      <c r="X65" s="95">
        <v>0.45161290322580649</v>
      </c>
      <c r="AB65" s="30" t="s">
        <v>359</v>
      </c>
      <c r="AC65" s="91">
        <v>0.09</v>
      </c>
      <c r="AD65" s="30"/>
      <c r="AE65" s="30"/>
      <c r="AF65" s="30"/>
      <c r="AG65" s="30"/>
      <c r="AH65" s="30"/>
      <c r="AI65" s="30"/>
      <c r="AJ65" s="30"/>
    </row>
    <row r="66" spans="1:36">
      <c r="A66" s="30" t="s">
        <v>26</v>
      </c>
      <c r="B66" s="534">
        <f t="shared" si="17"/>
        <v>2.1999999999999999E-2</v>
      </c>
      <c r="C66" s="534">
        <f t="shared" si="17"/>
        <v>1.7000000000000001E-2</v>
      </c>
      <c r="D66" s="95">
        <v>2.7609540469091635E-2</v>
      </c>
      <c r="E66" s="167">
        <v>0.08</v>
      </c>
      <c r="F66" s="95">
        <v>0.1</v>
      </c>
      <c r="G66" s="95">
        <v>0.1</v>
      </c>
      <c r="H66" s="95">
        <v>0.1</v>
      </c>
      <c r="I66" s="95">
        <v>0.1</v>
      </c>
      <c r="L66" s="99"/>
      <c r="M66" s="99"/>
      <c r="N66" s="358"/>
      <c r="P66" s="30" t="s">
        <v>148</v>
      </c>
      <c r="Q66" s="88"/>
      <c r="R66" s="87"/>
      <c r="S66" s="167"/>
      <c r="T66" s="167"/>
      <c r="U66" s="167"/>
      <c r="V66" s="167"/>
      <c r="W66" s="167"/>
      <c r="X66" s="30"/>
      <c r="AB66" s="30" t="s">
        <v>26</v>
      </c>
      <c r="AC66" s="280">
        <v>0.1</v>
      </c>
      <c r="AD66" s="30"/>
      <c r="AE66" s="30"/>
      <c r="AF66" s="30"/>
      <c r="AG66" s="30"/>
      <c r="AH66" s="30"/>
      <c r="AI66" s="30"/>
      <c r="AJ66" s="30"/>
    </row>
    <row r="67" spans="1:36">
      <c r="A67" s="30" t="s">
        <v>25</v>
      </c>
      <c r="B67" s="534">
        <f t="shared" si="17"/>
        <v>0.11700000000000001</v>
      </c>
      <c r="C67" s="534">
        <f t="shared" si="17"/>
        <v>8.5000000000000006E-2</v>
      </c>
      <c r="D67" s="95">
        <v>0.13436266007739697</v>
      </c>
      <c r="E67" s="167">
        <v>0.2</v>
      </c>
      <c r="F67" s="95">
        <v>0.25</v>
      </c>
      <c r="G67" s="95">
        <v>0.25</v>
      </c>
      <c r="H67" s="95">
        <v>0.25</v>
      </c>
      <c r="I67" s="95">
        <v>0.25</v>
      </c>
      <c r="P67" s="169" t="s">
        <v>23</v>
      </c>
      <c r="Q67" s="91">
        <v>1</v>
      </c>
      <c r="R67" s="96">
        <v>1</v>
      </c>
      <c r="S67" s="170">
        <v>1</v>
      </c>
      <c r="T67" s="170">
        <v>1</v>
      </c>
      <c r="U67" s="170">
        <v>1</v>
      </c>
      <c r="V67" s="170">
        <v>1</v>
      </c>
      <c r="W67" s="170">
        <v>1</v>
      </c>
      <c r="X67" s="341">
        <v>1</v>
      </c>
      <c r="AB67" s="30" t="s">
        <v>25</v>
      </c>
      <c r="AC67" s="91">
        <v>0.17</v>
      </c>
      <c r="AD67" s="30"/>
      <c r="AE67" s="30"/>
      <c r="AF67" s="30"/>
      <c r="AG67" s="30"/>
      <c r="AH67" s="30"/>
      <c r="AI67" s="30"/>
      <c r="AJ67" s="30"/>
    </row>
    <row r="68" spans="1:36">
      <c r="A68" s="30" t="s">
        <v>386</v>
      </c>
      <c r="B68" s="534">
        <f t="shared" si="17"/>
        <v>0</v>
      </c>
      <c r="C68" s="534">
        <f t="shared" si="17"/>
        <v>0</v>
      </c>
      <c r="D68" s="95">
        <v>0</v>
      </c>
      <c r="E68" s="167">
        <f t="shared" si="18"/>
        <v>0</v>
      </c>
      <c r="F68" s="167">
        <v>0</v>
      </c>
      <c r="G68" s="167">
        <v>0</v>
      </c>
      <c r="H68" s="167">
        <v>0</v>
      </c>
      <c r="I68" s="167">
        <v>0</v>
      </c>
      <c r="P68" s="30" t="s">
        <v>149</v>
      </c>
      <c r="Q68" s="91">
        <v>0.38</v>
      </c>
      <c r="R68" s="96">
        <v>0.31</v>
      </c>
      <c r="S68" s="156">
        <v>0.42499999999999999</v>
      </c>
      <c r="T68" s="156">
        <v>0.54</v>
      </c>
      <c r="U68" s="156">
        <v>0.65500000000000003</v>
      </c>
      <c r="V68" s="156">
        <v>0.77</v>
      </c>
      <c r="W68" s="156">
        <v>0.88500000000000001</v>
      </c>
      <c r="X68" s="156">
        <v>1</v>
      </c>
      <c r="AB68" s="30" t="s">
        <v>386</v>
      </c>
      <c r="AC68" s="88">
        <v>0</v>
      </c>
      <c r="AD68" s="30"/>
      <c r="AE68" s="30"/>
      <c r="AF68" s="30"/>
      <c r="AG68" s="30"/>
      <c r="AH68" s="30"/>
      <c r="AI68" s="30"/>
      <c r="AJ68" s="30"/>
    </row>
    <row r="69" spans="1:36">
      <c r="A69" s="83" t="s">
        <v>23</v>
      </c>
      <c r="B69" s="91">
        <v>1</v>
      </c>
      <c r="C69" s="92">
        <v>1</v>
      </c>
      <c r="D69" s="100">
        <f>SUM(D57:D68)</f>
        <v>0.99999999999999967</v>
      </c>
      <c r="E69" s="100">
        <f t="shared" ref="E69:I69" si="20">SUM(E57:E68)</f>
        <v>1.0000000000000002</v>
      </c>
      <c r="F69" s="100">
        <f t="shared" si="20"/>
        <v>1</v>
      </c>
      <c r="G69" s="100">
        <f t="shared" si="20"/>
        <v>1</v>
      </c>
      <c r="H69" s="100">
        <f t="shared" si="20"/>
        <v>1</v>
      </c>
      <c r="I69" s="100">
        <f t="shared" si="20"/>
        <v>1</v>
      </c>
      <c r="AB69" s="83" t="s">
        <v>23</v>
      </c>
      <c r="AC69" s="91">
        <v>1</v>
      </c>
      <c r="AD69" s="83"/>
      <c r="AE69" s="83"/>
      <c r="AF69" s="83"/>
      <c r="AG69" s="83"/>
      <c r="AH69" s="83"/>
      <c r="AI69" s="83"/>
      <c r="AJ69" s="97">
        <v>1</v>
      </c>
    </row>
    <row r="70" spans="1:36">
      <c r="A70" s="30" t="s">
        <v>149</v>
      </c>
      <c r="B70" s="91">
        <f>SUM(B61:B68)</f>
        <v>0.14100000000000001</v>
      </c>
      <c r="C70" s="91">
        <f t="shared" ref="C70:I70" si="21">SUM(C61:C68)</f>
        <v>0.14100000000000001</v>
      </c>
      <c r="D70" s="91">
        <f t="shared" si="21"/>
        <v>0.24642065401407998</v>
      </c>
      <c r="E70" s="91">
        <f t="shared" si="21"/>
        <v>0.68</v>
      </c>
      <c r="F70" s="91">
        <f t="shared" si="21"/>
        <v>0.85000000000000009</v>
      </c>
      <c r="G70" s="91">
        <f t="shared" si="21"/>
        <v>1</v>
      </c>
      <c r="H70" s="91">
        <f t="shared" si="21"/>
        <v>1</v>
      </c>
      <c r="I70" s="91">
        <f t="shared" si="21"/>
        <v>1</v>
      </c>
      <c r="AB70" s="30" t="s">
        <v>149</v>
      </c>
      <c r="AC70" s="91">
        <v>0.38</v>
      </c>
      <c r="AD70" s="30"/>
      <c r="AE70" s="30"/>
      <c r="AF70" s="30"/>
      <c r="AG70" s="30"/>
      <c r="AH70" s="30"/>
      <c r="AI70" s="30"/>
      <c r="AJ70" s="93">
        <v>1</v>
      </c>
    </row>
    <row r="71" spans="1:36" ht="27.6" customHeight="1">
      <c r="A71" s="565" t="s">
        <v>656</v>
      </c>
      <c r="B71" s="565"/>
      <c r="C71" s="565"/>
      <c r="D71" s="565"/>
      <c r="E71" s="565"/>
      <c r="F71" s="565"/>
      <c r="G71" s="565"/>
      <c r="H71" s="565"/>
      <c r="I71" s="565"/>
    </row>
    <row r="75" spans="1:36">
      <c r="B75" s="563" t="s">
        <v>643</v>
      </c>
      <c r="C75" s="563"/>
      <c r="D75" s="563"/>
      <c r="E75" s="563"/>
      <c r="F75" s="563"/>
      <c r="G75" s="563"/>
      <c r="H75" s="563"/>
      <c r="I75" s="563"/>
      <c r="J75" s="563"/>
      <c r="K75" s="563"/>
      <c r="L75" s="563"/>
      <c r="M75" s="563"/>
    </row>
    <row r="78" spans="1:36">
      <c r="B78" t="s">
        <v>593</v>
      </c>
      <c r="D78">
        <v>2015</v>
      </c>
      <c r="E78">
        <v>2020</v>
      </c>
      <c r="F78">
        <v>2025</v>
      </c>
      <c r="G78">
        <v>2030</v>
      </c>
    </row>
    <row r="79" spans="1:36">
      <c r="C79" t="s">
        <v>594</v>
      </c>
      <c r="D79">
        <f>68+9.4</f>
        <v>77.400000000000006</v>
      </c>
      <c r="E79">
        <v>12</v>
      </c>
      <c r="F79">
        <f>44+18</f>
        <v>62</v>
      </c>
      <c r="G79">
        <f>44+30</f>
        <v>74</v>
      </c>
      <c r="J79" t="s">
        <v>26</v>
      </c>
      <c r="K79">
        <f>11.55+2.2+4.62+5.5+4.125+0.54+3.825+4.95+0.275</f>
        <v>37.585000000000001</v>
      </c>
      <c r="L79" s="458">
        <v>2.1000000000000001E-2</v>
      </c>
      <c r="M79">
        <f>2902*L79</f>
        <v>60.942000000000007</v>
      </c>
    </row>
    <row r="80" spans="1:36">
      <c r="C80" t="s">
        <v>26</v>
      </c>
      <c r="D80">
        <v>54</v>
      </c>
      <c r="E80">
        <v>30</v>
      </c>
      <c r="F80">
        <v>30</v>
      </c>
      <c r="G80">
        <v>30</v>
      </c>
      <c r="J80" t="s">
        <v>431</v>
      </c>
      <c r="K80">
        <f>0.1+0.1+2.1+0.2+0.192+0.248+1.998+0.959+0.02+0.02+0.056+0.66</f>
        <v>6.6529999999999996</v>
      </c>
      <c r="L80" s="458">
        <v>2E-3</v>
      </c>
      <c r="M80" s="411">
        <f>2902*L80</f>
        <v>5.8040000000000003</v>
      </c>
    </row>
    <row r="81" spans="3:13">
      <c r="C81" t="s">
        <v>431</v>
      </c>
      <c r="D81">
        <v>22</v>
      </c>
      <c r="E81">
        <v>163</v>
      </c>
      <c r="F81">
        <v>293</v>
      </c>
      <c r="G81">
        <v>293</v>
      </c>
      <c r="J81" t="s">
        <v>594</v>
      </c>
      <c r="K81">
        <f>8.3%*937.5</f>
        <v>77.8125</v>
      </c>
      <c r="M81">
        <f>11.7%*2902.8</f>
        <v>339.62759999999997</v>
      </c>
    </row>
    <row r="82" spans="3:13">
      <c r="C82" t="s">
        <v>387</v>
      </c>
      <c r="D82">
        <v>0.3</v>
      </c>
      <c r="E82">
        <v>2</v>
      </c>
      <c r="F82">
        <v>3</v>
      </c>
      <c r="G82">
        <v>4</v>
      </c>
    </row>
    <row r="83" spans="3:13">
      <c r="L83">
        <f>4%*937.5</f>
        <v>37.5</v>
      </c>
    </row>
    <row r="84" spans="3:13">
      <c r="C84" s="411" t="s">
        <v>595</v>
      </c>
      <c r="D84" s="411">
        <v>2015</v>
      </c>
      <c r="E84" s="411">
        <v>2020</v>
      </c>
      <c r="F84" s="411">
        <v>2025</v>
      </c>
      <c r="G84" s="411">
        <v>2030</v>
      </c>
    </row>
    <row r="85" spans="3:13">
      <c r="C85" s="411" t="s">
        <v>594</v>
      </c>
      <c r="D85" s="411">
        <f>68+9.4</f>
        <v>77.400000000000006</v>
      </c>
      <c r="E85" s="411">
        <f>$D$85+E79</f>
        <v>89.4</v>
      </c>
      <c r="F85" s="411">
        <f t="shared" ref="F85:G85" si="22">$D$85+F79</f>
        <v>139.4</v>
      </c>
      <c r="G85" s="411">
        <f t="shared" si="22"/>
        <v>151.4</v>
      </c>
      <c r="M85">
        <f>(M79+M80)/(K79+K80)</f>
        <v>1.5087933450879336</v>
      </c>
    </row>
    <row r="86" spans="3:13">
      <c r="C86" s="411" t="s">
        <v>26</v>
      </c>
      <c r="D86" s="411">
        <v>54</v>
      </c>
      <c r="E86" s="411">
        <f>$D$86+E80</f>
        <v>84</v>
      </c>
      <c r="F86" s="411">
        <f t="shared" ref="F86:G86" si="23">$D$86+F80</f>
        <v>84</v>
      </c>
      <c r="G86" s="411">
        <f t="shared" si="23"/>
        <v>84</v>
      </c>
    </row>
    <row r="87" spans="3:13">
      <c r="C87" s="411" t="s">
        <v>431</v>
      </c>
      <c r="D87" s="411">
        <v>22</v>
      </c>
      <c r="E87" s="411">
        <f>$D$87+E81</f>
        <v>185</v>
      </c>
      <c r="F87" s="411">
        <f t="shared" ref="F87:G87" si="24">$D$87+F81</f>
        <v>315</v>
      </c>
      <c r="G87" s="411">
        <f t="shared" si="24"/>
        <v>315</v>
      </c>
    </row>
    <row r="88" spans="3:13">
      <c r="C88" s="411" t="s">
        <v>387</v>
      </c>
      <c r="D88" s="411">
        <v>0.3</v>
      </c>
      <c r="E88" s="411">
        <f>$D$88+E82</f>
        <v>2.2999999999999998</v>
      </c>
      <c r="F88" s="411">
        <f t="shared" ref="F88:G88" si="25">$D$88+F82</f>
        <v>3.3</v>
      </c>
      <c r="G88" s="411">
        <f t="shared" si="25"/>
        <v>4.3</v>
      </c>
    </row>
    <row r="89" spans="3:13">
      <c r="E89">
        <f>SUM(E85:E88)</f>
        <v>360.7</v>
      </c>
    </row>
    <row r="90" spans="3:13">
      <c r="J90">
        <f>0.02%*3129.9</f>
        <v>0.62598000000000009</v>
      </c>
    </row>
    <row r="91" spans="3:13">
      <c r="E91">
        <f>97+78</f>
        <v>175</v>
      </c>
    </row>
    <row r="92" spans="3:13">
      <c r="C92" t="s">
        <v>12</v>
      </c>
      <c r="D92">
        <v>2015</v>
      </c>
      <c r="E92">
        <v>2019</v>
      </c>
      <c r="F92">
        <v>2020</v>
      </c>
    </row>
    <row r="93" spans="3:13">
      <c r="C93" t="s">
        <v>596</v>
      </c>
      <c r="D93">
        <f>5.9*11.63</f>
        <v>68.617000000000004</v>
      </c>
      <c r="E93">
        <f>116+57</f>
        <v>173</v>
      </c>
      <c r="F93">
        <f>17.1*11.63</f>
        <v>198.87300000000002</v>
      </c>
    </row>
    <row r="94" spans="3:13">
      <c r="D94">
        <f>D93/(D86+D87)</f>
        <v>0.90285526315789477</v>
      </c>
      <c r="E94">
        <f>E93/E91</f>
        <v>0.98857142857142855</v>
      </c>
      <c r="F94">
        <f>F93/(E87+E86)</f>
        <v>0.73930483271375469</v>
      </c>
    </row>
    <row r="96" spans="3:13">
      <c r="C96" t="s">
        <v>597</v>
      </c>
    </row>
    <row r="100" spans="2:8">
      <c r="B100" s="256" t="s">
        <v>598</v>
      </c>
      <c r="C100" s="256">
        <v>2015</v>
      </c>
      <c r="D100" s="256">
        <v>2016</v>
      </c>
      <c r="E100" s="256">
        <v>2017</v>
      </c>
      <c r="F100" s="256">
        <v>2018</v>
      </c>
      <c r="G100" s="256">
        <v>2019</v>
      </c>
      <c r="H100" s="481" t="s">
        <v>364</v>
      </c>
    </row>
    <row r="101" spans="2:8">
      <c r="B101" s="256" t="s">
        <v>26</v>
      </c>
      <c r="C101" s="529">
        <f>M79/K79</f>
        <v>1.6214447252893442</v>
      </c>
      <c r="D101" s="529">
        <f>(3129.9*1.4%)/(940.4*4%)</f>
        <v>1.1648925988940875</v>
      </c>
      <c r="E101" s="529">
        <f>3228.2*1.4%/(958.8*3.9%)</f>
        <v>1.208636864456639</v>
      </c>
      <c r="F101" s="529">
        <f>45/38</f>
        <v>1.1842105263157894</v>
      </c>
      <c r="G101" s="529">
        <f>57/37</f>
        <v>1.5405405405405406</v>
      </c>
      <c r="H101" s="529">
        <f>AVERAGE(C101:G101)</f>
        <v>1.3439450510992801</v>
      </c>
    </row>
    <row r="102" spans="2:8">
      <c r="B102" s="256" t="s">
        <v>431</v>
      </c>
      <c r="C102" s="529">
        <f>M80/K80</f>
        <v>0.87238839621223518</v>
      </c>
      <c r="D102" s="529">
        <f>3129.9*0.4%/(940.4*1%)</f>
        <v>1.3313058273075287</v>
      </c>
      <c r="E102" s="529">
        <f>3228.2*0.9%/(958.8*2.9%)</f>
        <v>1.0449052695179322</v>
      </c>
      <c r="F102" s="529">
        <f>47/48</f>
        <v>0.97916666666666663</v>
      </c>
      <c r="G102" s="529">
        <f>116/97</f>
        <v>1.1958762886597938</v>
      </c>
      <c r="H102" s="529">
        <f t="shared" ref="H102:H104" si="26">AVERAGE(C102:G102)</f>
        <v>1.0847284896728315</v>
      </c>
    </row>
    <row r="103" spans="2:8">
      <c r="B103" s="256" t="s">
        <v>599</v>
      </c>
      <c r="C103" s="529">
        <f>M85</f>
        <v>1.5087933450879336</v>
      </c>
      <c r="D103" s="529"/>
      <c r="E103" s="529"/>
      <c r="F103" s="529"/>
      <c r="G103" s="529"/>
      <c r="H103" s="529">
        <f t="shared" si="26"/>
        <v>1.5087933450879336</v>
      </c>
    </row>
    <row r="104" spans="2:8">
      <c r="B104" s="256" t="s">
        <v>600</v>
      </c>
      <c r="C104" s="529">
        <f>M81/K81</f>
        <v>4.3646920481927705</v>
      </c>
      <c r="D104" s="529">
        <f>3129.9*7.4%/(940.4*8.3%)</f>
        <v>2.9673684102637692</v>
      </c>
      <c r="E104" s="529">
        <f>3228.2*11.2%/(958.8*8.1%)</f>
        <v>4.6554901445737205</v>
      </c>
      <c r="F104" s="529">
        <f>317/78</f>
        <v>4.0641025641025639</v>
      </c>
      <c r="G104" s="529">
        <f>285/78</f>
        <v>3.6538461538461537</v>
      </c>
      <c r="H104" s="529">
        <f t="shared" si="26"/>
        <v>3.9410998641957962</v>
      </c>
    </row>
    <row r="105" spans="2:8">
      <c r="B105" s="256" t="s">
        <v>387</v>
      </c>
      <c r="C105" s="529">
        <f>(2902.8*0.01%)/(937.5*0.04%)</f>
        <v>0.7740800000000001</v>
      </c>
      <c r="D105" s="529">
        <f>0.02%*3129.9/(0.04%*940.4)</f>
        <v>1.6641322841344111</v>
      </c>
      <c r="E105" s="529">
        <f>3228.2*0.01%/(958.8*0.04%)</f>
        <v>0.84172924488944512</v>
      </c>
      <c r="F105" s="529"/>
      <c r="G105" s="529"/>
      <c r="H105" s="529">
        <f>AVERAGE(C105:G105)</f>
        <v>1.0933138430079521</v>
      </c>
    </row>
    <row r="106" spans="2:8">
      <c r="B106" t="s">
        <v>601</v>
      </c>
    </row>
  </sheetData>
  <mergeCells count="24">
    <mergeCell ref="AB52:AJ52"/>
    <mergeCell ref="A57:I57"/>
    <mergeCell ref="AB57:AJ57"/>
    <mergeCell ref="AB29:AJ29"/>
    <mergeCell ref="A35:I35"/>
    <mergeCell ref="AB35:AJ35"/>
    <mergeCell ref="A50:I50"/>
    <mergeCell ref="A29:I29"/>
    <mergeCell ref="A52:I52"/>
    <mergeCell ref="B75:M75"/>
    <mergeCell ref="P2:Y2"/>
    <mergeCell ref="A71:I71"/>
    <mergeCell ref="P35:X35"/>
    <mergeCell ref="P29:X29"/>
    <mergeCell ref="P57:X57"/>
    <mergeCell ref="P52:X52"/>
    <mergeCell ref="A2:J2"/>
    <mergeCell ref="A6:I6"/>
    <mergeCell ref="A9:L9"/>
    <mergeCell ref="A7:L7"/>
    <mergeCell ref="A23:L23"/>
    <mergeCell ref="A32:I32"/>
    <mergeCell ref="A55:I55"/>
    <mergeCell ref="A28:L28"/>
  </mergeCells>
  <pageMargins left="0.7" right="0.7" top="0.75" bottom="0.75" header="0.51180555555555496" footer="0.51180555555555496"/>
  <pageSetup paperSize="9" firstPageNumber="0"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V247"/>
  <sheetViews>
    <sheetView topLeftCell="B212" zoomScaleNormal="100" workbookViewId="0">
      <selection activeCell="A207" sqref="A207:V247"/>
    </sheetView>
  </sheetViews>
  <sheetFormatPr baseColWidth="10" defaultColWidth="8.88671875" defaultRowHeight="14.4"/>
  <cols>
    <col min="1" max="1" width="44.109375" customWidth="1"/>
    <col min="2" max="1025" width="10.44140625" customWidth="1"/>
  </cols>
  <sheetData>
    <row r="1" spans="1:13" s="410" customFormat="1">
      <c r="C1" s="410">
        <v>2019</v>
      </c>
    </row>
    <row r="2" spans="1:13" s="410" customFormat="1">
      <c r="B2" s="410" t="s">
        <v>42</v>
      </c>
      <c r="C2" s="410">
        <f>191.6*11.63</f>
        <v>2228.308</v>
      </c>
    </row>
    <row r="3" spans="1:13" s="410" customFormat="1">
      <c r="B3" s="410" t="s">
        <v>488</v>
      </c>
      <c r="C3" s="410">
        <f>17.6*11.63+271.1</f>
        <v>475.78800000000001</v>
      </c>
    </row>
    <row r="4" spans="1:13" s="410" customFormat="1">
      <c r="B4" s="410" t="s">
        <v>487</v>
      </c>
      <c r="C4" s="410">
        <f>6.2*11.63+173.2</f>
        <v>245.30599999999998</v>
      </c>
    </row>
    <row r="5" spans="1:13" s="410" customFormat="1">
      <c r="B5" s="410" t="s">
        <v>536</v>
      </c>
      <c r="C5" s="410" t="e">
        <f>#REF!</f>
        <v>#REF!</v>
      </c>
    </row>
    <row r="6" spans="1:13" ht="12.75" customHeight="1">
      <c r="A6" s="103"/>
      <c r="B6" s="103"/>
      <c r="C6" s="103"/>
      <c r="D6" s="103"/>
      <c r="E6" s="103"/>
      <c r="F6" s="103"/>
      <c r="G6" s="103"/>
      <c r="H6" s="103"/>
      <c r="I6" s="103"/>
      <c r="J6" s="103"/>
      <c r="K6" s="103"/>
      <c r="L6" s="103"/>
      <c r="M6" s="103"/>
    </row>
    <row r="7" spans="1:13" ht="12.75" customHeight="1">
      <c r="A7" s="575" t="s">
        <v>392</v>
      </c>
      <c r="B7" s="575"/>
      <c r="C7" s="575"/>
      <c r="D7" s="575"/>
      <c r="E7" s="575"/>
      <c r="F7" s="575"/>
      <c r="G7" s="575"/>
      <c r="H7" s="575"/>
      <c r="I7" s="575"/>
      <c r="J7" s="575"/>
      <c r="K7" s="575"/>
      <c r="L7" s="103"/>
      <c r="M7" s="103"/>
    </row>
    <row r="8" spans="1:13" ht="12.75" customHeight="1">
      <c r="A8" s="103"/>
      <c r="B8" s="103"/>
      <c r="C8" s="103"/>
      <c r="D8" s="103"/>
      <c r="E8" s="103"/>
      <c r="F8" s="103"/>
      <c r="G8" s="103"/>
      <c r="H8" s="103"/>
      <c r="I8" s="103"/>
      <c r="J8" s="103"/>
      <c r="K8" s="103"/>
      <c r="L8" s="103"/>
      <c r="M8" s="103"/>
    </row>
    <row r="9" spans="1:13" ht="12.75" customHeight="1">
      <c r="A9" s="105" t="s">
        <v>160</v>
      </c>
      <c r="B9" s="106" t="s">
        <v>161</v>
      </c>
      <c r="C9" s="106" t="s">
        <v>162</v>
      </c>
      <c r="D9" s="106" t="s">
        <v>163</v>
      </c>
      <c r="E9" s="106" t="s">
        <v>164</v>
      </c>
      <c r="F9" s="106" t="s">
        <v>165</v>
      </c>
      <c r="G9" s="107">
        <v>2018</v>
      </c>
      <c r="H9" s="108"/>
      <c r="I9" s="103"/>
      <c r="J9" s="103"/>
      <c r="K9" s="103"/>
      <c r="L9" s="103"/>
      <c r="M9" s="103"/>
    </row>
    <row r="10" spans="1:13" ht="12.75" customHeight="1">
      <c r="A10" s="109" t="s">
        <v>166</v>
      </c>
      <c r="B10" s="110"/>
      <c r="C10" s="110"/>
      <c r="D10" s="110"/>
      <c r="E10" s="110"/>
      <c r="F10" s="110"/>
      <c r="G10" s="110">
        <v>170000</v>
      </c>
      <c r="H10" s="108"/>
      <c r="I10" s="396"/>
      <c r="J10" s="103"/>
      <c r="K10" s="103"/>
      <c r="L10" s="103"/>
      <c r="M10" s="103"/>
    </row>
    <row r="11" spans="1:13" ht="12.75" customHeight="1">
      <c r="A11" s="109" t="s">
        <v>167</v>
      </c>
      <c r="B11" s="111"/>
      <c r="C11" s="110"/>
      <c r="D11" s="110"/>
      <c r="E11" s="110"/>
      <c r="F11" s="110"/>
      <c r="G11" s="110"/>
      <c r="H11" s="112"/>
      <c r="I11" s="396"/>
      <c r="J11" s="103"/>
      <c r="K11" s="103"/>
      <c r="L11" s="103"/>
      <c r="M11" s="103"/>
    </row>
    <row r="12" spans="1:13" ht="12.75" customHeight="1">
      <c r="A12" s="109" t="s">
        <v>168</v>
      </c>
      <c r="B12" s="111"/>
      <c r="C12" s="110"/>
      <c r="D12" s="110"/>
      <c r="E12" s="110"/>
      <c r="F12" s="110"/>
      <c r="G12" s="110"/>
      <c r="H12" s="112"/>
      <c r="I12" s="396"/>
      <c r="J12" s="103"/>
      <c r="K12" s="103"/>
      <c r="L12" s="103"/>
      <c r="M12" s="103"/>
    </row>
    <row r="13" spans="1:13" ht="12.75" customHeight="1">
      <c r="A13" s="109" t="s">
        <v>169</v>
      </c>
      <c r="B13" s="110"/>
      <c r="C13" s="110"/>
      <c r="D13" s="110"/>
      <c r="E13" s="110"/>
      <c r="F13" s="110"/>
      <c r="G13" s="110"/>
      <c r="H13" s="108"/>
      <c r="I13" s="396"/>
      <c r="J13" s="103"/>
      <c r="K13" s="103"/>
      <c r="L13" s="103"/>
      <c r="M13" s="103"/>
    </row>
    <row r="14" spans="1:13" ht="12.75" customHeight="1">
      <c r="A14" s="109" t="s">
        <v>170</v>
      </c>
      <c r="B14" s="110"/>
      <c r="C14" s="110"/>
      <c r="D14" s="110"/>
      <c r="E14" s="110"/>
      <c r="F14" s="110"/>
      <c r="G14" s="110"/>
      <c r="H14" s="108"/>
      <c r="I14" s="103"/>
      <c r="J14" s="103"/>
      <c r="K14" s="103"/>
      <c r="L14" s="103"/>
      <c r="M14" s="103"/>
    </row>
    <row r="15" spans="1:13" ht="12.75" customHeight="1">
      <c r="A15" s="109" t="s">
        <v>171</v>
      </c>
      <c r="B15" s="110"/>
      <c r="C15" s="110"/>
      <c r="D15" s="110"/>
      <c r="E15" s="110"/>
      <c r="F15" s="110"/>
      <c r="G15" s="113"/>
      <c r="H15" s="108"/>
      <c r="I15" s="103"/>
      <c r="J15" s="103"/>
      <c r="K15" s="103"/>
      <c r="L15" s="103"/>
      <c r="M15" s="103"/>
    </row>
    <row r="16" spans="1:13" ht="12.75" customHeight="1">
      <c r="A16" s="103"/>
      <c r="B16" s="103"/>
      <c r="C16" s="103"/>
      <c r="D16" s="103"/>
      <c r="E16" s="103"/>
      <c r="F16" s="103"/>
      <c r="G16" s="103"/>
      <c r="H16" s="103"/>
      <c r="I16" s="103"/>
      <c r="J16" s="103"/>
      <c r="K16" s="103"/>
      <c r="L16" s="103"/>
      <c r="M16" s="103"/>
    </row>
    <row r="17" spans="1:14" ht="12.75" customHeight="1">
      <c r="A17" s="105" t="s">
        <v>172</v>
      </c>
      <c r="B17" s="114" t="s">
        <v>161</v>
      </c>
      <c r="C17" s="114" t="s">
        <v>162</v>
      </c>
      <c r="D17" s="114" t="s">
        <v>163</v>
      </c>
      <c r="E17" s="114" t="s">
        <v>164</v>
      </c>
      <c r="F17" s="114" t="s">
        <v>165</v>
      </c>
      <c r="G17" s="114">
        <v>2018</v>
      </c>
      <c r="H17" s="114">
        <v>2019</v>
      </c>
      <c r="I17" s="114">
        <v>2020</v>
      </c>
      <c r="J17" s="390"/>
      <c r="K17" s="103"/>
      <c r="L17" s="103"/>
      <c r="M17" s="103"/>
    </row>
    <row r="18" spans="1:14" ht="12.75" customHeight="1">
      <c r="A18" s="115" t="s">
        <v>12</v>
      </c>
      <c r="B18" s="114"/>
      <c r="C18" s="291">
        <f>'Bilans d''énergie 2010-2020'!J176*11.63</f>
        <v>2239.9380000000001</v>
      </c>
      <c r="D18" s="291">
        <f>'Bilans d''énergie 2010-2020'!J150*11.63</f>
        <v>2301.5770000000002</v>
      </c>
      <c r="E18" s="292">
        <f>'Bilans d''énergie 2010-2020'!J124*11.63</f>
        <v>2335.3040000000001</v>
      </c>
      <c r="F18" s="292">
        <f>'Bilans d''énergie 2010-2020'!J98*11.63</f>
        <v>2326</v>
      </c>
      <c r="G18" s="291">
        <f>'Bilans d''énergie 2010-2020'!J72*11.63</f>
        <v>2255.0570000000002</v>
      </c>
      <c r="H18" s="291">
        <f>'Bilans d''énergie 2010-2020'!J46*11.63</f>
        <v>2228.308</v>
      </c>
      <c r="I18" s="291">
        <f>'Bilans d''énergie 2010-2020'!J20*11.63</f>
        <v>2122.4750000000004</v>
      </c>
      <c r="J18" s="103"/>
      <c r="K18" s="103"/>
      <c r="L18" s="103"/>
      <c r="M18" s="103"/>
    </row>
    <row r="19" spans="1:14" ht="12.75" customHeight="1">
      <c r="A19" s="103"/>
      <c r="B19" s="103"/>
      <c r="C19" s="103"/>
      <c r="D19" s="103"/>
      <c r="E19" s="103"/>
      <c r="F19" s="103"/>
      <c r="G19" s="103"/>
      <c r="H19" s="103"/>
      <c r="I19" s="103"/>
      <c r="J19" s="103"/>
      <c r="K19" s="103"/>
      <c r="L19" s="103"/>
      <c r="M19" s="103"/>
    </row>
    <row r="20" spans="1:14" ht="12.75" customHeight="1">
      <c r="A20" s="116" t="s">
        <v>173</v>
      </c>
      <c r="B20" s="117">
        <v>2007</v>
      </c>
      <c r="C20" s="117">
        <v>2014</v>
      </c>
      <c r="D20" s="117">
        <v>2019</v>
      </c>
      <c r="E20" s="103"/>
      <c r="F20" s="119" t="s">
        <v>174</v>
      </c>
      <c r="G20" s="115">
        <v>2014</v>
      </c>
      <c r="H20" s="115" t="s">
        <v>175</v>
      </c>
      <c r="I20" s="115" t="s">
        <v>176</v>
      </c>
      <c r="J20" s="103" t="s">
        <v>415</v>
      </c>
      <c r="K20" s="103"/>
      <c r="L20" s="103"/>
      <c r="M20" s="103">
        <v>2009</v>
      </c>
    </row>
    <row r="21" spans="1:14" ht="12.75" customHeight="1">
      <c r="A21" s="120" t="s">
        <v>177</v>
      </c>
      <c r="B21" s="121"/>
      <c r="C21" s="122">
        <f>90486+60</f>
        <v>90546</v>
      </c>
      <c r="D21" s="122">
        <f>93921+15</f>
        <v>93936</v>
      </c>
      <c r="E21" s="103"/>
      <c r="F21" s="115" t="s">
        <v>178</v>
      </c>
      <c r="G21" s="288"/>
      <c r="H21" s="288"/>
      <c r="I21" s="115"/>
      <c r="J21" s="103"/>
      <c r="K21" s="103"/>
      <c r="L21" s="103" t="s">
        <v>505</v>
      </c>
      <c r="M21" s="103">
        <v>3.3</v>
      </c>
    </row>
    <row r="22" spans="1:14" ht="12.75" customHeight="1">
      <c r="A22" s="120" t="s">
        <v>179</v>
      </c>
      <c r="B22" s="121"/>
      <c r="C22" s="122">
        <f>130568+5355</f>
        <v>135923</v>
      </c>
      <c r="D22" s="122">
        <f>125772+6179</f>
        <v>131951</v>
      </c>
      <c r="E22" s="103"/>
      <c r="F22" s="115" t="s">
        <v>180</v>
      </c>
      <c r="G22" s="288"/>
      <c r="H22" s="288"/>
      <c r="I22" s="115"/>
      <c r="J22" s="103"/>
      <c r="K22" s="103"/>
      <c r="L22" s="103" t="s">
        <v>506</v>
      </c>
      <c r="M22" s="389">
        <v>0.77</v>
      </c>
    </row>
    <row r="23" spans="1:14" ht="12.75" customHeight="1">
      <c r="A23" s="120" t="s">
        <v>181</v>
      </c>
      <c r="B23" s="123">
        <v>0.97933325132242599</v>
      </c>
      <c r="C23" s="124">
        <v>1.06049689109492</v>
      </c>
      <c r="D23" s="118"/>
      <c r="E23" s="103"/>
      <c r="F23" s="115" t="s">
        <v>182</v>
      </c>
      <c r="G23" s="288"/>
      <c r="H23" s="288"/>
      <c r="I23" s="289">
        <v>0.7</v>
      </c>
      <c r="J23" s="103"/>
      <c r="K23" s="103"/>
      <c r="L23" s="103"/>
      <c r="M23" s="103"/>
    </row>
    <row r="24" spans="1:14" ht="12.75" customHeight="1">
      <c r="A24" s="120" t="s">
        <v>183</v>
      </c>
      <c r="B24" s="123">
        <v>1.27313322671915</v>
      </c>
      <c r="C24" s="124">
        <v>1.1003735341418599</v>
      </c>
      <c r="D24" s="118"/>
      <c r="E24" s="103"/>
      <c r="F24" s="115" t="s">
        <v>184</v>
      </c>
      <c r="G24" s="288"/>
      <c r="H24" s="288"/>
      <c r="I24" s="289">
        <v>0.3</v>
      </c>
      <c r="J24" s="103"/>
      <c r="K24" s="103"/>
      <c r="L24" s="103"/>
      <c r="M24" s="103"/>
    </row>
    <row r="25" spans="1:14" ht="12.75" customHeight="1">
      <c r="A25" s="120" t="s">
        <v>185</v>
      </c>
      <c r="B25" s="123">
        <v>1.67857212631001</v>
      </c>
      <c r="C25" s="126">
        <v>1.45079580375072</v>
      </c>
      <c r="D25" s="118"/>
      <c r="E25" s="103"/>
      <c r="F25" s="115" t="s">
        <v>186</v>
      </c>
      <c r="G25" s="290"/>
      <c r="H25" s="290"/>
      <c r="I25" s="289">
        <v>1</v>
      </c>
      <c r="J25" s="103"/>
      <c r="K25" s="103"/>
      <c r="L25" s="103"/>
      <c r="M25" s="390"/>
    </row>
    <row r="26" spans="1:14" ht="12.75" customHeight="1">
      <c r="A26" s="120" t="s">
        <v>187</v>
      </c>
      <c r="B26" s="127">
        <v>1</v>
      </c>
      <c r="C26" s="126">
        <v>0.86430352381698905</v>
      </c>
      <c r="D26" s="118"/>
      <c r="E26" s="103"/>
      <c r="F26" s="581" t="s">
        <v>393</v>
      </c>
      <c r="G26" s="581"/>
      <c r="H26" s="581"/>
      <c r="I26" s="581"/>
      <c r="J26" s="103"/>
      <c r="K26" s="103"/>
      <c r="L26" s="103"/>
      <c r="M26" s="103"/>
    </row>
    <row r="27" spans="1:14" ht="12.75" customHeight="1">
      <c r="A27" s="103"/>
      <c r="B27" s="103"/>
      <c r="C27" s="103"/>
      <c r="D27" s="104"/>
      <c r="E27" s="103"/>
      <c r="F27" s="103"/>
      <c r="G27" s="103"/>
      <c r="H27" s="103"/>
      <c r="I27" s="103"/>
      <c r="J27" s="103"/>
      <c r="K27" s="103"/>
      <c r="L27" s="103"/>
      <c r="M27" s="103"/>
    </row>
    <row r="28" spans="1:14" ht="12.75" customHeight="1">
      <c r="A28" s="575" t="s">
        <v>150</v>
      </c>
      <c r="B28" s="575"/>
      <c r="C28" s="575"/>
      <c r="D28" s="575"/>
      <c r="E28" s="575"/>
      <c r="F28" s="575"/>
      <c r="G28" s="575"/>
      <c r="H28" s="575"/>
      <c r="I28" s="575"/>
      <c r="J28" s="575"/>
      <c r="K28" s="575"/>
      <c r="L28" s="103"/>
      <c r="M28" s="103"/>
    </row>
    <row r="29" spans="1:14" ht="12.75" customHeight="1">
      <c r="A29" s="128"/>
      <c r="B29" s="128"/>
      <c r="C29" s="128"/>
      <c r="D29" s="128"/>
      <c r="E29" s="128"/>
      <c r="F29" s="128"/>
      <c r="G29" s="128"/>
      <c r="H29" s="128"/>
      <c r="I29" s="128"/>
      <c r="J29" s="128"/>
      <c r="K29" s="103"/>
      <c r="L29" s="103"/>
      <c r="M29" s="103"/>
      <c r="N29" s="409"/>
    </row>
    <row r="30" spans="1:14" ht="12.75" customHeight="1">
      <c r="A30" s="129" t="s">
        <v>188</v>
      </c>
      <c r="B30" s="1">
        <v>2015</v>
      </c>
      <c r="C30" s="1">
        <v>2018</v>
      </c>
      <c r="D30" s="1">
        <v>2019</v>
      </c>
      <c r="E30" s="1">
        <v>2020</v>
      </c>
      <c r="F30" s="1">
        <v>2025</v>
      </c>
      <c r="G30" s="1">
        <v>2030</v>
      </c>
      <c r="H30" s="1">
        <v>2035</v>
      </c>
      <c r="I30" s="1">
        <v>2040</v>
      </c>
      <c r="J30" s="1">
        <v>2045</v>
      </c>
      <c r="K30" s="1">
        <v>2050</v>
      </c>
      <c r="L30" s="103"/>
      <c r="M30" s="103"/>
    </row>
    <row r="31" spans="1:14" ht="12.75" customHeight="1">
      <c r="A31" s="130" t="s">
        <v>189</v>
      </c>
      <c r="B31" s="131">
        <f>'Cadrage macroéconomique '!$G$5</f>
        <v>270200</v>
      </c>
      <c r="C31" s="131">
        <f>'Cadrage macroéconomique '!$J$5</f>
        <v>282200</v>
      </c>
      <c r="D31" s="131">
        <f>'Cadrage macroéconomique '!$K$5</f>
        <v>271407</v>
      </c>
      <c r="E31" s="131">
        <f>'Cadrage macroéconomique '!$L$5</f>
        <v>271407</v>
      </c>
      <c r="F31" s="131">
        <f>'Cadrage macroéconomique '!$C$15*1000*1000</f>
        <v>298870</v>
      </c>
      <c r="G31" s="131">
        <f>'Cadrage macroéconomique '!$D$15*1000000</f>
        <v>312530</v>
      </c>
      <c r="H31" s="131">
        <f>'Cadrage macroéconomique '!$E$15*1000000</f>
        <v>324860</v>
      </c>
      <c r="I31" s="131">
        <f>'Cadrage macroéconomique '!$F$15*1000000</f>
        <v>335890</v>
      </c>
      <c r="J31" s="131">
        <f>'Cadrage macroéconomique '!$G$15*1000000</f>
        <v>345420</v>
      </c>
      <c r="K31" s="131">
        <f>'Cadrage macroéconomique '!$H$15*1000000</f>
        <v>353190</v>
      </c>
      <c r="L31" s="125"/>
      <c r="M31" s="103"/>
    </row>
    <row r="32" spans="1:14" ht="12.75" customHeight="1">
      <c r="A32" s="132" t="s">
        <v>190</v>
      </c>
      <c r="B32" s="133"/>
      <c r="C32" s="156">
        <v>1</v>
      </c>
      <c r="D32" s="133">
        <f t="shared" ref="D32:K32" si="0">C32</f>
        <v>1</v>
      </c>
      <c r="E32" s="133">
        <f t="shared" si="0"/>
        <v>1</v>
      </c>
      <c r="F32" s="133">
        <f t="shared" si="0"/>
        <v>1</v>
      </c>
      <c r="G32" s="133">
        <f t="shared" si="0"/>
        <v>1</v>
      </c>
      <c r="H32" s="133">
        <f t="shared" si="0"/>
        <v>1</v>
      </c>
      <c r="I32" s="133">
        <f t="shared" si="0"/>
        <v>1</v>
      </c>
      <c r="J32" s="133">
        <f t="shared" si="0"/>
        <v>1</v>
      </c>
      <c r="K32" s="133">
        <f t="shared" si="0"/>
        <v>1</v>
      </c>
      <c r="L32" s="103"/>
      <c r="M32" s="103"/>
    </row>
    <row r="33" spans="1:13" ht="12.75" customHeight="1">
      <c r="A33" s="132" t="s">
        <v>191</v>
      </c>
      <c r="B33" s="134"/>
      <c r="C33" s="385">
        <f>C31*C32*100/$C$31</f>
        <v>100</v>
      </c>
      <c r="D33" s="385">
        <f t="shared" ref="D33:K33" si="1">D31*D32*100/$C$31</f>
        <v>96.175407512402558</v>
      </c>
      <c r="E33" s="385">
        <f t="shared" si="1"/>
        <v>96.175407512402558</v>
      </c>
      <c r="F33" s="385">
        <f t="shared" si="1"/>
        <v>105.90715804394047</v>
      </c>
      <c r="G33" s="385">
        <f t="shared" si="1"/>
        <v>110.74769666902905</v>
      </c>
      <c r="H33" s="385">
        <f t="shared" si="1"/>
        <v>115.1169383416017</v>
      </c>
      <c r="I33" s="385">
        <f t="shared" si="1"/>
        <v>119.02551381998583</v>
      </c>
      <c r="J33" s="385">
        <f t="shared" si="1"/>
        <v>122.40255138199858</v>
      </c>
      <c r="K33" s="385">
        <f t="shared" si="1"/>
        <v>125.15591778880227</v>
      </c>
      <c r="L33" s="103"/>
      <c r="M33" s="103"/>
    </row>
    <row r="34" spans="1:13" ht="12.75" customHeight="1">
      <c r="A34" s="132" t="s">
        <v>192</v>
      </c>
      <c r="B34" s="1"/>
      <c r="C34" s="135">
        <f>C31*C32*100/$C$31</f>
        <v>100</v>
      </c>
      <c r="D34" s="135">
        <f t="shared" ref="D34:K34" si="2">D31*D32*100/$C$31</f>
        <v>96.175407512402558</v>
      </c>
      <c r="E34" s="135">
        <f t="shared" si="2"/>
        <v>96.175407512402558</v>
      </c>
      <c r="F34" s="135">
        <f t="shared" si="2"/>
        <v>105.90715804394047</v>
      </c>
      <c r="G34" s="135">
        <f t="shared" si="2"/>
        <v>110.74769666902905</v>
      </c>
      <c r="H34" s="135">
        <f t="shared" si="2"/>
        <v>115.1169383416017</v>
      </c>
      <c r="I34" s="135">
        <f t="shared" si="2"/>
        <v>119.02551381998583</v>
      </c>
      <c r="J34" s="135">
        <f t="shared" si="2"/>
        <v>122.40255138199858</v>
      </c>
      <c r="K34" s="135">
        <f t="shared" si="2"/>
        <v>125.15591778880227</v>
      </c>
      <c r="L34" s="103"/>
      <c r="M34" s="103"/>
    </row>
    <row r="35" spans="1:13" ht="12.75" customHeight="1">
      <c r="A35" s="581" t="s">
        <v>390</v>
      </c>
      <c r="B35" s="581"/>
      <c r="C35" s="581"/>
      <c r="D35" s="581"/>
      <c r="E35" s="581"/>
      <c r="F35" s="581"/>
      <c r="G35" s="581"/>
      <c r="H35" s="581"/>
      <c r="I35" s="581"/>
      <c r="J35" s="581"/>
      <c r="K35" s="581"/>
      <c r="L35" s="103"/>
      <c r="M35" s="103"/>
    </row>
    <row r="36" spans="1:13" ht="12.75" customHeight="1">
      <c r="A36" s="129" t="s">
        <v>193</v>
      </c>
      <c r="B36" s="1">
        <v>2015</v>
      </c>
      <c r="C36" s="1">
        <v>2018</v>
      </c>
      <c r="D36" s="1">
        <v>2019</v>
      </c>
      <c r="E36" s="1">
        <v>2020</v>
      </c>
      <c r="F36" s="1">
        <v>2025</v>
      </c>
      <c r="G36" s="1">
        <v>2030</v>
      </c>
      <c r="H36" s="1">
        <v>2035</v>
      </c>
      <c r="I36" s="1">
        <v>2040</v>
      </c>
      <c r="J36" s="1">
        <v>2045</v>
      </c>
      <c r="K36" s="1">
        <v>2050</v>
      </c>
      <c r="L36" s="103"/>
      <c r="M36" s="103"/>
    </row>
    <row r="37" spans="1:13" ht="12.75" customHeight="1">
      <c r="A37" s="130" t="s">
        <v>194</v>
      </c>
      <c r="B37" s="136">
        <f>1</f>
        <v>1</v>
      </c>
      <c r="C37" s="136">
        <f>1</f>
        <v>1</v>
      </c>
      <c r="D37" s="136">
        <f>1</f>
        <v>1</v>
      </c>
      <c r="E37" s="136">
        <f>1</f>
        <v>1</v>
      </c>
      <c r="F37" s="136">
        <f>0.5*D37+0.5*G37</f>
        <v>1.0150000000000001</v>
      </c>
      <c r="G37" s="136">
        <v>1.03</v>
      </c>
      <c r="H37" s="136">
        <f>0.75*G37+0.25*K37</f>
        <v>1.0474999999999999</v>
      </c>
      <c r="I37" s="136">
        <f>0.5*G37+0.5*K37</f>
        <v>1.0649999999999999</v>
      </c>
      <c r="J37" s="136">
        <f>0.25*G37+0.75*K37</f>
        <v>1.0825</v>
      </c>
      <c r="K37" s="136">
        <v>1.1000000000000001</v>
      </c>
      <c r="L37" s="103"/>
      <c r="M37" s="103"/>
    </row>
    <row r="38" spans="1:13" ht="12.75" customHeight="1">
      <c r="A38" s="130" t="s">
        <v>195</v>
      </c>
      <c r="B38" s="137">
        <f>0%</f>
        <v>0</v>
      </c>
      <c r="C38" s="137">
        <f>0%</f>
        <v>0</v>
      </c>
      <c r="D38" s="137">
        <f>0%</f>
        <v>0</v>
      </c>
      <c r="E38" s="137">
        <f>0%</f>
        <v>0</v>
      </c>
      <c r="F38" s="137">
        <v>4.6713653383253402E-2</v>
      </c>
      <c r="G38" s="137">
        <f>18500/(G10*G33/100)</f>
        <v>9.8262566793587816E-2</v>
      </c>
      <c r="H38" s="137">
        <v>0.1</v>
      </c>
      <c r="I38" s="137">
        <v>0.1</v>
      </c>
      <c r="J38" s="137">
        <v>0.1</v>
      </c>
      <c r="K38" s="137">
        <v>0.1</v>
      </c>
      <c r="L38" s="103" t="s">
        <v>636</v>
      </c>
      <c r="M38" s="103"/>
    </row>
    <row r="39" spans="1:13" ht="12.75" customHeight="1">
      <c r="A39" s="130" t="s">
        <v>196</v>
      </c>
      <c r="B39" s="137"/>
      <c r="C39" s="137"/>
      <c r="D39" s="137"/>
      <c r="E39" s="137">
        <v>0.99272954898911403</v>
      </c>
      <c r="F39" s="137">
        <v>0.90069945087288505</v>
      </c>
      <c r="G39" s="137">
        <v>0.84416717546272102</v>
      </c>
      <c r="H39" s="137">
        <v>0.80593952326986795</v>
      </c>
      <c r="I39" s="137">
        <v>0.77853415799552395</v>
      </c>
      <c r="J39" s="137">
        <v>0.76285818755827595</v>
      </c>
      <c r="K39" s="137">
        <v>0.76205287713841396</v>
      </c>
      <c r="L39" s="103"/>
      <c r="M39" s="103"/>
    </row>
    <row r="40" spans="1:13" ht="12.75" customHeight="1">
      <c r="A40" s="130" t="s">
        <v>197</v>
      </c>
      <c r="B40" s="138"/>
      <c r="C40" s="138"/>
      <c r="D40" s="138"/>
      <c r="E40" s="139">
        <v>0.3</v>
      </c>
      <c r="F40" s="139">
        <v>0.3</v>
      </c>
      <c r="G40" s="139">
        <v>0.3</v>
      </c>
      <c r="H40" s="139">
        <v>0.3</v>
      </c>
      <c r="I40" s="139">
        <v>0.3</v>
      </c>
      <c r="J40" s="139">
        <v>0.3</v>
      </c>
      <c r="K40" s="139">
        <v>0.3</v>
      </c>
      <c r="L40" s="103"/>
      <c r="M40" s="103"/>
    </row>
    <row r="41" spans="1:13" ht="12.75" customHeight="1">
      <c r="A41" s="140" t="s">
        <v>198</v>
      </c>
      <c r="B41" s="329">
        <f>B51*I23</f>
        <v>1611.1039000000001</v>
      </c>
      <c r="C41" s="329">
        <f>C51*I23</f>
        <v>1578.5399</v>
      </c>
      <c r="D41" s="329">
        <f>D51*I23</f>
        <v>1559.8155999999999</v>
      </c>
      <c r="E41" s="329">
        <f>E51*I23</f>
        <v>1485.7325000000001</v>
      </c>
      <c r="F41" s="141">
        <f t="shared" ref="F41:K41" si="3">$D41*(F31/$D31)*(F32/$D32)*F37*(1-F38)*F39</f>
        <v>1496.938132523283</v>
      </c>
      <c r="G41" s="141">
        <f t="shared" si="3"/>
        <v>1408.2822687254354</v>
      </c>
      <c r="H41" s="141">
        <f t="shared" si="3"/>
        <v>1418.5591521384467</v>
      </c>
      <c r="I41" s="141">
        <f t="shared" si="3"/>
        <v>1440.5192902540277</v>
      </c>
      <c r="J41" s="141">
        <f t="shared" si="3"/>
        <v>1475.4140708806374</v>
      </c>
      <c r="K41" s="141">
        <f t="shared" si="3"/>
        <v>1531.3727519879055</v>
      </c>
      <c r="L41" s="142"/>
      <c r="M41" s="142"/>
    </row>
    <row r="42" spans="1:13" ht="12.75" customHeight="1">
      <c r="A42" s="140" t="s">
        <v>199</v>
      </c>
      <c r="B42" s="141">
        <f>0</f>
        <v>0</v>
      </c>
      <c r="C42" s="141">
        <f>0</f>
        <v>0</v>
      </c>
      <c r="D42" s="141">
        <f>0</f>
        <v>0</v>
      </c>
      <c r="E42" s="141">
        <f>0</f>
        <v>0</v>
      </c>
      <c r="F42" s="141">
        <f t="shared" ref="F42:K42" si="4">$D41*(F31/$D31)*(F32/$D32)*F37*F38*F40</f>
        <v>24.432374091717801</v>
      </c>
      <c r="G42" s="141">
        <f t="shared" si="4"/>
        <v>54.536907878146103</v>
      </c>
      <c r="H42" s="141">
        <f t="shared" si="4"/>
        <v>58.671033875389341</v>
      </c>
      <c r="I42" s="141">
        <f t="shared" si="4"/>
        <v>61.676561242686439</v>
      </c>
      <c r="J42" s="141">
        <f t="shared" si="4"/>
        <v>64.468691339302964</v>
      </c>
      <c r="K42" s="141">
        <f t="shared" si="4"/>
        <v>66.984536022328086</v>
      </c>
      <c r="L42" s="142"/>
      <c r="M42" s="142"/>
    </row>
    <row r="43" spans="1:13" ht="12.75" customHeight="1">
      <c r="A43" s="130" t="s">
        <v>200</v>
      </c>
      <c r="B43" s="136">
        <f>1</f>
        <v>1</v>
      </c>
      <c r="C43" s="136">
        <f>1</f>
        <v>1</v>
      </c>
      <c r="D43" s="136">
        <f>1</f>
        <v>1</v>
      </c>
      <c r="E43" s="136">
        <f>1</f>
        <v>1</v>
      </c>
      <c r="F43" s="136">
        <f>1</f>
        <v>1</v>
      </c>
      <c r="G43" s="136">
        <f>1</f>
        <v>1</v>
      </c>
      <c r="H43" s="136">
        <f>1</f>
        <v>1</v>
      </c>
      <c r="I43" s="136">
        <f>1</f>
        <v>1</v>
      </c>
      <c r="J43" s="136">
        <f>1</f>
        <v>1</v>
      </c>
      <c r="K43" s="136">
        <f>1</f>
        <v>1</v>
      </c>
      <c r="L43" s="103"/>
      <c r="M43" s="103"/>
    </row>
    <row r="44" spans="1:13" ht="12.75" customHeight="1">
      <c r="A44" s="130" t="s">
        <v>201</v>
      </c>
      <c r="B44" s="137">
        <f>0%</f>
        <v>0</v>
      </c>
      <c r="C44" s="137">
        <f>0%</f>
        <v>0</v>
      </c>
      <c r="D44" s="137">
        <f>0%</f>
        <v>0</v>
      </c>
      <c r="E44" s="137">
        <f>0%</f>
        <v>0</v>
      </c>
      <c r="F44" s="143">
        <v>5.7459674346041004E-3</v>
      </c>
      <c r="G44" s="143">
        <v>2.74023721123305E-2</v>
      </c>
      <c r="H44" s="143">
        <v>6.1820690272617398E-2</v>
      </c>
      <c r="I44" s="143">
        <v>9.3100000000000002E-2</v>
      </c>
      <c r="J44" s="143">
        <v>0.10829999999999999</v>
      </c>
      <c r="K44" s="143">
        <v>0.11</v>
      </c>
      <c r="L44" s="103"/>
      <c r="M44" s="103"/>
    </row>
    <row r="45" spans="1:13" ht="12.75" customHeight="1">
      <c r="A45" s="130" t="s">
        <v>202</v>
      </c>
      <c r="B45" s="138"/>
      <c r="C45" s="138"/>
      <c r="D45" s="138"/>
      <c r="E45" s="137">
        <v>0.99</v>
      </c>
      <c r="F45" s="137">
        <v>0.95146261136309096</v>
      </c>
      <c r="G45" s="137">
        <v>0.82840277834767595</v>
      </c>
      <c r="H45" s="137">
        <v>0.75636775414352997</v>
      </c>
      <c r="I45" s="137">
        <v>0.69934002664858097</v>
      </c>
      <c r="J45" s="137">
        <v>0.67232689257202705</v>
      </c>
      <c r="K45" s="137">
        <v>0.66332251454650903</v>
      </c>
      <c r="L45" s="103"/>
      <c r="M45" s="103"/>
    </row>
    <row r="46" spans="1:13" ht="12.75" customHeight="1">
      <c r="A46" s="130" t="s">
        <v>203</v>
      </c>
      <c r="B46" s="138"/>
      <c r="C46" s="138"/>
      <c r="D46" s="138"/>
      <c r="E46" s="139">
        <v>0.4</v>
      </c>
      <c r="F46" s="139">
        <f t="shared" ref="F46:K46" si="5">E46</f>
        <v>0.4</v>
      </c>
      <c r="G46" s="139">
        <f t="shared" si="5"/>
        <v>0.4</v>
      </c>
      <c r="H46" s="139">
        <f t="shared" si="5"/>
        <v>0.4</v>
      </c>
      <c r="I46" s="139">
        <f t="shared" si="5"/>
        <v>0.4</v>
      </c>
      <c r="J46" s="139">
        <f t="shared" si="5"/>
        <v>0.4</v>
      </c>
      <c r="K46" s="139">
        <f t="shared" si="5"/>
        <v>0.4</v>
      </c>
      <c r="L46" s="103"/>
      <c r="M46" s="103"/>
    </row>
    <row r="47" spans="1:13" ht="12.75" customHeight="1">
      <c r="A47" s="140" t="s">
        <v>204</v>
      </c>
      <c r="B47" s="329">
        <f>B51*I24</f>
        <v>690.47310000000004</v>
      </c>
      <c r="C47" s="329">
        <f>C51*I24</f>
        <v>676.51710000000003</v>
      </c>
      <c r="D47" s="329">
        <f>D51*I24</f>
        <v>668.49239999999998</v>
      </c>
      <c r="E47" s="329">
        <f>E51*I24</f>
        <v>636.74250000000006</v>
      </c>
      <c r="F47" s="141">
        <f t="shared" ref="F47:K47" si="6">$D47*(F34/$D34)*F43*(1-F44)*F45</f>
        <v>696.38088434510973</v>
      </c>
      <c r="G47" s="141">
        <f t="shared" si="6"/>
        <v>620.21446995458825</v>
      </c>
      <c r="H47" s="141">
        <f t="shared" si="6"/>
        <v>567.79364320134152</v>
      </c>
      <c r="I47" s="141">
        <f t="shared" si="6"/>
        <v>524.71114838136714</v>
      </c>
      <c r="J47" s="141">
        <f t="shared" si="6"/>
        <v>510.06104829956092</v>
      </c>
      <c r="K47" s="141">
        <f t="shared" si="6"/>
        <v>513.56873083578023</v>
      </c>
      <c r="L47" s="142"/>
      <c r="M47" s="142"/>
    </row>
    <row r="48" spans="1:13" ht="12.75" customHeight="1">
      <c r="A48" s="140" t="s">
        <v>205</v>
      </c>
      <c r="B48" s="141">
        <f>0</f>
        <v>0</v>
      </c>
      <c r="C48" s="141">
        <f>0</f>
        <v>0</v>
      </c>
      <c r="D48" s="141">
        <f>0</f>
        <v>0</v>
      </c>
      <c r="E48" s="141">
        <f>0</f>
        <v>0</v>
      </c>
      <c r="F48" s="141">
        <f t="shared" ref="F48:K48" si="7">$D47*(F34/$D34)*F43*F44*F46</f>
        <v>1.6919242097964056</v>
      </c>
      <c r="G48" s="141">
        <f t="shared" si="7"/>
        <v>8.4375292704797573</v>
      </c>
      <c r="H48" s="141">
        <f t="shared" si="7"/>
        <v>19.786341974413578</v>
      </c>
      <c r="I48" s="141">
        <f t="shared" si="7"/>
        <v>30.809324489304402</v>
      </c>
      <c r="J48" s="141">
        <f t="shared" si="7"/>
        <v>36.856268014762172</v>
      </c>
      <c r="K48" s="141">
        <f t="shared" si="7"/>
        <v>38.276877727044621</v>
      </c>
      <c r="L48" s="142"/>
      <c r="M48" s="142"/>
    </row>
    <row r="49" spans="1:13" ht="12.75" customHeight="1">
      <c r="A49" s="144" t="s">
        <v>206</v>
      </c>
      <c r="B49" s="138">
        <f t="shared" ref="B49:K49" si="8">B41+B47</f>
        <v>2301.5770000000002</v>
      </c>
      <c r="C49" s="138">
        <f t="shared" si="8"/>
        <v>2255.0569999999998</v>
      </c>
      <c r="D49" s="138">
        <f t="shared" si="8"/>
        <v>2228.308</v>
      </c>
      <c r="E49" s="138">
        <f t="shared" si="8"/>
        <v>2122.4750000000004</v>
      </c>
      <c r="F49" s="145">
        <f t="shared" si="8"/>
        <v>2193.3190168683927</v>
      </c>
      <c r="G49" s="145">
        <f t="shared" si="8"/>
        <v>2028.4967386800236</v>
      </c>
      <c r="H49" s="145">
        <f t="shared" si="8"/>
        <v>1986.3527953397884</v>
      </c>
      <c r="I49" s="145">
        <f t="shared" si="8"/>
        <v>1965.2304386353949</v>
      </c>
      <c r="J49" s="145">
        <f t="shared" si="8"/>
        <v>1985.4751191801984</v>
      </c>
      <c r="K49" s="145">
        <f t="shared" si="8"/>
        <v>2044.9414828236859</v>
      </c>
      <c r="L49" s="103"/>
      <c r="M49" s="103"/>
    </row>
    <row r="50" spans="1:13" ht="12.75" customHeight="1">
      <c r="A50" s="144" t="s">
        <v>207</v>
      </c>
      <c r="B50" s="138">
        <f t="shared" ref="B50:K50" si="9">B42+B48</f>
        <v>0</v>
      </c>
      <c r="C50" s="138">
        <f t="shared" si="9"/>
        <v>0</v>
      </c>
      <c r="D50" s="138">
        <f t="shared" si="9"/>
        <v>0</v>
      </c>
      <c r="E50" s="138">
        <f t="shared" si="9"/>
        <v>0</v>
      </c>
      <c r="F50" s="145">
        <f t="shared" si="9"/>
        <v>26.124298301514205</v>
      </c>
      <c r="G50" s="145">
        <f t="shared" si="9"/>
        <v>62.97443714862586</v>
      </c>
      <c r="H50" s="145">
        <f t="shared" si="9"/>
        <v>78.457375849802915</v>
      </c>
      <c r="I50" s="145">
        <f t="shared" si="9"/>
        <v>92.485885731990834</v>
      </c>
      <c r="J50" s="145">
        <f t="shared" si="9"/>
        <v>101.32495935406513</v>
      </c>
      <c r="K50" s="145">
        <f t="shared" si="9"/>
        <v>105.26141374937271</v>
      </c>
      <c r="L50" s="103"/>
      <c r="M50" s="103"/>
    </row>
    <row r="51" spans="1:13" ht="12.75" customHeight="1">
      <c r="A51" s="144" t="s">
        <v>208</v>
      </c>
      <c r="B51" s="330">
        <f>D18</f>
        <v>2301.5770000000002</v>
      </c>
      <c r="C51" s="330">
        <f>G18</f>
        <v>2255.0570000000002</v>
      </c>
      <c r="D51" s="330">
        <f>H18</f>
        <v>2228.308</v>
      </c>
      <c r="E51" s="330">
        <f>I18</f>
        <v>2122.4750000000004</v>
      </c>
      <c r="F51" s="145">
        <f t="shared" ref="F51:K51" si="10">F49+F50</f>
        <v>2219.4433151699068</v>
      </c>
      <c r="G51" s="145">
        <f t="shared" si="10"/>
        <v>2091.4711758286494</v>
      </c>
      <c r="H51" s="145">
        <f t="shared" si="10"/>
        <v>2064.8101711895911</v>
      </c>
      <c r="I51" s="145">
        <f t="shared" si="10"/>
        <v>2057.7163243673858</v>
      </c>
      <c r="J51" s="145">
        <f t="shared" si="10"/>
        <v>2086.8000785342633</v>
      </c>
      <c r="K51" s="145">
        <f t="shared" si="10"/>
        <v>2150.2028965730588</v>
      </c>
      <c r="L51" s="103"/>
      <c r="M51" s="103"/>
    </row>
    <row r="52" spans="1:13" ht="12.75" customHeight="1">
      <c r="A52" s="130" t="s">
        <v>209</v>
      </c>
      <c r="B52" s="146"/>
      <c r="C52" s="146"/>
      <c r="D52" s="146"/>
      <c r="E52" s="146"/>
      <c r="F52" s="147">
        <f t="shared" ref="F52:K52" si="11">F51/$D51-1</f>
        <v>-3.978213438220024E-3</v>
      </c>
      <c r="G52" s="147">
        <f t="shared" si="11"/>
        <v>-6.1408397838786488E-2</v>
      </c>
      <c r="H52" s="147">
        <f t="shared" si="11"/>
        <v>-7.3373083438379672E-2</v>
      </c>
      <c r="I52" s="147">
        <f t="shared" si="11"/>
        <v>-7.6556596140486044E-2</v>
      </c>
      <c r="J52" s="147">
        <f t="shared" si="11"/>
        <v>-6.3504650822838071E-2</v>
      </c>
      <c r="K52" s="147">
        <f t="shared" si="11"/>
        <v>-3.505130503814613E-2</v>
      </c>
      <c r="L52" s="103"/>
      <c r="M52" s="103"/>
    </row>
    <row r="53" spans="1:13" ht="12.75" customHeight="1">
      <c r="A53" s="581" t="s">
        <v>644</v>
      </c>
      <c r="B53" s="581"/>
      <c r="C53" s="581"/>
      <c r="D53" s="581"/>
      <c r="E53" s="581"/>
      <c r="F53" s="581"/>
      <c r="G53" s="581"/>
      <c r="H53" s="581"/>
      <c r="I53" s="581"/>
      <c r="J53" s="581"/>
      <c r="K53" s="581"/>
      <c r="L53" s="103"/>
      <c r="M53" s="103"/>
    </row>
    <row r="54" spans="1:13" ht="12.75" customHeight="1">
      <c r="A54" s="287"/>
      <c r="B54" s="287"/>
      <c r="C54" s="287"/>
      <c r="D54" s="287"/>
      <c r="E54" s="287"/>
      <c r="F54" s="287"/>
      <c r="G54" s="287"/>
      <c r="H54" s="287"/>
      <c r="I54" s="287"/>
      <c r="J54" s="287"/>
      <c r="K54" s="287"/>
      <c r="L54" s="103"/>
      <c r="M54" s="103"/>
    </row>
    <row r="55" spans="1:13" ht="12.75" customHeight="1">
      <c r="A55" s="582" t="s">
        <v>156</v>
      </c>
      <c r="B55" s="582"/>
      <c r="C55" s="582"/>
      <c r="D55" s="582"/>
      <c r="E55" s="582"/>
      <c r="F55" s="582"/>
      <c r="G55" s="582"/>
      <c r="H55" s="582"/>
      <c r="I55" s="582"/>
      <c r="J55" s="582"/>
      <c r="K55" s="582"/>
      <c r="L55" s="103"/>
      <c r="M55" s="103"/>
    </row>
    <row r="56" spans="1:13" ht="12.75" customHeight="1">
      <c r="A56" s="287"/>
      <c r="B56" s="287"/>
      <c r="C56" s="287"/>
      <c r="D56" s="287"/>
      <c r="E56" s="287"/>
      <c r="F56" s="287"/>
      <c r="G56" s="287"/>
      <c r="H56" s="287"/>
      <c r="I56" s="287"/>
      <c r="J56" s="287"/>
      <c r="K56" s="287"/>
      <c r="L56" s="103"/>
      <c r="M56" s="103"/>
    </row>
    <row r="57" spans="1:13" ht="12.75" customHeight="1">
      <c r="A57" s="129" t="s">
        <v>210</v>
      </c>
      <c r="B57" s="1">
        <v>2015</v>
      </c>
      <c r="C57" s="1">
        <v>2018</v>
      </c>
      <c r="D57" s="1">
        <v>2019</v>
      </c>
      <c r="E57" s="1">
        <v>2020</v>
      </c>
      <c r="F57" s="1">
        <v>2025</v>
      </c>
      <c r="G57" s="1">
        <v>2030</v>
      </c>
      <c r="H57" s="1">
        <v>2035</v>
      </c>
      <c r="I57" s="1">
        <v>2040</v>
      </c>
      <c r="J57" s="1">
        <v>2045</v>
      </c>
      <c r="K57" s="1">
        <v>2050</v>
      </c>
      <c r="L57" s="103"/>
      <c r="M57" s="103"/>
    </row>
    <row r="58" spans="1:13" ht="12.75" customHeight="1">
      <c r="A58" s="130" t="s">
        <v>189</v>
      </c>
      <c r="B58" s="131">
        <f t="shared" ref="B58:K58" si="12">B31</f>
        <v>270200</v>
      </c>
      <c r="C58" s="131">
        <f t="shared" si="12"/>
        <v>282200</v>
      </c>
      <c r="D58" s="131">
        <f t="shared" si="12"/>
        <v>271407</v>
      </c>
      <c r="E58" s="131">
        <f t="shared" si="12"/>
        <v>271407</v>
      </c>
      <c r="F58" s="131">
        <f t="shared" si="12"/>
        <v>298870</v>
      </c>
      <c r="G58" s="131">
        <f t="shared" si="12"/>
        <v>312530</v>
      </c>
      <c r="H58" s="131">
        <f t="shared" si="12"/>
        <v>324860</v>
      </c>
      <c r="I58" s="131">
        <f t="shared" si="12"/>
        <v>335890</v>
      </c>
      <c r="J58" s="131">
        <f t="shared" si="12"/>
        <v>345420</v>
      </c>
      <c r="K58" s="131">
        <f t="shared" si="12"/>
        <v>353190</v>
      </c>
      <c r="L58" s="103"/>
      <c r="M58" s="103"/>
    </row>
    <row r="59" spans="1:13" ht="12.75" customHeight="1">
      <c r="A59" s="132" t="s">
        <v>190</v>
      </c>
      <c r="B59" s="133"/>
      <c r="C59" s="148">
        <f t="shared" ref="C59:K59" si="13">C32</f>
        <v>1</v>
      </c>
      <c r="D59" s="148">
        <f t="shared" si="13"/>
        <v>1</v>
      </c>
      <c r="E59" s="148">
        <f t="shared" si="13"/>
        <v>1</v>
      </c>
      <c r="F59" s="148">
        <f t="shared" si="13"/>
        <v>1</v>
      </c>
      <c r="G59" s="148">
        <f t="shared" si="13"/>
        <v>1</v>
      </c>
      <c r="H59" s="148">
        <f t="shared" si="13"/>
        <v>1</v>
      </c>
      <c r="I59" s="148">
        <f t="shared" si="13"/>
        <v>1</v>
      </c>
      <c r="J59" s="148">
        <f t="shared" si="13"/>
        <v>1</v>
      </c>
      <c r="K59" s="148">
        <f t="shared" si="13"/>
        <v>1</v>
      </c>
      <c r="L59" s="103"/>
      <c r="M59" s="103"/>
    </row>
    <row r="60" spans="1:13" ht="12.75" customHeight="1">
      <c r="A60" s="132" t="s">
        <v>191</v>
      </c>
      <c r="B60" s="134"/>
      <c r="C60" s="131">
        <f t="shared" ref="C60:K60" si="14">C33</f>
        <v>100</v>
      </c>
      <c r="D60" s="131">
        <f t="shared" si="14"/>
        <v>96.175407512402558</v>
      </c>
      <c r="E60" s="131">
        <f t="shared" si="14"/>
        <v>96.175407512402558</v>
      </c>
      <c r="F60" s="131">
        <f t="shared" si="14"/>
        <v>105.90715804394047</v>
      </c>
      <c r="G60" s="131">
        <f t="shared" si="14"/>
        <v>110.74769666902905</v>
      </c>
      <c r="H60" s="131">
        <f t="shared" si="14"/>
        <v>115.1169383416017</v>
      </c>
      <c r="I60" s="131">
        <f t="shared" si="14"/>
        <v>119.02551381998583</v>
      </c>
      <c r="J60" s="131">
        <f t="shared" si="14"/>
        <v>122.40255138199858</v>
      </c>
      <c r="K60" s="131">
        <f t="shared" si="14"/>
        <v>125.15591778880227</v>
      </c>
      <c r="L60" s="103"/>
      <c r="M60" s="103"/>
    </row>
    <row r="61" spans="1:13" ht="12.75" customHeight="1">
      <c r="A61" s="132" t="s">
        <v>192</v>
      </c>
      <c r="B61" s="1"/>
      <c r="C61" s="131">
        <f t="shared" ref="C61:K61" si="15">C34</f>
        <v>100</v>
      </c>
      <c r="D61" s="131">
        <f t="shared" si="15"/>
        <v>96.175407512402558</v>
      </c>
      <c r="E61" s="131">
        <f t="shared" si="15"/>
        <v>96.175407512402558</v>
      </c>
      <c r="F61" s="131">
        <f t="shared" si="15"/>
        <v>105.90715804394047</v>
      </c>
      <c r="G61" s="131">
        <f t="shared" si="15"/>
        <v>110.74769666902905</v>
      </c>
      <c r="H61" s="131">
        <f t="shared" si="15"/>
        <v>115.1169383416017</v>
      </c>
      <c r="I61" s="131">
        <f t="shared" si="15"/>
        <v>119.02551381998583</v>
      </c>
      <c r="J61" s="131">
        <f t="shared" si="15"/>
        <v>122.40255138199858</v>
      </c>
      <c r="K61" s="131">
        <f t="shared" si="15"/>
        <v>125.15591778880227</v>
      </c>
      <c r="L61" s="103"/>
      <c r="M61" s="103"/>
    </row>
    <row r="62" spans="1:13" ht="12.75" customHeight="1">
      <c r="A62" s="103"/>
      <c r="B62" s="103"/>
      <c r="C62" s="103"/>
      <c r="D62" s="104"/>
      <c r="E62" s="103"/>
      <c r="F62" s="103"/>
      <c r="G62" s="103"/>
      <c r="H62" s="103"/>
      <c r="I62" s="103"/>
      <c r="J62" s="103"/>
      <c r="K62" s="103"/>
      <c r="L62" s="103"/>
      <c r="M62" s="103"/>
    </row>
    <row r="63" spans="1:13" ht="12.75" customHeight="1">
      <c r="A63" s="129" t="s">
        <v>211</v>
      </c>
      <c r="B63" s="1">
        <v>2015</v>
      </c>
      <c r="C63" s="1">
        <v>2018</v>
      </c>
      <c r="D63" s="1">
        <v>2019</v>
      </c>
      <c r="E63" s="1">
        <v>2020</v>
      </c>
      <c r="F63" s="1">
        <v>2025</v>
      </c>
      <c r="G63" s="1">
        <v>2030</v>
      </c>
      <c r="H63" s="1">
        <v>2035</v>
      </c>
      <c r="I63" s="1">
        <v>2040</v>
      </c>
      <c r="J63" s="1">
        <v>2045</v>
      </c>
      <c r="K63" s="1">
        <v>2050</v>
      </c>
      <c r="L63" s="103"/>
      <c r="M63" s="103"/>
    </row>
    <row r="64" spans="1:13" ht="12.75" customHeight="1">
      <c r="A64" s="130" t="s">
        <v>194</v>
      </c>
      <c r="B64" s="149">
        <f>1</f>
        <v>1</v>
      </c>
      <c r="C64" s="149">
        <f>1</f>
        <v>1</v>
      </c>
      <c r="D64" s="149">
        <f>1</f>
        <v>1</v>
      </c>
      <c r="E64" s="149">
        <f>1</f>
        <v>1</v>
      </c>
      <c r="F64" s="149">
        <f>1</f>
        <v>1</v>
      </c>
      <c r="G64" s="149">
        <f>1</f>
        <v>1</v>
      </c>
      <c r="H64" s="149">
        <f>1</f>
        <v>1</v>
      </c>
      <c r="I64" s="149">
        <f>1</f>
        <v>1</v>
      </c>
      <c r="J64" s="149">
        <f>1</f>
        <v>1</v>
      </c>
      <c r="K64" s="149">
        <f>1</f>
        <v>1</v>
      </c>
      <c r="L64" s="103"/>
      <c r="M64" s="103"/>
    </row>
    <row r="65" spans="1:13" ht="12.75" customHeight="1">
      <c r="A65" s="130" t="s">
        <v>195</v>
      </c>
      <c r="B65" s="137">
        <f>0%</f>
        <v>0</v>
      </c>
      <c r="C65" s="137">
        <f>0%</f>
        <v>0</v>
      </c>
      <c r="D65" s="137">
        <f>0%</f>
        <v>0</v>
      </c>
      <c r="E65" s="137">
        <f>0%</f>
        <v>0</v>
      </c>
      <c r="F65" s="150">
        <v>0.05</v>
      </c>
      <c r="G65" s="150">
        <v>0.1</v>
      </c>
      <c r="H65" s="150">
        <v>0.2</v>
      </c>
      <c r="I65" s="139">
        <v>0.4</v>
      </c>
      <c r="J65" s="139">
        <v>0.65</v>
      </c>
      <c r="K65" s="139">
        <v>1</v>
      </c>
      <c r="L65" s="103"/>
      <c r="M65" s="103"/>
    </row>
    <row r="66" spans="1:13" ht="12.75" customHeight="1">
      <c r="A66" s="130" t="s">
        <v>196</v>
      </c>
      <c r="B66" s="138"/>
      <c r="C66" s="138"/>
      <c r="D66" s="138"/>
      <c r="E66" s="137">
        <v>0.99272954898911403</v>
      </c>
      <c r="F66" s="137">
        <v>0.90069945087288505</v>
      </c>
      <c r="G66" s="137">
        <v>0.84416717546272102</v>
      </c>
      <c r="H66" s="137">
        <v>0.80593952326986795</v>
      </c>
      <c r="I66" s="137">
        <v>0.77853415799552395</v>
      </c>
      <c r="J66" s="137">
        <v>0.76285818755827595</v>
      </c>
      <c r="K66" s="137">
        <v>0.76205287713841396</v>
      </c>
      <c r="L66" s="103"/>
      <c r="M66" s="103"/>
    </row>
    <row r="67" spans="1:13" ht="12.75" customHeight="1">
      <c r="A67" s="130" t="s">
        <v>197</v>
      </c>
      <c r="B67" s="138"/>
      <c r="C67" s="138"/>
      <c r="D67" s="138"/>
      <c r="E67" s="137">
        <f>30%</f>
        <v>0.3</v>
      </c>
      <c r="F67" s="137">
        <f>30%</f>
        <v>0.3</v>
      </c>
      <c r="G67" s="137">
        <f>30%</f>
        <v>0.3</v>
      </c>
      <c r="H67" s="137">
        <f>30%</f>
        <v>0.3</v>
      </c>
      <c r="I67" s="137">
        <f>30%</f>
        <v>0.3</v>
      </c>
      <c r="J67" s="137">
        <f>30%</f>
        <v>0.3</v>
      </c>
      <c r="K67" s="137">
        <f>30%</f>
        <v>0.3</v>
      </c>
      <c r="L67" s="103"/>
      <c r="M67" s="103"/>
    </row>
    <row r="68" spans="1:13" ht="12.75" customHeight="1">
      <c r="A68" s="140" t="s">
        <v>198</v>
      </c>
      <c r="B68" s="329">
        <f>B78*I23</f>
        <v>1611.1039000000001</v>
      </c>
      <c r="C68" s="329">
        <f>C78*I23</f>
        <v>1578.5399</v>
      </c>
      <c r="D68" s="329">
        <f>D78*I23</f>
        <v>1559.8155999999999</v>
      </c>
      <c r="E68" s="329">
        <f>E78*I23</f>
        <v>1485.7325000000001</v>
      </c>
      <c r="F68" s="141">
        <f t="shared" ref="F68:K68" si="16">$D68*(F58/$D58)*(F59/$D59)*F64*(1-F65)*F66</f>
        <v>1469.7316334997379</v>
      </c>
      <c r="G68" s="141">
        <f t="shared" si="16"/>
        <v>1364.629945921153</v>
      </c>
      <c r="H68" s="141">
        <f t="shared" si="16"/>
        <v>1203.7627384892683</v>
      </c>
      <c r="I68" s="141">
        <f t="shared" si="16"/>
        <v>901.73351502599542</v>
      </c>
      <c r="J68" s="141">
        <f t="shared" si="16"/>
        <v>530.04354612083455</v>
      </c>
      <c r="K68" s="141">
        <f t="shared" si="16"/>
        <v>0</v>
      </c>
      <c r="L68" s="103"/>
      <c r="M68" s="103"/>
    </row>
    <row r="69" spans="1:13" ht="12.75" customHeight="1">
      <c r="A69" s="140" t="s">
        <v>199</v>
      </c>
      <c r="B69" s="141">
        <f>0</f>
        <v>0</v>
      </c>
      <c r="C69" s="141">
        <f>0</f>
        <v>0</v>
      </c>
      <c r="D69" s="141">
        <f>0</f>
        <v>0</v>
      </c>
      <c r="E69" s="141">
        <f>0</f>
        <v>0</v>
      </c>
      <c r="F69" s="141">
        <f t="shared" ref="F69:K69" si="17">$D68*(F58/$D58)*(F59/$D59)*F64*F65*F67</f>
        <v>25.764741976367592</v>
      </c>
      <c r="G69" s="141">
        <f t="shared" si="17"/>
        <v>53.884664301362896</v>
      </c>
      <c r="H69" s="141">
        <f t="shared" si="17"/>
        <v>112.02106706518254</v>
      </c>
      <c r="I69" s="141">
        <f t="shared" si="17"/>
        <v>231.64905631055942</v>
      </c>
      <c r="J69" s="141">
        <f t="shared" si="17"/>
        <v>387.10992490112636</v>
      </c>
      <c r="K69" s="141">
        <f t="shared" si="17"/>
        <v>608.95032747570986</v>
      </c>
      <c r="L69" s="103"/>
      <c r="M69" s="103"/>
    </row>
    <row r="70" spans="1:13" ht="12.75" customHeight="1">
      <c r="A70" s="130" t="s">
        <v>200</v>
      </c>
      <c r="B70" s="136">
        <f>1</f>
        <v>1</v>
      </c>
      <c r="C70" s="136">
        <f>1</f>
        <v>1</v>
      </c>
      <c r="D70" s="136">
        <f>1</f>
        <v>1</v>
      </c>
      <c r="E70" s="136">
        <f>1</f>
        <v>1</v>
      </c>
      <c r="F70" s="136">
        <f>1</f>
        <v>1</v>
      </c>
      <c r="G70" s="136">
        <f>1</f>
        <v>1</v>
      </c>
      <c r="H70" s="136">
        <f>1</f>
        <v>1</v>
      </c>
      <c r="I70" s="136">
        <f>1</f>
        <v>1</v>
      </c>
      <c r="J70" s="136">
        <f>1</f>
        <v>1</v>
      </c>
      <c r="K70" s="136">
        <f>1</f>
        <v>1</v>
      </c>
      <c r="L70" s="103"/>
      <c r="M70" s="103"/>
    </row>
    <row r="71" spans="1:13" ht="12.75" customHeight="1">
      <c r="A71" s="130" t="s">
        <v>201</v>
      </c>
      <c r="B71" s="137">
        <f>0%</f>
        <v>0</v>
      </c>
      <c r="C71" s="137">
        <f>0%</f>
        <v>0</v>
      </c>
      <c r="D71" s="137">
        <f>0%</f>
        <v>0</v>
      </c>
      <c r="E71" s="137">
        <f>0%</f>
        <v>0</v>
      </c>
      <c r="F71" s="137">
        <v>1.2545967434604101E-2</v>
      </c>
      <c r="G71" s="137">
        <v>6.6102372112330499E-2</v>
      </c>
      <c r="H71" s="137">
        <v>0.16702069027261701</v>
      </c>
      <c r="I71" s="137">
        <v>0.3135</v>
      </c>
      <c r="J71" s="137">
        <v>0.46139999999999998</v>
      </c>
      <c r="K71" s="137">
        <v>0.57099999999999995</v>
      </c>
      <c r="L71" s="103"/>
      <c r="M71" s="103"/>
    </row>
    <row r="72" spans="1:13" ht="12.75" customHeight="1">
      <c r="A72" s="130" t="s">
        <v>202</v>
      </c>
      <c r="B72" s="138"/>
      <c r="C72" s="138"/>
      <c r="D72" s="138"/>
      <c r="E72" s="137">
        <v>0.99</v>
      </c>
      <c r="F72" s="137">
        <v>0.95225839320681305</v>
      </c>
      <c r="G72" s="137">
        <v>0.83268290493446995</v>
      </c>
      <c r="H72" s="137">
        <v>0.76277577185370304</v>
      </c>
      <c r="I72" s="137">
        <v>0.70272483596984203</v>
      </c>
      <c r="J72" s="137">
        <v>0.666709342233341</v>
      </c>
      <c r="K72" s="137">
        <v>0.634677810719394</v>
      </c>
      <c r="L72" s="103"/>
      <c r="M72" s="103"/>
    </row>
    <row r="73" spans="1:13" ht="12.75" customHeight="1">
      <c r="A73" s="130" t="s">
        <v>203</v>
      </c>
      <c r="B73" s="138"/>
      <c r="C73" s="138"/>
      <c r="D73" s="138"/>
      <c r="E73" s="139">
        <v>0.4</v>
      </c>
      <c r="F73" s="139">
        <f t="shared" ref="F73:K73" si="18">E73</f>
        <v>0.4</v>
      </c>
      <c r="G73" s="139">
        <f t="shared" si="18"/>
        <v>0.4</v>
      </c>
      <c r="H73" s="139">
        <f t="shared" si="18"/>
        <v>0.4</v>
      </c>
      <c r="I73" s="139">
        <f t="shared" si="18"/>
        <v>0.4</v>
      </c>
      <c r="J73" s="139">
        <f t="shared" si="18"/>
        <v>0.4</v>
      </c>
      <c r="K73" s="139">
        <f t="shared" si="18"/>
        <v>0.4</v>
      </c>
      <c r="L73" s="103"/>
      <c r="M73" s="103"/>
    </row>
    <row r="74" spans="1:13" ht="12.75" customHeight="1">
      <c r="A74" s="140" t="s">
        <v>204</v>
      </c>
      <c r="B74" s="329">
        <f>B78*I24</f>
        <v>690.47310000000004</v>
      </c>
      <c r="C74" s="329">
        <f>C78*I24</f>
        <v>676.51710000000003</v>
      </c>
      <c r="D74" s="329">
        <f>D78*I24</f>
        <v>668.49239999999998</v>
      </c>
      <c r="E74" s="329">
        <f>E78*I24</f>
        <v>636.74250000000006</v>
      </c>
      <c r="F74" s="141">
        <f t="shared" ref="F74:K74" si="19">$D74*(F61/$D61)*F70*(1-F71)*F72</f>
        <v>692.19658147187795</v>
      </c>
      <c r="G74" s="141">
        <f t="shared" si="19"/>
        <v>598.61288747353865</v>
      </c>
      <c r="H74" s="141">
        <f t="shared" si="19"/>
        <v>508.39675956659607</v>
      </c>
      <c r="I74" s="141">
        <f t="shared" si="19"/>
        <v>399.11527396448611</v>
      </c>
      <c r="J74" s="141">
        <f t="shared" si="19"/>
        <v>305.51025958849038</v>
      </c>
      <c r="K74" s="141">
        <f t="shared" si="19"/>
        <v>236.86147833050251</v>
      </c>
      <c r="L74" s="103"/>
      <c r="M74" s="103"/>
    </row>
    <row r="75" spans="1:13" ht="12.75" customHeight="1">
      <c r="A75" s="140" t="s">
        <v>205</v>
      </c>
      <c r="B75" s="141">
        <f>0</f>
        <v>0</v>
      </c>
      <c r="C75" s="141">
        <f>0</f>
        <v>0</v>
      </c>
      <c r="D75" s="141">
        <f>0</f>
        <v>0</v>
      </c>
      <c r="E75" s="141">
        <f>0</f>
        <v>0</v>
      </c>
      <c r="F75" s="141">
        <f t="shared" ref="F75:K75" si="20">$D74*(F61/$D61)*F70*F71*F73</f>
        <v>3.6942127291026874</v>
      </c>
      <c r="G75" s="141">
        <f t="shared" si="20"/>
        <v>20.353737890266867</v>
      </c>
      <c r="H75" s="141">
        <f t="shared" si="20"/>
        <v>53.456674132291177</v>
      </c>
      <c r="I75" s="141">
        <f t="shared" si="20"/>
        <v>103.74568450480054</v>
      </c>
      <c r="J75" s="141">
        <f t="shared" si="20"/>
        <v>157.0219950324217</v>
      </c>
      <c r="K75" s="141">
        <f t="shared" si="20"/>
        <v>198.69179256493163</v>
      </c>
      <c r="L75" s="103"/>
      <c r="M75" s="103"/>
    </row>
    <row r="76" spans="1:13" ht="12.75" customHeight="1">
      <c r="A76" s="144" t="s">
        <v>206</v>
      </c>
      <c r="B76" s="138">
        <f t="shared" ref="B76:K76" si="21">B68+B74</f>
        <v>2301.5770000000002</v>
      </c>
      <c r="C76" s="138">
        <f t="shared" si="21"/>
        <v>2255.0569999999998</v>
      </c>
      <c r="D76" s="138">
        <f t="shared" si="21"/>
        <v>2228.308</v>
      </c>
      <c r="E76" s="138">
        <f t="shared" si="21"/>
        <v>2122.4750000000004</v>
      </c>
      <c r="F76" s="145">
        <f t="shared" si="21"/>
        <v>2161.9282149716159</v>
      </c>
      <c r="G76" s="145">
        <f t="shared" si="21"/>
        <v>1963.2428333946916</v>
      </c>
      <c r="H76" s="145">
        <f t="shared" si="21"/>
        <v>1712.1594980558643</v>
      </c>
      <c r="I76" s="145">
        <f t="shared" si="21"/>
        <v>1300.8487889904816</v>
      </c>
      <c r="J76" s="145">
        <f t="shared" si="21"/>
        <v>835.55380570932493</v>
      </c>
      <c r="K76" s="145">
        <f t="shared" si="21"/>
        <v>236.86147833050251</v>
      </c>
      <c r="L76" s="103"/>
      <c r="M76" s="103"/>
    </row>
    <row r="77" spans="1:13" ht="12.75" customHeight="1">
      <c r="A77" s="144" t="s">
        <v>207</v>
      </c>
      <c r="B77" s="138">
        <f t="shared" ref="B77:K77" si="22">B69+B75</f>
        <v>0</v>
      </c>
      <c r="C77" s="138">
        <f t="shared" si="22"/>
        <v>0</v>
      </c>
      <c r="D77" s="138">
        <f t="shared" si="22"/>
        <v>0</v>
      </c>
      <c r="E77" s="138">
        <f t="shared" si="22"/>
        <v>0</v>
      </c>
      <c r="F77" s="145">
        <f t="shared" si="22"/>
        <v>29.45895470547028</v>
      </c>
      <c r="G77" s="145">
        <f t="shared" si="22"/>
        <v>74.23840219162976</v>
      </c>
      <c r="H77" s="145">
        <f t="shared" si="22"/>
        <v>165.4777411974737</v>
      </c>
      <c r="I77" s="145">
        <f t="shared" si="22"/>
        <v>335.39474081535997</v>
      </c>
      <c r="J77" s="145">
        <f t="shared" si="22"/>
        <v>544.13191993354803</v>
      </c>
      <c r="K77" s="145">
        <f t="shared" si="22"/>
        <v>807.64212004064143</v>
      </c>
      <c r="L77" s="103"/>
      <c r="M77" s="103"/>
    </row>
    <row r="78" spans="1:13" ht="12.75" customHeight="1">
      <c r="A78" s="144" t="s">
        <v>208</v>
      </c>
      <c r="B78" s="330">
        <f>B51</f>
        <v>2301.5770000000002</v>
      </c>
      <c r="C78" s="330">
        <f>C51</f>
        <v>2255.0570000000002</v>
      </c>
      <c r="D78" s="330">
        <f>D51</f>
        <v>2228.308</v>
      </c>
      <c r="E78" s="330">
        <f>E51</f>
        <v>2122.4750000000004</v>
      </c>
      <c r="F78" s="145">
        <f t="shared" ref="F78:K78" si="23">F76+F77</f>
        <v>2191.3871696770861</v>
      </c>
      <c r="G78" s="145">
        <f t="shared" si="23"/>
        <v>2037.4812355863214</v>
      </c>
      <c r="H78" s="145">
        <f t="shared" si="23"/>
        <v>1877.6372392533381</v>
      </c>
      <c r="I78" s="145">
        <f t="shared" si="23"/>
        <v>1636.2435298058415</v>
      </c>
      <c r="J78" s="145">
        <f t="shared" si="23"/>
        <v>1379.685725642873</v>
      </c>
      <c r="K78" s="145">
        <f t="shared" si="23"/>
        <v>1044.5035983711439</v>
      </c>
      <c r="L78" s="103"/>
      <c r="M78" s="103"/>
    </row>
    <row r="79" spans="1:13" ht="12.75" customHeight="1">
      <c r="A79" s="130" t="s">
        <v>209</v>
      </c>
      <c r="B79" s="146"/>
      <c r="C79" s="146"/>
      <c r="D79" s="146"/>
      <c r="E79" s="146"/>
      <c r="F79" s="147">
        <f t="shared" ref="F79:K79" si="24">F78/$D78-1</f>
        <v>-1.6568997787969053E-2</v>
      </c>
      <c r="G79" s="147">
        <f t="shared" si="24"/>
        <v>-8.5637517081874948E-2</v>
      </c>
      <c r="H79" s="147">
        <f t="shared" si="24"/>
        <v>-0.15737086648105281</v>
      </c>
      <c r="I79" s="147">
        <f t="shared" si="24"/>
        <v>-0.26570136183784221</v>
      </c>
      <c r="J79" s="147">
        <f t="shared" si="24"/>
        <v>-0.38083706307975695</v>
      </c>
      <c r="K79" s="147">
        <f t="shared" si="24"/>
        <v>-0.5312570800934413</v>
      </c>
      <c r="L79" s="103"/>
      <c r="M79" s="103"/>
    </row>
    <row r="80" spans="1:13" ht="12.75" customHeight="1">
      <c r="A80" s="581" t="s">
        <v>391</v>
      </c>
      <c r="B80" s="581"/>
      <c r="C80" s="581"/>
      <c r="D80" s="581"/>
      <c r="E80" s="581"/>
      <c r="F80" s="581"/>
      <c r="G80" s="581"/>
      <c r="H80" s="581"/>
      <c r="I80" s="581"/>
      <c r="J80" s="581"/>
      <c r="K80" s="581"/>
      <c r="L80" s="103"/>
      <c r="M80" s="103"/>
    </row>
    <row r="81" spans="1:14" ht="12.75" customHeight="1">
      <c r="A81" s="103"/>
      <c r="B81" s="103"/>
      <c r="C81" s="103"/>
      <c r="D81" s="104"/>
      <c r="E81" s="103"/>
      <c r="F81" s="103"/>
      <c r="G81" s="103"/>
      <c r="H81" s="103"/>
      <c r="I81" s="103"/>
      <c r="J81" s="103"/>
      <c r="K81" s="103"/>
      <c r="L81" s="103"/>
      <c r="M81" s="103"/>
    </row>
    <row r="83" spans="1:14" ht="21">
      <c r="A83" s="412"/>
    </row>
    <row r="85" spans="1:14" ht="21">
      <c r="A85" s="412" t="s">
        <v>488</v>
      </c>
      <c r="B85" s="410"/>
      <c r="C85" s="410"/>
      <c r="D85" s="410"/>
      <c r="E85" s="410"/>
      <c r="F85" s="410"/>
      <c r="G85" s="410"/>
      <c r="H85" s="410"/>
      <c r="I85" s="410"/>
      <c r="J85" s="410"/>
      <c r="K85" s="410"/>
      <c r="L85" s="410"/>
      <c r="M85" s="410"/>
      <c r="N85" s="410"/>
    </row>
    <row r="86" spans="1:14">
      <c r="A86" s="410"/>
      <c r="B86" s="410"/>
      <c r="C86" s="410"/>
      <c r="D86" s="410"/>
      <c r="E86" s="410"/>
      <c r="F86" s="410"/>
      <c r="G86" s="410"/>
      <c r="H86" s="410"/>
      <c r="I86" s="410"/>
      <c r="J86" s="410"/>
      <c r="K86" s="410"/>
      <c r="L86" s="410"/>
      <c r="M86" s="410"/>
      <c r="N86" s="410"/>
    </row>
    <row r="87" spans="1:14">
      <c r="A87" s="575" t="s">
        <v>537</v>
      </c>
      <c r="B87" s="575"/>
      <c r="C87" s="575"/>
      <c r="D87" s="575"/>
      <c r="E87" s="575"/>
      <c r="F87" s="575"/>
      <c r="G87" s="575"/>
      <c r="H87" s="575"/>
      <c r="I87" s="575"/>
      <c r="J87" s="575"/>
      <c r="K87" s="575"/>
      <c r="L87" s="410"/>
      <c r="M87" s="410"/>
      <c r="N87" s="410"/>
    </row>
    <row r="88" spans="1:14">
      <c r="A88" s="410"/>
      <c r="B88" s="410"/>
      <c r="C88" s="410"/>
      <c r="D88" s="410"/>
      <c r="E88" s="410"/>
      <c r="F88" s="410"/>
      <c r="G88" s="410"/>
      <c r="H88" s="410"/>
      <c r="I88" s="410"/>
      <c r="J88" s="410"/>
      <c r="K88" s="410"/>
      <c r="L88" s="410"/>
      <c r="M88" s="410"/>
      <c r="N88" s="410"/>
    </row>
    <row r="89" spans="1:14">
      <c r="A89" s="410"/>
      <c r="B89" s="410"/>
      <c r="C89" s="410"/>
      <c r="D89" s="410"/>
      <c r="E89" s="410"/>
      <c r="F89" s="410"/>
      <c r="G89" s="410"/>
      <c r="H89" s="410"/>
      <c r="I89" s="410"/>
      <c r="J89" s="410"/>
      <c r="K89" s="410"/>
      <c r="L89" s="410"/>
      <c r="M89" s="410"/>
      <c r="N89" s="410"/>
    </row>
    <row r="90" spans="1:14">
      <c r="A90" s="410"/>
      <c r="B90" s="413">
        <v>2019</v>
      </c>
      <c r="C90" s="230">
        <v>2020</v>
      </c>
      <c r="D90" s="230">
        <v>2025</v>
      </c>
      <c r="E90" s="230">
        <v>2030</v>
      </c>
      <c r="F90" s="230">
        <v>2035</v>
      </c>
      <c r="G90" s="230">
        <v>2040</v>
      </c>
      <c r="H90" s="230">
        <v>2045</v>
      </c>
      <c r="I90" s="230">
        <v>2050</v>
      </c>
      <c r="J90" s="256"/>
      <c r="K90" s="410"/>
      <c r="L90" s="410"/>
      <c r="M90" s="410"/>
      <c r="N90" s="410"/>
    </row>
    <row r="91" spans="1:14">
      <c r="A91" s="256" t="s">
        <v>538</v>
      </c>
      <c r="B91" s="414">
        <f>C3</f>
        <v>475.78800000000001</v>
      </c>
      <c r="C91" s="415">
        <f t="shared" ref="C91:I91" si="25">C105+C125</f>
        <v>475.78800000000001</v>
      </c>
      <c r="D91" s="415">
        <f t="shared" si="25"/>
        <v>461.77972665019689</v>
      </c>
      <c r="E91" s="415">
        <f t="shared" si="25"/>
        <v>451.64078773207768</v>
      </c>
      <c r="F91" s="415">
        <f t="shared" si="25"/>
        <v>457.23657848675651</v>
      </c>
      <c r="G91" s="415">
        <f t="shared" si="25"/>
        <v>459.57882851857858</v>
      </c>
      <c r="H91" s="415">
        <f t="shared" si="25"/>
        <v>458.14161465163397</v>
      </c>
      <c r="I91" s="415">
        <f t="shared" si="25"/>
        <v>452.3067521968851</v>
      </c>
      <c r="J91" s="256"/>
      <c r="K91" s="410"/>
      <c r="L91" s="410"/>
      <c r="M91" s="410"/>
      <c r="N91" s="410"/>
    </row>
    <row r="92" spans="1:14">
      <c r="A92" s="256" t="s">
        <v>539</v>
      </c>
      <c r="B92" s="361">
        <f>1-B93</f>
        <v>0.43020841214994909</v>
      </c>
      <c r="C92" s="361">
        <f>B92</f>
        <v>0.43020841214994909</v>
      </c>
      <c r="D92" s="361">
        <f t="shared" ref="D92:I93" si="26">C92</f>
        <v>0.43020841214994909</v>
      </c>
      <c r="E92" s="361">
        <f t="shared" si="26"/>
        <v>0.43020841214994909</v>
      </c>
      <c r="F92" s="361">
        <f t="shared" si="26"/>
        <v>0.43020841214994909</v>
      </c>
      <c r="G92" s="361">
        <f t="shared" si="26"/>
        <v>0.43020841214994909</v>
      </c>
      <c r="H92" s="361">
        <f t="shared" si="26"/>
        <v>0.43020841214994909</v>
      </c>
      <c r="I92" s="361">
        <f t="shared" si="26"/>
        <v>0.43020841214994909</v>
      </c>
      <c r="J92" s="256" t="s">
        <v>540</v>
      </c>
      <c r="K92" s="410"/>
      <c r="L92" s="410"/>
      <c r="M92" s="410"/>
      <c r="N92" s="410"/>
    </row>
    <row r="93" spans="1:14">
      <c r="A93" s="256" t="s">
        <v>541</v>
      </c>
      <c r="B93" s="361">
        <f>271.1/B91</f>
        <v>0.56979158785005091</v>
      </c>
      <c r="C93" s="361">
        <f>B93</f>
        <v>0.56979158785005091</v>
      </c>
      <c r="D93" s="361">
        <f t="shared" si="26"/>
        <v>0.56979158785005091</v>
      </c>
      <c r="E93" s="361">
        <f t="shared" si="26"/>
        <v>0.56979158785005091</v>
      </c>
      <c r="F93" s="361">
        <f t="shared" si="26"/>
        <v>0.56979158785005091</v>
      </c>
      <c r="G93" s="361">
        <f t="shared" si="26"/>
        <v>0.56979158785005091</v>
      </c>
      <c r="H93" s="361">
        <f t="shared" si="26"/>
        <v>0.56979158785005091</v>
      </c>
      <c r="I93" s="361">
        <f t="shared" si="26"/>
        <v>0.56979158785005091</v>
      </c>
      <c r="J93" s="256" t="s">
        <v>540</v>
      </c>
      <c r="K93" s="410"/>
      <c r="L93" s="410"/>
      <c r="M93" s="410"/>
      <c r="N93" s="410"/>
    </row>
    <row r="94" spans="1:14">
      <c r="A94" s="410"/>
      <c r="B94" s="410"/>
      <c r="C94" s="410"/>
      <c r="D94" s="410"/>
      <c r="E94" s="410"/>
      <c r="F94" s="410"/>
      <c r="G94" s="410"/>
      <c r="H94" s="410"/>
      <c r="I94" s="410"/>
      <c r="J94" s="410"/>
      <c r="K94" s="410"/>
      <c r="L94" s="410"/>
      <c r="M94" s="410"/>
      <c r="N94" s="410"/>
    </row>
    <row r="95" spans="1:14">
      <c r="A95" s="416" t="s">
        <v>542</v>
      </c>
      <c r="B95" s="410"/>
      <c r="C95" s="410"/>
      <c r="D95" s="410"/>
      <c r="E95" s="410"/>
      <c r="F95" s="410"/>
      <c r="G95" s="410"/>
      <c r="H95" s="410"/>
      <c r="I95" s="410"/>
      <c r="J95" s="410"/>
      <c r="K95" s="410"/>
      <c r="L95" s="410"/>
      <c r="M95" s="410"/>
      <c r="N95" s="410"/>
    </row>
    <row r="96" spans="1:14">
      <c r="A96" s="410"/>
      <c r="B96" s="410"/>
      <c r="C96" s="410"/>
      <c r="D96" s="410"/>
      <c r="E96" s="410"/>
      <c r="F96" s="410"/>
      <c r="G96" s="410"/>
      <c r="H96" s="410"/>
      <c r="I96" s="410"/>
      <c r="J96" s="410"/>
      <c r="K96" s="410"/>
      <c r="L96" s="410"/>
      <c r="M96" s="410"/>
      <c r="N96" s="410"/>
    </row>
    <row r="97" spans="1:14">
      <c r="A97" s="417"/>
      <c r="B97" s="418">
        <v>2015</v>
      </c>
      <c r="C97" s="418">
        <v>2016</v>
      </c>
      <c r="D97" s="418">
        <v>2017</v>
      </c>
      <c r="E97" s="419">
        <v>2018</v>
      </c>
      <c r="F97" s="419">
        <v>2019</v>
      </c>
      <c r="G97" s="419">
        <v>2020</v>
      </c>
      <c r="H97" s="419">
        <v>2025</v>
      </c>
      <c r="I97" s="419">
        <v>2030</v>
      </c>
      <c r="J97" s="419">
        <v>2035</v>
      </c>
      <c r="K97" s="419">
        <v>2040</v>
      </c>
      <c r="L97" s="419">
        <v>2045</v>
      </c>
      <c r="M97" s="419">
        <v>2050</v>
      </c>
      <c r="N97" s="410"/>
    </row>
    <row r="98" spans="1:14">
      <c r="A98" s="420" t="s">
        <v>543</v>
      </c>
      <c r="B98" s="421"/>
      <c r="C98" s="421"/>
      <c r="D98" s="421"/>
      <c r="E98" s="422">
        <v>6.7</v>
      </c>
      <c r="F98" s="422">
        <v>7.4</v>
      </c>
      <c r="G98" s="422">
        <v>6.5</v>
      </c>
      <c r="H98" s="422">
        <v>7.1360239528224252</v>
      </c>
      <c r="I98" s="422">
        <v>6.8720479056448491</v>
      </c>
      <c r="J98" s="422">
        <v>7.0000002209023497</v>
      </c>
      <c r="K98" s="422">
        <v>7.1279525361598495</v>
      </c>
      <c r="L98" s="422">
        <v>7.2559048514173492</v>
      </c>
      <c r="M98" s="422">
        <v>7.3838571666748498</v>
      </c>
      <c r="N98" s="410"/>
    </row>
    <row r="99" spans="1:14">
      <c r="A99" s="420" t="s">
        <v>544</v>
      </c>
      <c r="B99" s="423">
        <f>1</f>
        <v>1</v>
      </c>
      <c r="C99" s="423">
        <f>1</f>
        <v>1</v>
      </c>
      <c r="D99" s="423">
        <f>1</f>
        <v>1</v>
      </c>
      <c r="E99" s="423">
        <f>1</f>
        <v>1</v>
      </c>
      <c r="F99" s="423">
        <f>1</f>
        <v>1</v>
      </c>
      <c r="G99" s="423">
        <v>1</v>
      </c>
      <c r="H99" s="423">
        <v>0.95</v>
      </c>
      <c r="I99" s="423">
        <v>0.95</v>
      </c>
      <c r="J99" s="423">
        <f t="shared" ref="J99" si="27">I99</f>
        <v>0.95</v>
      </c>
      <c r="K99" s="423">
        <f>J99</f>
        <v>0.95</v>
      </c>
      <c r="L99" s="423">
        <f>K99</f>
        <v>0.95</v>
      </c>
      <c r="M99" s="423">
        <f>L99</f>
        <v>0.95</v>
      </c>
      <c r="N99" s="410"/>
    </row>
    <row r="100" spans="1:14">
      <c r="A100" s="424" t="s">
        <v>545</v>
      </c>
      <c r="B100" s="425">
        <v>1</v>
      </c>
      <c r="C100" s="426">
        <f t="shared" ref="C100:F101" si="28">B100</f>
        <v>1</v>
      </c>
      <c r="D100" s="426">
        <f t="shared" si="28"/>
        <v>1</v>
      </c>
      <c r="E100" s="426">
        <f t="shared" si="28"/>
        <v>1</v>
      </c>
      <c r="F100" s="426">
        <f t="shared" si="28"/>
        <v>1</v>
      </c>
      <c r="G100" s="425">
        <v>1</v>
      </c>
      <c r="H100" s="425">
        <f t="shared" ref="H100:H101" si="29">0.5*G100+0.5*I100</f>
        <v>0.99</v>
      </c>
      <c r="I100" s="425">
        <v>0.98</v>
      </c>
      <c r="J100" s="425">
        <f>0.75*I100+0.25*M100</f>
        <v>0.97249999999999992</v>
      </c>
      <c r="K100" s="425">
        <f>0.5*I100+0.5*M100</f>
        <v>0.96499999999999997</v>
      </c>
      <c r="L100" s="425">
        <f>0.25*I100+0.75*M100</f>
        <v>0.95749999999999991</v>
      </c>
      <c r="M100" s="425">
        <v>0.95</v>
      </c>
      <c r="N100" s="410"/>
    </row>
    <row r="101" spans="1:14">
      <c r="A101" s="424" t="s">
        <v>546</v>
      </c>
      <c r="B101" s="425">
        <v>0</v>
      </c>
      <c r="C101" s="426">
        <f t="shared" si="28"/>
        <v>0</v>
      </c>
      <c r="D101" s="426">
        <f t="shared" si="28"/>
        <v>0</v>
      </c>
      <c r="E101" s="426">
        <f t="shared" si="28"/>
        <v>0</v>
      </c>
      <c r="F101" s="426">
        <f t="shared" si="28"/>
        <v>0</v>
      </c>
      <c r="G101" s="425">
        <v>0</v>
      </c>
      <c r="H101" s="425">
        <f t="shared" si="29"/>
        <v>0.01</v>
      </c>
      <c r="I101" s="425">
        <v>0.02</v>
      </c>
      <c r="J101" s="425">
        <f>0.75*I101+0.25*M101</f>
        <v>2.75E-2</v>
      </c>
      <c r="K101" s="425">
        <f>0.5*I101+0.5*M101</f>
        <v>3.5000000000000003E-2</v>
      </c>
      <c r="L101" s="425">
        <f>0.25*I101+0.75*M101</f>
        <v>4.2500000000000003E-2</v>
      </c>
      <c r="M101" s="425">
        <v>0.05</v>
      </c>
      <c r="N101" s="410"/>
    </row>
    <row r="102" spans="1:14">
      <c r="A102" s="580" t="s">
        <v>547</v>
      </c>
      <c r="B102" s="580"/>
      <c r="C102" s="580"/>
      <c r="D102" s="580"/>
      <c r="E102" s="580"/>
      <c r="F102" s="580"/>
      <c r="G102" s="580"/>
      <c r="H102" s="580"/>
      <c r="I102" s="580"/>
      <c r="J102" s="580"/>
      <c r="K102" s="580"/>
      <c r="L102" s="580"/>
      <c r="M102" s="580"/>
      <c r="N102" s="410"/>
    </row>
    <row r="103" spans="1:14">
      <c r="A103" s="410"/>
      <c r="B103" s="410"/>
      <c r="C103" s="410"/>
      <c r="D103" s="410"/>
      <c r="E103" s="410"/>
      <c r="F103" s="410"/>
      <c r="G103" s="410"/>
      <c r="H103" s="410"/>
      <c r="I103" s="410"/>
      <c r="J103" s="410"/>
      <c r="K103" s="410"/>
      <c r="L103" s="410"/>
      <c r="M103" s="410"/>
      <c r="N103" s="410"/>
    </row>
    <row r="104" spans="1:14">
      <c r="A104" s="417"/>
      <c r="B104" s="418">
        <v>2019</v>
      </c>
      <c r="C104" s="418">
        <v>2020</v>
      </c>
      <c r="D104" s="418">
        <v>2025</v>
      </c>
      <c r="E104" s="419">
        <v>2030</v>
      </c>
      <c r="F104" s="419">
        <v>2035</v>
      </c>
      <c r="G104" s="419">
        <v>2040</v>
      </c>
      <c r="H104" s="419">
        <v>2045</v>
      </c>
      <c r="I104" s="419">
        <v>2050</v>
      </c>
      <c r="J104" s="410"/>
      <c r="K104" s="410"/>
      <c r="L104" s="410"/>
      <c r="M104" s="410"/>
      <c r="N104" s="410"/>
    </row>
    <row r="105" spans="1:14">
      <c r="A105" s="420" t="s">
        <v>548</v>
      </c>
      <c r="B105" s="427">
        <f>B91*B92</f>
        <v>204.68799999999999</v>
      </c>
      <c r="C105" s="427">
        <f t="shared" ref="C105:I105" si="30">$B$105*G99*E31/$D$31</f>
        <v>204.68799999999999</v>
      </c>
      <c r="D105" s="427">
        <f t="shared" si="30"/>
        <v>214.12987665019691</v>
      </c>
      <c r="E105" s="427">
        <f t="shared" si="30"/>
        <v>223.91678773207761</v>
      </c>
      <c r="F105" s="427">
        <f t="shared" si="30"/>
        <v>232.75080044361417</v>
      </c>
      <c r="G105" s="427">
        <f t="shared" si="30"/>
        <v>240.6534087330098</v>
      </c>
      <c r="H105" s="427">
        <f t="shared" si="30"/>
        <v>247.48131961224286</v>
      </c>
      <c r="I105" s="427">
        <f t="shared" si="30"/>
        <v>253.04825219688504</v>
      </c>
      <c r="J105" s="410" t="s">
        <v>549</v>
      </c>
      <c r="K105" s="410"/>
      <c r="L105" s="410"/>
      <c r="M105" s="410"/>
      <c r="N105" s="410"/>
    </row>
    <row r="106" spans="1:14">
      <c r="A106" s="420" t="s">
        <v>550</v>
      </c>
      <c r="B106" s="423">
        <f>B105</f>
        <v>204.68799999999999</v>
      </c>
      <c r="C106" s="423">
        <f t="shared" ref="C106:H106" si="31">C105*G100</f>
        <v>204.68799999999999</v>
      </c>
      <c r="D106" s="423">
        <f t="shared" si="31"/>
        <v>211.98857788369494</v>
      </c>
      <c r="E106" s="423">
        <f t="shared" si="31"/>
        <v>219.43845197743605</v>
      </c>
      <c r="F106" s="423">
        <f t="shared" si="31"/>
        <v>226.35015343141475</v>
      </c>
      <c r="G106" s="423">
        <f t="shared" si="31"/>
        <v>232.23053942735444</v>
      </c>
      <c r="H106" s="423">
        <f t="shared" si="31"/>
        <v>236.96336352872251</v>
      </c>
      <c r="I106" s="423">
        <f>I105*M100</f>
        <v>240.39583958704077</v>
      </c>
      <c r="J106" s="410"/>
      <c r="K106" s="410"/>
      <c r="L106" s="410"/>
      <c r="M106" s="410"/>
      <c r="N106" s="410"/>
    </row>
    <row r="107" spans="1:14">
      <c r="A107" s="424" t="s">
        <v>551</v>
      </c>
      <c r="B107" s="427">
        <v>0</v>
      </c>
      <c r="C107" s="427">
        <f t="shared" ref="C107:H107" si="32">C105*G101</f>
        <v>0</v>
      </c>
      <c r="D107" s="427">
        <f t="shared" si="32"/>
        <v>2.1412987665019689</v>
      </c>
      <c r="E107" s="427">
        <f t="shared" si="32"/>
        <v>4.4783357546415523</v>
      </c>
      <c r="F107" s="427">
        <f t="shared" si="32"/>
        <v>6.4006470121993893</v>
      </c>
      <c r="G107" s="427">
        <f t="shared" si="32"/>
        <v>8.4228693056553432</v>
      </c>
      <c r="H107" s="427">
        <f t="shared" si="32"/>
        <v>10.517956083520323</v>
      </c>
      <c r="I107" s="427">
        <f>I105*M101</f>
        <v>12.652412609844253</v>
      </c>
      <c r="J107" s="410"/>
      <c r="K107" s="410"/>
      <c r="L107" s="410"/>
      <c r="M107" s="410"/>
      <c r="N107" s="410"/>
    </row>
    <row r="108" spans="1:14">
      <c r="A108" s="576" t="s">
        <v>552</v>
      </c>
      <c r="B108" s="576"/>
      <c r="C108" s="576"/>
      <c r="D108" s="576"/>
      <c r="E108" s="576"/>
      <c r="F108" s="576"/>
      <c r="G108" s="576"/>
      <c r="H108" s="576"/>
      <c r="I108" s="576"/>
      <c r="J108" s="410"/>
      <c r="K108" s="410"/>
      <c r="L108" s="410"/>
      <c r="M108" s="410"/>
      <c r="N108" s="410"/>
    </row>
    <row r="109" spans="1:14">
      <c r="A109" s="322"/>
      <c r="B109" s="322"/>
      <c r="C109" s="322"/>
      <c r="D109" s="322"/>
      <c r="E109" s="322"/>
      <c r="F109" s="322"/>
      <c r="G109" s="322"/>
      <c r="H109" s="322"/>
      <c r="I109" s="322"/>
      <c r="J109" s="410"/>
      <c r="K109" s="410"/>
      <c r="L109" s="410"/>
      <c r="M109" s="410"/>
      <c r="N109" s="410"/>
    </row>
    <row r="110" spans="1:14">
      <c r="A110" s="416" t="s">
        <v>553</v>
      </c>
      <c r="B110" s="410"/>
      <c r="C110" s="410"/>
      <c r="D110" s="410"/>
      <c r="E110" s="410"/>
      <c r="F110" s="410"/>
      <c r="G110" s="410"/>
      <c r="H110" s="410"/>
      <c r="I110" s="410"/>
      <c r="J110" s="410"/>
      <c r="K110" s="410"/>
      <c r="L110" s="410"/>
      <c r="M110" s="410"/>
      <c r="N110" s="410"/>
    </row>
    <row r="111" spans="1:14">
      <c r="A111" s="410"/>
      <c r="B111" s="410"/>
      <c r="C111" s="410"/>
      <c r="D111" s="410"/>
      <c r="E111" s="410"/>
      <c r="F111" s="410"/>
      <c r="G111" s="410"/>
      <c r="H111" s="410"/>
      <c r="I111" s="410"/>
      <c r="J111" s="410"/>
      <c r="K111" s="410"/>
      <c r="L111" s="410"/>
      <c r="M111" s="410"/>
      <c r="N111" s="410"/>
    </row>
    <row r="112" spans="1:14">
      <c r="A112" s="417"/>
      <c r="B112" s="418">
        <v>2015</v>
      </c>
      <c r="C112" s="418">
        <v>2016</v>
      </c>
      <c r="D112" s="418">
        <v>2017</v>
      </c>
      <c r="E112" s="419">
        <v>2018</v>
      </c>
      <c r="F112" s="419">
        <v>2019</v>
      </c>
      <c r="G112" s="419">
        <v>2020</v>
      </c>
      <c r="H112" s="419">
        <v>2025</v>
      </c>
      <c r="I112" s="419">
        <v>2030</v>
      </c>
      <c r="J112" s="419">
        <v>2035</v>
      </c>
      <c r="K112" s="419">
        <v>2040</v>
      </c>
      <c r="L112" s="419">
        <v>2045</v>
      </c>
      <c r="M112" s="419">
        <v>2050</v>
      </c>
      <c r="N112" s="410"/>
    </row>
    <row r="113" spans="1:14">
      <c r="A113" s="420" t="s">
        <v>554</v>
      </c>
      <c r="B113" s="428">
        <v>1</v>
      </c>
      <c r="C113" s="428">
        <v>1</v>
      </c>
      <c r="D113" s="428">
        <v>1</v>
      </c>
      <c r="E113" s="422">
        <v>1</v>
      </c>
      <c r="F113" s="422">
        <v>1</v>
      </c>
      <c r="G113" s="422">
        <v>1</v>
      </c>
      <c r="H113" s="422">
        <v>1.0149999999999999</v>
      </c>
      <c r="I113" s="422">
        <v>1.05</v>
      </c>
      <c r="J113" s="422">
        <v>1.1421451712341411</v>
      </c>
      <c r="K113" s="422">
        <v>1.2423767544509194</v>
      </c>
      <c r="L113" s="422">
        <v>1.3514043913806302</v>
      </c>
      <c r="M113" s="422">
        <v>1.47</v>
      </c>
      <c r="N113" s="410"/>
    </row>
    <row r="114" spans="1:14">
      <c r="A114" s="420" t="s">
        <v>555</v>
      </c>
      <c r="B114" s="423">
        <v>1</v>
      </c>
      <c r="C114" s="423">
        <v>1</v>
      </c>
      <c r="D114" s="423">
        <v>1</v>
      </c>
      <c r="E114" s="423">
        <v>1</v>
      </c>
      <c r="F114" s="423">
        <v>1</v>
      </c>
      <c r="G114" s="423">
        <v>1</v>
      </c>
      <c r="H114" s="423">
        <v>0.9</v>
      </c>
      <c r="I114" s="423">
        <v>0.8</v>
      </c>
      <c r="J114" s="423">
        <v>0.72499999999999998</v>
      </c>
      <c r="K114" s="423">
        <v>0.65</v>
      </c>
      <c r="L114" s="423">
        <v>0.57499999999999996</v>
      </c>
      <c r="M114" s="423">
        <v>0.5</v>
      </c>
      <c r="N114" s="410"/>
    </row>
    <row r="115" spans="1:14">
      <c r="A115" s="429" t="s">
        <v>556</v>
      </c>
      <c r="B115" s="430">
        <v>0</v>
      </c>
      <c r="C115" s="430">
        <f>B115</f>
        <v>0</v>
      </c>
      <c r="D115" s="430">
        <f t="shared" ref="D115:F115" si="33">C115</f>
        <v>0</v>
      </c>
      <c r="E115" s="430">
        <f t="shared" si="33"/>
        <v>0</v>
      </c>
      <c r="F115" s="430">
        <f t="shared" si="33"/>
        <v>0</v>
      </c>
      <c r="G115" s="430">
        <v>0.02</v>
      </c>
      <c r="H115" s="430">
        <v>0.03</v>
      </c>
      <c r="I115" s="430">
        <v>0.04</v>
      </c>
      <c r="J115" s="430">
        <v>0.05</v>
      </c>
      <c r="K115" s="430">
        <v>0.06</v>
      </c>
      <c r="L115" s="430">
        <v>7.0000000000000007E-2</v>
      </c>
      <c r="M115" s="430">
        <v>0.08</v>
      </c>
      <c r="N115" s="410"/>
    </row>
    <row r="116" spans="1:14">
      <c r="A116" s="431" t="s">
        <v>557</v>
      </c>
      <c r="B116" s="432">
        <v>0</v>
      </c>
      <c r="C116" s="433">
        <f t="shared" ref="C116:G118" si="34">B116</f>
        <v>0</v>
      </c>
      <c r="D116" s="433">
        <f t="shared" si="34"/>
        <v>0</v>
      </c>
      <c r="E116" s="433">
        <f t="shared" si="34"/>
        <v>0</v>
      </c>
      <c r="F116" s="433">
        <f t="shared" si="34"/>
        <v>0</v>
      </c>
      <c r="G116" s="432">
        <f>0</f>
        <v>0</v>
      </c>
      <c r="H116" s="432">
        <f>0</f>
        <v>0</v>
      </c>
      <c r="I116" s="432">
        <f>0</f>
        <v>0</v>
      </c>
      <c r="J116" s="432">
        <f>0</f>
        <v>0</v>
      </c>
      <c r="K116" s="432">
        <f>0</f>
        <v>0</v>
      </c>
      <c r="L116" s="432">
        <f>0</f>
        <v>0</v>
      </c>
      <c r="M116" s="432">
        <f>0</f>
        <v>0</v>
      </c>
      <c r="N116" s="410"/>
    </row>
    <row r="117" spans="1:14">
      <c r="A117" s="431" t="s">
        <v>558</v>
      </c>
      <c r="B117" s="432">
        <f>B115-B116</f>
        <v>0</v>
      </c>
      <c r="C117" s="432">
        <f t="shared" ref="C117:M117" si="35">C115-C116</f>
        <v>0</v>
      </c>
      <c r="D117" s="432">
        <f t="shared" si="35"/>
        <v>0</v>
      </c>
      <c r="E117" s="432">
        <f t="shared" si="35"/>
        <v>0</v>
      </c>
      <c r="F117" s="432">
        <f t="shared" si="35"/>
        <v>0</v>
      </c>
      <c r="G117" s="432">
        <f t="shared" si="35"/>
        <v>0.02</v>
      </c>
      <c r="H117" s="432">
        <f t="shared" si="35"/>
        <v>0.03</v>
      </c>
      <c r="I117" s="432">
        <f t="shared" si="35"/>
        <v>0.04</v>
      </c>
      <c r="J117" s="432">
        <f t="shared" si="35"/>
        <v>0.05</v>
      </c>
      <c r="K117" s="432">
        <f t="shared" si="35"/>
        <v>0.06</v>
      </c>
      <c r="L117" s="432">
        <f t="shared" si="35"/>
        <v>7.0000000000000007E-2</v>
      </c>
      <c r="M117" s="432">
        <f t="shared" si="35"/>
        <v>0.08</v>
      </c>
      <c r="N117" s="410"/>
    </row>
    <row r="118" spans="1:14">
      <c r="A118" s="434" t="s">
        <v>559</v>
      </c>
      <c r="B118" s="435">
        <v>1</v>
      </c>
      <c r="C118" s="435">
        <f t="shared" si="34"/>
        <v>1</v>
      </c>
      <c r="D118" s="435">
        <f t="shared" si="34"/>
        <v>1</v>
      </c>
      <c r="E118" s="435">
        <f t="shared" si="34"/>
        <v>1</v>
      </c>
      <c r="F118" s="435">
        <f t="shared" si="34"/>
        <v>1</v>
      </c>
      <c r="G118" s="435">
        <f t="shared" si="34"/>
        <v>1</v>
      </c>
      <c r="H118" s="435">
        <f>1-H115</f>
        <v>0.97</v>
      </c>
      <c r="I118" s="435">
        <f t="shared" ref="I118:M118" si="36">1-I115</f>
        <v>0.96</v>
      </c>
      <c r="J118" s="435">
        <f t="shared" si="36"/>
        <v>0.95</v>
      </c>
      <c r="K118" s="435">
        <f t="shared" si="36"/>
        <v>0.94</v>
      </c>
      <c r="L118" s="435">
        <f t="shared" si="36"/>
        <v>0.92999999999999994</v>
      </c>
      <c r="M118" s="435">
        <f t="shared" si="36"/>
        <v>0.92</v>
      </c>
      <c r="N118" s="410"/>
    </row>
    <row r="119" spans="1:14">
      <c r="A119" s="436" t="s">
        <v>560</v>
      </c>
      <c r="B119" s="437">
        <f>0%</f>
        <v>0</v>
      </c>
      <c r="C119" s="437">
        <f>0%</f>
        <v>0</v>
      </c>
      <c r="D119" s="437">
        <f>0%</f>
        <v>0</v>
      </c>
      <c r="E119" s="437">
        <f>0%</f>
        <v>0</v>
      </c>
      <c r="F119" s="437">
        <f>0%</f>
        <v>0</v>
      </c>
      <c r="G119" s="437">
        <f>0%</f>
        <v>0</v>
      </c>
      <c r="H119" s="437">
        <f>0%</f>
        <v>0</v>
      </c>
      <c r="I119" s="437">
        <f>0%</f>
        <v>0</v>
      </c>
      <c r="J119" s="437">
        <f>0%</f>
        <v>0</v>
      </c>
      <c r="K119" s="437">
        <f>0%</f>
        <v>0</v>
      </c>
      <c r="L119" s="437">
        <f>0%</f>
        <v>0</v>
      </c>
      <c r="M119" s="437">
        <f>0%</f>
        <v>0</v>
      </c>
      <c r="N119" s="410"/>
    </row>
    <row r="120" spans="1:14">
      <c r="A120" s="436" t="s">
        <v>561</v>
      </c>
      <c r="B120" s="437">
        <f>B118-B119</f>
        <v>1</v>
      </c>
      <c r="C120" s="437">
        <f t="shared" ref="C120:M120" si="37">C118-C119</f>
        <v>1</v>
      </c>
      <c r="D120" s="437">
        <f t="shared" si="37"/>
        <v>1</v>
      </c>
      <c r="E120" s="437">
        <f t="shared" si="37"/>
        <v>1</v>
      </c>
      <c r="F120" s="437">
        <f t="shared" si="37"/>
        <v>1</v>
      </c>
      <c r="G120" s="437">
        <f t="shared" si="37"/>
        <v>1</v>
      </c>
      <c r="H120" s="437">
        <f t="shared" si="37"/>
        <v>0.97</v>
      </c>
      <c r="I120" s="437">
        <f t="shared" si="37"/>
        <v>0.96</v>
      </c>
      <c r="J120" s="437">
        <f t="shared" si="37"/>
        <v>0.95</v>
      </c>
      <c r="K120" s="437">
        <f t="shared" si="37"/>
        <v>0.94</v>
      </c>
      <c r="L120" s="437">
        <f t="shared" si="37"/>
        <v>0.92999999999999994</v>
      </c>
      <c r="M120" s="437">
        <f t="shared" si="37"/>
        <v>0.92</v>
      </c>
      <c r="N120" s="410"/>
    </row>
    <row r="121" spans="1:14">
      <c r="A121" s="576" t="s">
        <v>562</v>
      </c>
      <c r="B121" s="576"/>
      <c r="C121" s="576"/>
      <c r="D121" s="576"/>
      <c r="E121" s="576"/>
      <c r="F121" s="576"/>
      <c r="G121" s="576"/>
      <c r="H121" s="576"/>
      <c r="I121" s="576"/>
      <c r="J121" s="576"/>
      <c r="K121" s="576"/>
      <c r="L121" s="576"/>
      <c r="M121" s="576"/>
      <c r="N121" s="410"/>
    </row>
    <row r="122" spans="1:14">
      <c r="A122" s="322"/>
      <c r="B122" s="322"/>
      <c r="C122" s="322"/>
      <c r="D122" s="322"/>
      <c r="E122" s="322"/>
      <c r="F122" s="322"/>
      <c r="G122" s="322"/>
      <c r="H122" s="322"/>
      <c r="I122" s="322"/>
      <c r="J122" s="322"/>
      <c r="K122" s="322"/>
      <c r="L122" s="322"/>
      <c r="M122" s="322"/>
      <c r="N122" s="410"/>
    </row>
    <row r="123" spans="1:14">
      <c r="A123" s="438" t="s">
        <v>563</v>
      </c>
      <c r="B123" s="439"/>
      <c r="C123" s="439"/>
      <c r="D123" s="439"/>
      <c r="E123" s="440"/>
      <c r="F123" s="440"/>
      <c r="G123" s="440"/>
      <c r="H123" s="440"/>
      <c r="I123" s="440"/>
      <c r="J123" s="440"/>
      <c r="K123" s="440"/>
      <c r="L123" s="440"/>
      <c r="M123" s="440"/>
      <c r="N123" s="410"/>
    </row>
    <row r="124" spans="1:14">
      <c r="A124" s="417"/>
      <c r="B124" s="419">
        <v>2019</v>
      </c>
      <c r="C124" s="419">
        <v>2020</v>
      </c>
      <c r="D124" s="419">
        <v>2025</v>
      </c>
      <c r="E124" s="419">
        <v>2030</v>
      </c>
      <c r="F124" s="419">
        <v>2035</v>
      </c>
      <c r="G124" s="419">
        <v>2040</v>
      </c>
      <c r="H124" s="419">
        <v>2045</v>
      </c>
      <c r="I124" s="419">
        <v>2050</v>
      </c>
      <c r="J124" s="410"/>
      <c r="K124" s="410"/>
      <c r="L124" s="410"/>
      <c r="M124" s="410"/>
      <c r="N124" s="410"/>
    </row>
    <row r="125" spans="1:14">
      <c r="A125" s="420" t="s">
        <v>564</v>
      </c>
      <c r="B125" s="441">
        <f>B91*B93</f>
        <v>271.10000000000002</v>
      </c>
      <c r="C125" s="441">
        <f t="shared" ref="C125:I125" si="38">$B$125*G113*G114</f>
        <v>271.10000000000002</v>
      </c>
      <c r="D125" s="441">
        <f t="shared" si="38"/>
        <v>247.64984999999999</v>
      </c>
      <c r="E125" s="441">
        <f t="shared" si="38"/>
        <v>227.72400000000005</v>
      </c>
      <c r="F125" s="441">
        <f t="shared" si="38"/>
        <v>224.48577804314235</v>
      </c>
      <c r="G125" s="441">
        <f t="shared" si="38"/>
        <v>218.92541978556881</v>
      </c>
      <c r="H125" s="441">
        <f t="shared" si="38"/>
        <v>210.66029503939109</v>
      </c>
      <c r="I125" s="441">
        <f t="shared" si="38"/>
        <v>199.25850000000003</v>
      </c>
      <c r="J125" s="410"/>
      <c r="K125" s="410"/>
      <c r="L125" s="410"/>
      <c r="M125" s="410"/>
      <c r="N125" s="410"/>
    </row>
    <row r="126" spans="1:14">
      <c r="A126" s="420" t="s">
        <v>565</v>
      </c>
      <c r="B126" s="441">
        <f t="shared" ref="B126:I126" si="39">B125*F116</f>
        <v>0</v>
      </c>
      <c r="C126" s="441">
        <f t="shared" si="39"/>
        <v>0</v>
      </c>
      <c r="D126" s="441">
        <f t="shared" si="39"/>
        <v>0</v>
      </c>
      <c r="E126" s="441">
        <f t="shared" si="39"/>
        <v>0</v>
      </c>
      <c r="F126" s="441">
        <f t="shared" si="39"/>
        <v>0</v>
      </c>
      <c r="G126" s="441">
        <f t="shared" si="39"/>
        <v>0</v>
      </c>
      <c r="H126" s="441">
        <f t="shared" si="39"/>
        <v>0</v>
      </c>
      <c r="I126" s="441">
        <f t="shared" si="39"/>
        <v>0</v>
      </c>
      <c r="J126" s="410"/>
      <c r="K126" s="410"/>
      <c r="L126" s="410"/>
      <c r="M126" s="410"/>
      <c r="N126" s="410"/>
    </row>
    <row r="127" spans="1:14">
      <c r="A127" s="420" t="s">
        <v>566</v>
      </c>
      <c r="B127" s="441">
        <f t="shared" ref="B127:I127" si="40">B125*F117</f>
        <v>0</v>
      </c>
      <c r="C127" s="441">
        <f t="shared" si="40"/>
        <v>5.4220000000000006</v>
      </c>
      <c r="D127" s="441">
        <f t="shared" si="40"/>
        <v>7.4294954999999989</v>
      </c>
      <c r="E127" s="441">
        <f t="shared" si="40"/>
        <v>9.1089600000000015</v>
      </c>
      <c r="F127" s="441">
        <f t="shared" si="40"/>
        <v>11.224288902157118</v>
      </c>
      <c r="G127" s="441">
        <f t="shared" si="40"/>
        <v>13.135525187134128</v>
      </c>
      <c r="H127" s="441">
        <f t="shared" si="40"/>
        <v>14.746220652757378</v>
      </c>
      <c r="I127" s="441">
        <f t="shared" si="40"/>
        <v>15.940680000000002</v>
      </c>
      <c r="J127" s="410"/>
      <c r="K127" s="410"/>
      <c r="L127" s="410"/>
      <c r="M127" s="410"/>
      <c r="N127" s="410"/>
    </row>
    <row r="128" spans="1:14">
      <c r="A128" s="420" t="s">
        <v>567</v>
      </c>
      <c r="B128" s="423">
        <f t="shared" ref="B128:I128" si="41">B125*F120</f>
        <v>271.10000000000002</v>
      </c>
      <c r="C128" s="423">
        <f t="shared" si="41"/>
        <v>271.10000000000002</v>
      </c>
      <c r="D128" s="423">
        <f t="shared" si="41"/>
        <v>240.22035449999998</v>
      </c>
      <c r="E128" s="423">
        <f t="shared" si="41"/>
        <v>218.61504000000005</v>
      </c>
      <c r="F128" s="423">
        <f t="shared" si="41"/>
        <v>213.26148914098522</v>
      </c>
      <c r="G128" s="423">
        <f t="shared" si="41"/>
        <v>205.78989459843467</v>
      </c>
      <c r="H128" s="423">
        <f t="shared" si="41"/>
        <v>195.9140743866337</v>
      </c>
      <c r="I128" s="423">
        <f t="shared" si="41"/>
        <v>183.31782000000004</v>
      </c>
      <c r="J128" s="249"/>
      <c r="K128" s="249"/>
      <c r="L128" s="249"/>
      <c r="M128" s="249"/>
      <c r="N128" s="410"/>
    </row>
    <row r="129" spans="1:14">
      <c r="A129" s="573" t="s">
        <v>568</v>
      </c>
      <c r="B129" s="573"/>
      <c r="C129" s="573"/>
      <c r="D129" s="573"/>
      <c r="E129" s="573"/>
      <c r="F129" s="573"/>
      <c r="G129" s="573"/>
      <c r="H129" s="573"/>
      <c r="I129" s="573"/>
      <c r="J129" s="252"/>
      <c r="K129" s="252"/>
      <c r="L129" s="252"/>
      <c r="M129" s="252"/>
      <c r="N129" s="410"/>
    </row>
    <row r="130" spans="1:14">
      <c r="A130" s="410"/>
      <c r="B130" s="410"/>
      <c r="C130" s="410"/>
      <c r="D130" s="410"/>
      <c r="E130" s="410"/>
      <c r="F130" s="410"/>
      <c r="G130" s="410"/>
      <c r="H130" s="410"/>
      <c r="I130" s="410"/>
      <c r="J130" s="410"/>
      <c r="K130" s="410"/>
      <c r="L130" s="410"/>
      <c r="M130" s="410"/>
      <c r="N130" s="410"/>
    </row>
    <row r="131" spans="1:14" s="531" customFormat="1">
      <c r="A131" s="575" t="s">
        <v>663</v>
      </c>
      <c r="B131" s="575"/>
      <c r="C131" s="575"/>
      <c r="D131" s="575"/>
      <c r="E131" s="575"/>
      <c r="F131" s="575"/>
      <c r="G131" s="575"/>
      <c r="H131" s="575"/>
      <c r="I131" s="575"/>
      <c r="J131" s="575"/>
      <c r="K131" s="575"/>
    </row>
    <row r="132" spans="1:14" s="531" customFormat="1"/>
    <row r="133" spans="1:14" s="531" customFormat="1"/>
    <row r="134" spans="1:14" s="531" customFormat="1">
      <c r="A134" s="535"/>
      <c r="B134" s="413">
        <v>2019</v>
      </c>
      <c r="C134" s="230">
        <v>2020</v>
      </c>
      <c r="D134" s="230">
        <v>2025</v>
      </c>
      <c r="E134" s="230">
        <v>2030</v>
      </c>
      <c r="F134" s="230">
        <v>2035</v>
      </c>
      <c r="G134" s="230">
        <v>2040</v>
      </c>
      <c r="H134" s="230">
        <v>2045</v>
      </c>
      <c r="I134" s="230">
        <v>2050</v>
      </c>
      <c r="J134" s="256"/>
      <c r="K134" s="535"/>
      <c r="L134" s="535"/>
      <c r="M134" s="535"/>
    </row>
    <row r="135" spans="1:14" s="531" customFormat="1">
      <c r="A135" s="256" t="s">
        <v>538</v>
      </c>
      <c r="B135" s="414">
        <f>C3</f>
        <v>475.78800000000001</v>
      </c>
      <c r="C135" s="415">
        <f t="shared" ref="C135:I135" si="42">C149+C169</f>
        <v>475.78800000000001</v>
      </c>
      <c r="D135" s="415">
        <f t="shared" si="42"/>
        <v>461.77972665019689</v>
      </c>
      <c r="E135" s="415">
        <f t="shared" si="42"/>
        <v>435.51809364091571</v>
      </c>
      <c r="F135" s="415">
        <f t="shared" si="42"/>
        <v>413.10798651349262</v>
      </c>
      <c r="G135" s="415">
        <f t="shared" si="42"/>
        <v>388.51012337514658</v>
      </c>
      <c r="H135" s="415">
        <f t="shared" si="42"/>
        <v>322.67378770738537</v>
      </c>
      <c r="I135" s="415">
        <f t="shared" si="42"/>
        <v>252.94063250395169</v>
      </c>
      <c r="J135" s="256"/>
      <c r="K135" s="535"/>
      <c r="L135" s="535"/>
      <c r="M135" s="535"/>
    </row>
    <row r="136" spans="1:14" s="531" customFormat="1">
      <c r="A136" s="256" t="s">
        <v>539</v>
      </c>
      <c r="B136" s="361">
        <f>1-B137</f>
        <v>0.43020841214994909</v>
      </c>
      <c r="C136" s="361">
        <f>B136</f>
        <v>0.43020841214994909</v>
      </c>
      <c r="D136" s="361">
        <f t="shared" ref="D136" si="43">C136</f>
        <v>0.43020841214994909</v>
      </c>
      <c r="E136" s="361">
        <f t="shared" ref="E136" si="44">D136</f>
        <v>0.43020841214994909</v>
      </c>
      <c r="F136" s="361">
        <f t="shared" ref="F136" si="45">E136</f>
        <v>0.43020841214994909</v>
      </c>
      <c r="G136" s="361">
        <f t="shared" ref="G136" si="46">F136</f>
        <v>0.43020841214994909</v>
      </c>
      <c r="H136" s="361">
        <f t="shared" ref="H136" si="47">G136</f>
        <v>0.43020841214994909</v>
      </c>
      <c r="I136" s="361">
        <f t="shared" ref="I136" si="48">H136</f>
        <v>0.43020841214994909</v>
      </c>
      <c r="J136" s="256" t="s">
        <v>540</v>
      </c>
      <c r="K136" s="535"/>
      <c r="L136" s="535"/>
      <c r="M136" s="535"/>
    </row>
    <row r="137" spans="1:14" s="531" customFormat="1">
      <c r="A137" s="256" t="s">
        <v>541</v>
      </c>
      <c r="B137" s="361">
        <v>0.56979158785005091</v>
      </c>
      <c r="C137" s="361">
        <v>0.56979158785005091</v>
      </c>
      <c r="D137" s="361">
        <v>0.56979158785005091</v>
      </c>
      <c r="E137" s="361">
        <v>0.56979158785005091</v>
      </c>
      <c r="F137" s="361">
        <v>0.56979158785005091</v>
      </c>
      <c r="G137" s="361">
        <v>0.56979158785005091</v>
      </c>
      <c r="H137" s="361">
        <v>0.56979158785005091</v>
      </c>
      <c r="I137" s="361">
        <v>0.56979158785005091</v>
      </c>
      <c r="J137" s="256" t="s">
        <v>540</v>
      </c>
      <c r="K137" s="535"/>
      <c r="L137" s="535"/>
      <c r="M137" s="535"/>
    </row>
    <row r="138" spans="1:14">
      <c r="A138" s="535"/>
      <c r="B138" s="535"/>
      <c r="C138" s="535"/>
      <c r="D138" s="535"/>
      <c r="E138" s="535"/>
      <c r="F138" s="535"/>
      <c r="G138" s="535"/>
      <c r="H138" s="535"/>
      <c r="I138" s="535"/>
      <c r="J138" s="535"/>
      <c r="K138" s="535"/>
      <c r="L138" s="535"/>
      <c r="M138" s="535"/>
      <c r="N138" s="410"/>
    </row>
    <row r="139" spans="1:14">
      <c r="A139" s="416" t="s">
        <v>542</v>
      </c>
      <c r="B139" s="535"/>
      <c r="C139" s="535"/>
      <c r="D139" s="535"/>
      <c r="E139" s="535"/>
      <c r="F139" s="535"/>
      <c r="G139" s="535"/>
      <c r="H139" s="535"/>
      <c r="I139" s="535"/>
      <c r="J139" s="535"/>
      <c r="K139" s="535"/>
      <c r="L139" s="535"/>
      <c r="M139" s="535"/>
      <c r="N139" s="410"/>
    </row>
    <row r="140" spans="1:14">
      <c r="A140" s="535"/>
      <c r="B140" s="535"/>
      <c r="C140" s="535"/>
      <c r="D140" s="535"/>
      <c r="E140" s="535"/>
      <c r="F140" s="535"/>
      <c r="G140" s="535"/>
      <c r="H140" s="535"/>
      <c r="I140" s="535"/>
      <c r="J140" s="535"/>
      <c r="K140" s="535"/>
      <c r="L140" s="535"/>
      <c r="M140" s="535"/>
      <c r="N140" s="410"/>
    </row>
    <row r="141" spans="1:14">
      <c r="A141" s="417"/>
      <c r="B141" s="418">
        <v>2015</v>
      </c>
      <c r="C141" s="418">
        <v>2016</v>
      </c>
      <c r="D141" s="418">
        <v>2017</v>
      </c>
      <c r="E141" s="419">
        <v>2018</v>
      </c>
      <c r="F141" s="419">
        <v>2019</v>
      </c>
      <c r="G141" s="419">
        <v>2020</v>
      </c>
      <c r="H141" s="419">
        <v>2025</v>
      </c>
      <c r="I141" s="419">
        <v>2030</v>
      </c>
      <c r="J141" s="419">
        <v>2035</v>
      </c>
      <c r="K141" s="419">
        <v>2040</v>
      </c>
      <c r="L141" s="419">
        <v>2045</v>
      </c>
      <c r="M141" s="419">
        <v>2050</v>
      </c>
      <c r="N141" s="410"/>
    </row>
    <row r="142" spans="1:14">
      <c r="A142" s="420" t="s">
        <v>543</v>
      </c>
      <c r="B142" s="421"/>
      <c r="C142" s="421"/>
      <c r="D142" s="421"/>
      <c r="E142" s="422">
        <v>6.7</v>
      </c>
      <c r="F142" s="422">
        <v>7.4</v>
      </c>
      <c r="G142" s="422">
        <v>6.5</v>
      </c>
      <c r="H142" s="422">
        <v>8.4019402802782412</v>
      </c>
      <c r="I142" s="422">
        <v>10.158421406369076</v>
      </c>
      <c r="J142" s="422">
        <v>11.004956523566499</v>
      </c>
      <c r="K142" s="422">
        <v>11.851491640763923</v>
      </c>
      <c r="L142" s="422">
        <v>12.698026757961344</v>
      </c>
      <c r="M142" s="422">
        <v>13.544561875158768</v>
      </c>
      <c r="N142" s="410"/>
    </row>
    <row r="143" spans="1:14">
      <c r="A143" s="420" t="s">
        <v>544</v>
      </c>
      <c r="B143" s="423">
        <f>1</f>
        <v>1</v>
      </c>
      <c r="C143" s="423">
        <f>1</f>
        <v>1</v>
      </c>
      <c r="D143" s="423">
        <f>1</f>
        <v>1</v>
      </c>
      <c r="E143" s="423">
        <f>1</f>
        <v>1</v>
      </c>
      <c r="F143" s="423">
        <f>1</f>
        <v>1</v>
      </c>
      <c r="G143" s="423">
        <v>1</v>
      </c>
      <c r="H143" s="423">
        <v>0.95</v>
      </c>
      <c r="I143" s="423">
        <v>0.9</v>
      </c>
      <c r="J143" s="423">
        <v>0.85</v>
      </c>
      <c r="K143" s="423">
        <v>0.8</v>
      </c>
      <c r="L143" s="423">
        <v>0.6</v>
      </c>
      <c r="M143" s="423">
        <v>0.4</v>
      </c>
      <c r="N143" s="410"/>
    </row>
    <row r="144" spans="1:14">
      <c r="A144" s="424" t="s">
        <v>545</v>
      </c>
      <c r="B144" s="425">
        <v>1</v>
      </c>
      <c r="C144" s="426">
        <f t="shared" ref="C144:C145" si="49">B144</f>
        <v>1</v>
      </c>
      <c r="D144" s="426">
        <f t="shared" ref="D144:D145" si="50">C144</f>
        <v>1</v>
      </c>
      <c r="E144" s="426">
        <f t="shared" ref="E144:E145" si="51">D144</f>
        <v>1</v>
      </c>
      <c r="F144" s="426">
        <f t="shared" ref="F144:F145" si="52">E144</f>
        <v>1</v>
      </c>
      <c r="G144" s="425">
        <v>1</v>
      </c>
      <c r="H144" s="425">
        <v>0.99</v>
      </c>
      <c r="I144" s="425">
        <v>0.98</v>
      </c>
      <c r="J144" s="425">
        <v>0.90999999999999992</v>
      </c>
      <c r="K144" s="425">
        <v>0.84</v>
      </c>
      <c r="L144" s="425">
        <v>0.76999999999999991</v>
      </c>
      <c r="M144" s="425">
        <v>0.7</v>
      </c>
      <c r="N144" s="410"/>
    </row>
    <row r="145" spans="1:14">
      <c r="A145" s="424" t="s">
        <v>546</v>
      </c>
      <c r="B145" s="425">
        <v>0</v>
      </c>
      <c r="C145" s="426">
        <f t="shared" si="49"/>
        <v>0</v>
      </c>
      <c r="D145" s="426">
        <f t="shared" si="50"/>
        <v>0</v>
      </c>
      <c r="E145" s="426">
        <f t="shared" si="51"/>
        <v>0</v>
      </c>
      <c r="F145" s="426">
        <f t="shared" si="52"/>
        <v>0</v>
      </c>
      <c r="G145" s="425">
        <v>0</v>
      </c>
      <c r="H145" s="425">
        <v>0.01</v>
      </c>
      <c r="I145" s="425">
        <v>0.02</v>
      </c>
      <c r="J145" s="425">
        <v>0.09</v>
      </c>
      <c r="K145" s="425">
        <v>0.16</v>
      </c>
      <c r="L145" s="425">
        <v>0.22999999999999998</v>
      </c>
      <c r="M145" s="425">
        <v>0.3</v>
      </c>
      <c r="N145" s="410"/>
    </row>
    <row r="146" spans="1:14">
      <c r="A146" s="580" t="s">
        <v>547</v>
      </c>
      <c r="B146" s="580"/>
      <c r="C146" s="580"/>
      <c r="D146" s="580"/>
      <c r="E146" s="580"/>
      <c r="F146" s="580"/>
      <c r="G146" s="580"/>
      <c r="H146" s="580"/>
      <c r="I146" s="580"/>
      <c r="J146" s="580"/>
      <c r="K146" s="580"/>
      <c r="L146" s="580"/>
      <c r="M146" s="580"/>
      <c r="N146" s="410"/>
    </row>
    <row r="147" spans="1:14">
      <c r="A147" s="535"/>
      <c r="B147" s="535"/>
      <c r="C147" s="535"/>
      <c r="D147" s="535"/>
      <c r="E147" s="535"/>
      <c r="F147" s="535"/>
      <c r="G147" s="535"/>
      <c r="H147" s="535"/>
      <c r="I147" s="535"/>
      <c r="J147" s="535"/>
      <c r="K147" s="535"/>
      <c r="L147" s="535"/>
      <c r="M147" s="535"/>
      <c r="N147" s="410"/>
    </row>
    <row r="148" spans="1:14">
      <c r="A148" s="417"/>
      <c r="B148" s="418">
        <v>2019</v>
      </c>
      <c r="C148" s="418">
        <v>2020</v>
      </c>
      <c r="D148" s="418">
        <v>2025</v>
      </c>
      <c r="E148" s="419">
        <v>2030</v>
      </c>
      <c r="F148" s="419">
        <v>2035</v>
      </c>
      <c r="G148" s="419">
        <v>2040</v>
      </c>
      <c r="H148" s="419">
        <v>2045</v>
      </c>
      <c r="I148" s="419">
        <v>2050</v>
      </c>
      <c r="J148" s="535"/>
      <c r="K148" s="535"/>
      <c r="L148" s="535"/>
      <c r="M148" s="535"/>
      <c r="N148" s="410"/>
    </row>
    <row r="149" spans="1:14">
      <c r="A149" s="420" t="s">
        <v>548</v>
      </c>
      <c r="B149" s="538">
        <f>B135*B136</f>
        <v>204.68799999999999</v>
      </c>
      <c r="C149" s="538">
        <f>$B$149*G143*E31/$D$31</f>
        <v>204.68799999999999</v>
      </c>
      <c r="D149" s="538">
        <f t="shared" ref="D149:I149" si="53">$B$149*H143*F31/$D$31</f>
        <v>214.12987665019691</v>
      </c>
      <c r="E149" s="538">
        <f t="shared" si="53"/>
        <v>212.13169364091567</v>
      </c>
      <c r="F149" s="538">
        <f t="shared" si="53"/>
        <v>208.25071618639163</v>
      </c>
      <c r="G149" s="538">
        <f t="shared" si="53"/>
        <v>202.65550209095568</v>
      </c>
      <c r="H149" s="538">
        <f t="shared" si="53"/>
        <v>156.30399133404811</v>
      </c>
      <c r="I149" s="538">
        <f t="shared" si="53"/>
        <v>106.54663250395164</v>
      </c>
      <c r="J149" s="535" t="s">
        <v>549</v>
      </c>
      <c r="K149" s="535"/>
      <c r="L149" s="535"/>
      <c r="M149" s="535"/>
      <c r="N149" s="410"/>
    </row>
    <row r="150" spans="1:14">
      <c r="A150" s="420" t="s">
        <v>550</v>
      </c>
      <c r="B150" s="539">
        <f>B149</f>
        <v>204.68799999999999</v>
      </c>
      <c r="C150" s="539">
        <f t="shared" ref="C150" si="54">C149*G144</f>
        <v>204.68799999999999</v>
      </c>
      <c r="D150" s="539">
        <f t="shared" ref="D150" si="55">D149*H144</f>
        <v>211.98857788369494</v>
      </c>
      <c r="E150" s="539">
        <f t="shared" ref="E150" si="56">E149*I144</f>
        <v>207.88905976809735</v>
      </c>
      <c r="F150" s="539">
        <f t="shared" ref="F150" si="57">F149*J144</f>
        <v>189.50815172961637</v>
      </c>
      <c r="G150" s="539">
        <f t="shared" ref="G150" si="58">G149*K144</f>
        <v>170.23062175640277</v>
      </c>
      <c r="H150" s="539">
        <f t="shared" ref="H150" si="59">H149*L144</f>
        <v>120.35407332721702</v>
      </c>
      <c r="I150" s="539">
        <f>I149*M144</f>
        <v>74.582642752766148</v>
      </c>
      <c r="J150" s="535"/>
      <c r="K150" s="535"/>
      <c r="L150" s="535"/>
      <c r="M150" s="535"/>
      <c r="N150" s="410"/>
    </row>
    <row r="151" spans="1:14">
      <c r="A151" s="424" t="s">
        <v>551</v>
      </c>
      <c r="B151" s="538">
        <v>0</v>
      </c>
      <c r="C151" s="538">
        <f t="shared" ref="C151" si="60">C149*G145</f>
        <v>0</v>
      </c>
      <c r="D151" s="538">
        <f t="shared" ref="D151" si="61">D149*H145</f>
        <v>2.1412987665019689</v>
      </c>
      <c r="E151" s="538">
        <f t="shared" ref="E151" si="62">E149*I145</f>
        <v>4.2426338728183133</v>
      </c>
      <c r="F151" s="538">
        <f t="shared" ref="F151" si="63">F149*J145</f>
        <v>18.742564456775245</v>
      </c>
      <c r="G151" s="538">
        <f t="shared" ref="G151" si="64">G149*K145</f>
        <v>32.42488033455291</v>
      </c>
      <c r="H151" s="538">
        <f t="shared" ref="H151" si="65">H149*L145</f>
        <v>35.949918006831062</v>
      </c>
      <c r="I151" s="538">
        <f>I149*M145</f>
        <v>31.96398975118549</v>
      </c>
      <c r="J151" s="535"/>
      <c r="K151" s="535"/>
      <c r="L151" s="535"/>
      <c r="M151" s="535"/>
      <c r="N151" s="410"/>
    </row>
    <row r="152" spans="1:14">
      <c r="A152" s="576" t="s">
        <v>552</v>
      </c>
      <c r="B152" s="576"/>
      <c r="C152" s="576"/>
      <c r="D152" s="576"/>
      <c r="E152" s="576"/>
      <c r="F152" s="576"/>
      <c r="G152" s="576"/>
      <c r="H152" s="576"/>
      <c r="I152" s="576"/>
      <c r="J152" s="535"/>
      <c r="K152" s="535"/>
      <c r="L152" s="535"/>
      <c r="M152" s="535"/>
      <c r="N152" s="410"/>
    </row>
    <row r="153" spans="1:14">
      <c r="A153" s="322"/>
      <c r="B153" s="322"/>
      <c r="C153" s="322"/>
      <c r="D153" s="322"/>
      <c r="E153" s="322"/>
      <c r="F153" s="322"/>
      <c r="G153" s="322"/>
      <c r="H153" s="322"/>
      <c r="I153" s="322"/>
      <c r="J153" s="535"/>
      <c r="K153" s="535"/>
      <c r="L153" s="535"/>
      <c r="M153" s="535"/>
      <c r="N153" s="410"/>
    </row>
    <row r="154" spans="1:14">
      <c r="A154" s="416" t="s">
        <v>553</v>
      </c>
      <c r="B154" s="535"/>
      <c r="C154" s="535"/>
      <c r="D154" s="535"/>
      <c r="E154" s="535"/>
      <c r="F154" s="535"/>
      <c r="G154" s="535"/>
      <c r="H154" s="535"/>
      <c r="I154" s="535"/>
      <c r="J154" s="535"/>
      <c r="K154" s="535"/>
      <c r="L154" s="535"/>
      <c r="M154" s="535"/>
      <c r="N154" s="410"/>
    </row>
    <row r="155" spans="1:14">
      <c r="A155" s="535"/>
      <c r="B155" s="535"/>
      <c r="C155" s="535"/>
      <c r="D155" s="535"/>
      <c r="E155" s="535"/>
      <c r="F155" s="535"/>
      <c r="G155" s="535"/>
      <c r="H155" s="535"/>
      <c r="I155" s="535"/>
      <c r="J155" s="535"/>
      <c r="K155" s="535"/>
      <c r="L155" s="535"/>
      <c r="M155" s="535"/>
      <c r="N155" s="410"/>
    </row>
    <row r="156" spans="1:14">
      <c r="A156" s="417"/>
      <c r="B156" s="418">
        <v>2015</v>
      </c>
      <c r="C156" s="418">
        <v>2016</v>
      </c>
      <c r="D156" s="418">
        <v>2017</v>
      </c>
      <c r="E156" s="419">
        <v>2018</v>
      </c>
      <c r="F156" s="419">
        <v>2019</v>
      </c>
      <c r="G156" s="419">
        <v>2020</v>
      </c>
      <c r="H156" s="419">
        <v>2025</v>
      </c>
      <c r="I156" s="419">
        <v>2030</v>
      </c>
      <c r="J156" s="419">
        <v>2035</v>
      </c>
      <c r="K156" s="419">
        <v>2040</v>
      </c>
      <c r="L156" s="419">
        <v>2045</v>
      </c>
      <c r="M156" s="419">
        <v>2050</v>
      </c>
      <c r="N156" s="410"/>
    </row>
    <row r="157" spans="1:14">
      <c r="A157" s="420" t="s">
        <v>554</v>
      </c>
      <c r="B157" s="536">
        <v>1</v>
      </c>
      <c r="C157" s="536">
        <v>1</v>
      </c>
      <c r="D157" s="536">
        <v>1</v>
      </c>
      <c r="E157" s="422">
        <v>1</v>
      </c>
      <c r="F157" s="422">
        <v>1</v>
      </c>
      <c r="G157" s="422">
        <v>1</v>
      </c>
      <c r="H157" s="422">
        <v>1.0149999999999999</v>
      </c>
      <c r="I157" s="422">
        <v>1.03</v>
      </c>
      <c r="J157" s="422">
        <v>1.0422786874780956</v>
      </c>
      <c r="K157" s="422">
        <v>1.0547037498748169</v>
      </c>
      <c r="L157" s="422">
        <v>1.0672769321337372</v>
      </c>
      <c r="M157" s="422">
        <v>1.08</v>
      </c>
      <c r="N157" s="410"/>
    </row>
    <row r="158" spans="1:14">
      <c r="A158" s="420" t="s">
        <v>555</v>
      </c>
      <c r="B158" s="423">
        <v>1</v>
      </c>
      <c r="C158" s="423">
        <v>1</v>
      </c>
      <c r="D158" s="423">
        <v>1</v>
      </c>
      <c r="E158" s="423">
        <v>1</v>
      </c>
      <c r="F158" s="423">
        <v>1</v>
      </c>
      <c r="G158" s="423">
        <v>1</v>
      </c>
      <c r="H158" s="423">
        <v>0.9</v>
      </c>
      <c r="I158" s="423">
        <v>0.8</v>
      </c>
      <c r="J158" s="423">
        <v>0.72499999999999998</v>
      </c>
      <c r="K158" s="423">
        <v>0.65</v>
      </c>
      <c r="L158" s="423">
        <v>0.57499999999999996</v>
      </c>
      <c r="M158" s="423">
        <v>0.5</v>
      </c>
      <c r="N158" s="410"/>
    </row>
    <row r="159" spans="1:14">
      <c r="A159" s="429" t="s">
        <v>556</v>
      </c>
      <c r="B159" s="430">
        <v>0</v>
      </c>
      <c r="C159" s="430">
        <f>B159</f>
        <v>0</v>
      </c>
      <c r="D159" s="430">
        <f t="shared" ref="D159:D160" si="66">C159</f>
        <v>0</v>
      </c>
      <c r="E159" s="430">
        <f t="shared" ref="E159:E160" si="67">D159</f>
        <v>0</v>
      </c>
      <c r="F159" s="430">
        <f t="shared" ref="F159:F160" si="68">E159</f>
        <v>0</v>
      </c>
      <c r="G159" s="430">
        <v>0.02</v>
      </c>
      <c r="H159" s="430">
        <v>0.03</v>
      </c>
      <c r="I159" s="430">
        <v>0.04</v>
      </c>
      <c r="J159" s="430">
        <v>0.155</v>
      </c>
      <c r="K159" s="430">
        <v>0.27</v>
      </c>
      <c r="L159" s="430">
        <v>0.38500000000000001</v>
      </c>
      <c r="M159" s="430">
        <v>0.5</v>
      </c>
      <c r="N159" s="410"/>
    </row>
    <row r="160" spans="1:14">
      <c r="A160" s="431" t="s">
        <v>557</v>
      </c>
      <c r="B160" s="432">
        <v>0</v>
      </c>
      <c r="C160" s="433">
        <f t="shared" ref="C160" si="69">B160</f>
        <v>0</v>
      </c>
      <c r="D160" s="433">
        <f t="shared" si="66"/>
        <v>0</v>
      </c>
      <c r="E160" s="433">
        <f t="shared" si="67"/>
        <v>0</v>
      </c>
      <c r="F160" s="433">
        <f t="shared" si="68"/>
        <v>0</v>
      </c>
      <c r="G160" s="432">
        <f>0</f>
        <v>0</v>
      </c>
      <c r="H160" s="432">
        <v>0</v>
      </c>
      <c r="I160" s="432">
        <v>4.0000000000000001E-3</v>
      </c>
      <c r="J160" s="432">
        <v>0.128</v>
      </c>
      <c r="K160" s="432">
        <v>0.252</v>
      </c>
      <c r="L160" s="432">
        <v>0.376</v>
      </c>
      <c r="M160" s="432">
        <v>0.5</v>
      </c>
      <c r="N160" s="410"/>
    </row>
    <row r="161" spans="1:14">
      <c r="A161" s="431" t="s">
        <v>558</v>
      </c>
      <c r="B161" s="432">
        <f>B159-B160</f>
        <v>0</v>
      </c>
      <c r="C161" s="432">
        <f t="shared" ref="C161:M161" si="70">C159-C160</f>
        <v>0</v>
      </c>
      <c r="D161" s="432">
        <f t="shared" si="70"/>
        <v>0</v>
      </c>
      <c r="E161" s="432">
        <f t="shared" si="70"/>
        <v>0</v>
      </c>
      <c r="F161" s="432">
        <f t="shared" si="70"/>
        <v>0</v>
      </c>
      <c r="G161" s="432">
        <f t="shared" si="70"/>
        <v>0.02</v>
      </c>
      <c r="H161" s="432">
        <f t="shared" si="70"/>
        <v>0.03</v>
      </c>
      <c r="I161" s="432">
        <f t="shared" si="70"/>
        <v>3.6000000000000004E-2</v>
      </c>
      <c r="J161" s="432">
        <f t="shared" si="70"/>
        <v>2.6999999999999996E-2</v>
      </c>
      <c r="K161" s="432">
        <f t="shared" si="70"/>
        <v>1.8000000000000016E-2</v>
      </c>
      <c r="L161" s="432">
        <f t="shared" si="70"/>
        <v>9.000000000000008E-3</v>
      </c>
      <c r="M161" s="432">
        <f t="shared" si="70"/>
        <v>0</v>
      </c>
      <c r="N161" s="410"/>
    </row>
    <row r="162" spans="1:14">
      <c r="A162" s="434" t="s">
        <v>559</v>
      </c>
      <c r="B162" s="435">
        <v>1</v>
      </c>
      <c r="C162" s="435">
        <f t="shared" ref="C162" si="71">B162</f>
        <v>1</v>
      </c>
      <c r="D162" s="435">
        <f t="shared" ref="D162" si="72">C162</f>
        <v>1</v>
      </c>
      <c r="E162" s="435">
        <f t="shared" ref="E162" si="73">D162</f>
        <v>1</v>
      </c>
      <c r="F162" s="435">
        <f t="shared" ref="F162" si="74">E162</f>
        <v>1</v>
      </c>
      <c r="G162" s="435">
        <f t="shared" ref="G162" si="75">F162</f>
        <v>1</v>
      </c>
      <c r="H162" s="435">
        <f>1-H159</f>
        <v>0.97</v>
      </c>
      <c r="I162" s="435">
        <f t="shared" ref="I162:M162" si="76">1-I159</f>
        <v>0.96</v>
      </c>
      <c r="J162" s="435">
        <f t="shared" si="76"/>
        <v>0.84499999999999997</v>
      </c>
      <c r="K162" s="435">
        <f t="shared" si="76"/>
        <v>0.73</v>
      </c>
      <c r="L162" s="435">
        <f t="shared" si="76"/>
        <v>0.61499999999999999</v>
      </c>
      <c r="M162" s="435">
        <f t="shared" si="76"/>
        <v>0.5</v>
      </c>
      <c r="N162" s="410"/>
    </row>
    <row r="163" spans="1:14">
      <c r="A163" s="436" t="s">
        <v>560</v>
      </c>
      <c r="B163" s="437">
        <f>0%</f>
        <v>0</v>
      </c>
      <c r="C163" s="437">
        <f>0%</f>
        <v>0</v>
      </c>
      <c r="D163" s="437">
        <f>0%</f>
        <v>0</v>
      </c>
      <c r="E163" s="437">
        <f>0%</f>
        <v>0</v>
      </c>
      <c r="F163" s="437">
        <f>0%</f>
        <v>0</v>
      </c>
      <c r="G163" s="437">
        <f>0%</f>
        <v>0</v>
      </c>
      <c r="H163" s="437">
        <f>0%</f>
        <v>0</v>
      </c>
      <c r="I163" s="437">
        <f>0%</f>
        <v>0</v>
      </c>
      <c r="J163" s="437">
        <f>0%</f>
        <v>0</v>
      </c>
      <c r="K163" s="437">
        <f>0%</f>
        <v>0</v>
      </c>
      <c r="L163" s="437">
        <f>0%</f>
        <v>0</v>
      </c>
      <c r="M163" s="437">
        <f>0%</f>
        <v>0</v>
      </c>
      <c r="N163" s="410"/>
    </row>
    <row r="164" spans="1:14">
      <c r="A164" s="436" t="s">
        <v>561</v>
      </c>
      <c r="B164" s="437">
        <f>B162-B163</f>
        <v>1</v>
      </c>
      <c r="C164" s="437">
        <f t="shared" ref="C164:M164" si="77">C162-C163</f>
        <v>1</v>
      </c>
      <c r="D164" s="437">
        <f t="shared" si="77"/>
        <v>1</v>
      </c>
      <c r="E164" s="437">
        <f t="shared" si="77"/>
        <v>1</v>
      </c>
      <c r="F164" s="437">
        <f t="shared" si="77"/>
        <v>1</v>
      </c>
      <c r="G164" s="437">
        <f t="shared" si="77"/>
        <v>1</v>
      </c>
      <c r="H164" s="437">
        <f t="shared" si="77"/>
        <v>0.97</v>
      </c>
      <c r="I164" s="437">
        <f t="shared" si="77"/>
        <v>0.96</v>
      </c>
      <c r="J164" s="437">
        <f t="shared" si="77"/>
        <v>0.84499999999999997</v>
      </c>
      <c r="K164" s="437">
        <f t="shared" si="77"/>
        <v>0.73</v>
      </c>
      <c r="L164" s="437">
        <f t="shared" si="77"/>
        <v>0.61499999999999999</v>
      </c>
      <c r="M164" s="437">
        <f t="shared" si="77"/>
        <v>0.5</v>
      </c>
      <c r="N164" s="410"/>
    </row>
    <row r="165" spans="1:14">
      <c r="A165" s="576" t="s">
        <v>562</v>
      </c>
      <c r="B165" s="576"/>
      <c r="C165" s="576"/>
      <c r="D165" s="576"/>
      <c r="E165" s="576"/>
      <c r="F165" s="576"/>
      <c r="G165" s="576"/>
      <c r="H165" s="576"/>
      <c r="I165" s="576"/>
      <c r="J165" s="576"/>
      <c r="K165" s="576"/>
      <c r="L165" s="576"/>
      <c r="M165" s="576"/>
      <c r="N165" s="410"/>
    </row>
    <row r="166" spans="1:14">
      <c r="A166" s="322"/>
      <c r="B166" s="322"/>
      <c r="C166" s="322"/>
      <c r="D166" s="322"/>
      <c r="E166" s="322"/>
      <c r="F166" s="322"/>
      <c r="G166" s="322"/>
      <c r="H166" s="322"/>
      <c r="I166" s="322"/>
      <c r="J166" s="322"/>
      <c r="K166" s="322"/>
      <c r="L166" s="322"/>
      <c r="M166" s="322"/>
      <c r="N166" s="410"/>
    </row>
    <row r="167" spans="1:14">
      <c r="A167" s="438" t="s">
        <v>664</v>
      </c>
      <c r="B167" s="439"/>
      <c r="C167" s="439"/>
      <c r="D167" s="439"/>
      <c r="E167" s="440"/>
      <c r="F167" s="440"/>
      <c r="G167" s="440"/>
      <c r="H167" s="440"/>
      <c r="I167" s="440"/>
      <c r="J167" s="440"/>
      <c r="K167" s="440"/>
      <c r="L167" s="440"/>
      <c r="M167" s="440"/>
      <c r="N167" s="410"/>
    </row>
    <row r="168" spans="1:14">
      <c r="A168" s="417"/>
      <c r="B168" s="419">
        <v>2019</v>
      </c>
      <c r="C168" s="419">
        <v>2020</v>
      </c>
      <c r="D168" s="419">
        <v>2025</v>
      </c>
      <c r="E168" s="419">
        <v>2030</v>
      </c>
      <c r="F168" s="419">
        <v>2035</v>
      </c>
      <c r="G168" s="419">
        <v>2040</v>
      </c>
      <c r="H168" s="419">
        <v>2045</v>
      </c>
      <c r="I168" s="419">
        <v>2050</v>
      </c>
      <c r="J168" s="535"/>
      <c r="K168" s="535"/>
      <c r="L168" s="535"/>
      <c r="M168" s="535"/>
      <c r="N168" s="410"/>
    </row>
    <row r="169" spans="1:14">
      <c r="A169" s="420" t="s">
        <v>564</v>
      </c>
      <c r="B169" s="441">
        <f>B135*B137</f>
        <v>271.10000000000002</v>
      </c>
      <c r="C169" s="441">
        <f t="shared" ref="C169" si="78">$B$125*G157*G158</f>
        <v>271.10000000000002</v>
      </c>
      <c r="D169" s="441">
        <f t="shared" ref="D169" si="79">$B$125*H157*H158</f>
        <v>247.64984999999999</v>
      </c>
      <c r="E169" s="441">
        <f t="shared" ref="E169" si="80">$B$125*I157*I158</f>
        <v>223.38640000000001</v>
      </c>
      <c r="F169" s="441">
        <f t="shared" ref="F169" si="81">$B$125*J157*J158</f>
        <v>204.85727032710102</v>
      </c>
      <c r="G169" s="441">
        <f t="shared" ref="G169" si="82">$B$125*K157*K158</f>
        <v>185.85462128419087</v>
      </c>
      <c r="H169" s="441">
        <f t="shared" ref="H169" si="83">$B$125*L157*L158</f>
        <v>166.36979637333729</v>
      </c>
      <c r="I169" s="441">
        <f t="shared" ref="I169" si="84">$B$125*M157*M158</f>
        <v>146.39400000000003</v>
      </c>
      <c r="J169" s="535"/>
      <c r="K169" s="535"/>
      <c r="L169" s="535"/>
      <c r="M169" s="535"/>
      <c r="N169" s="410"/>
    </row>
    <row r="170" spans="1:14">
      <c r="A170" s="420" t="s">
        <v>565</v>
      </c>
      <c r="B170" s="441">
        <f t="shared" ref="B170" si="85">B169*F160</f>
        <v>0</v>
      </c>
      <c r="C170" s="441">
        <f t="shared" ref="C170" si="86">C169*G160</f>
        <v>0</v>
      </c>
      <c r="D170" s="441">
        <f t="shared" ref="D170" si="87">D169*H160</f>
        <v>0</v>
      </c>
      <c r="E170" s="441">
        <f t="shared" ref="E170" si="88">E169*I160</f>
        <v>0.89354560000000005</v>
      </c>
      <c r="F170" s="441">
        <f t="shared" ref="F170" si="89">F169*J160</f>
        <v>26.221730601868931</v>
      </c>
      <c r="G170" s="441">
        <f t="shared" ref="G170" si="90">G169*K160</f>
        <v>46.835364563616096</v>
      </c>
      <c r="H170" s="441">
        <f t="shared" ref="H170" si="91">H169*L160</f>
        <v>62.555043436374824</v>
      </c>
      <c r="I170" s="441">
        <f t="shared" ref="I170" si="92">I169*M160</f>
        <v>73.197000000000017</v>
      </c>
      <c r="J170" s="535"/>
      <c r="K170" s="535"/>
      <c r="L170" s="535"/>
      <c r="M170" s="535"/>
    </row>
    <row r="171" spans="1:14">
      <c r="A171" s="420" t="s">
        <v>566</v>
      </c>
      <c r="B171" s="441">
        <f t="shared" ref="B171" si="93">B169*F161</f>
        <v>0</v>
      </c>
      <c r="C171" s="441">
        <f t="shared" ref="C171" si="94">C169*G161</f>
        <v>5.4220000000000006</v>
      </c>
      <c r="D171" s="441">
        <f t="shared" ref="D171" si="95">D169*H161</f>
        <v>7.4294954999999989</v>
      </c>
      <c r="E171" s="441">
        <f t="shared" ref="E171" si="96">E169*I161</f>
        <v>8.0419104000000008</v>
      </c>
      <c r="F171" s="441">
        <f t="shared" ref="F171" si="97">F169*J161</f>
        <v>5.531146298831727</v>
      </c>
      <c r="G171" s="441">
        <f t="shared" ref="G171" si="98">G169*K161</f>
        <v>3.3453831831154388</v>
      </c>
      <c r="H171" s="441">
        <f t="shared" ref="H171" si="99">H169*L161</f>
        <v>1.4973281673600369</v>
      </c>
      <c r="I171" s="441">
        <f t="shared" ref="I171" si="100">I169*M161</f>
        <v>0</v>
      </c>
      <c r="J171" s="535"/>
      <c r="K171" s="535"/>
      <c r="L171" s="535"/>
      <c r="M171" s="535"/>
    </row>
    <row r="172" spans="1:14">
      <c r="A172" s="420" t="s">
        <v>567</v>
      </c>
      <c r="B172" s="423">
        <f t="shared" ref="B172" si="101">B169*F164</f>
        <v>271.10000000000002</v>
      </c>
      <c r="C172" s="423">
        <f t="shared" ref="C172" si="102">C169*G164</f>
        <v>271.10000000000002</v>
      </c>
      <c r="D172" s="423">
        <f t="shared" ref="D172" si="103">D169*H164</f>
        <v>240.22035449999998</v>
      </c>
      <c r="E172" s="423">
        <f t="shared" ref="E172" si="104">E169*I164</f>
        <v>214.45094399999999</v>
      </c>
      <c r="F172" s="423">
        <f t="shared" ref="F172" si="105">F169*J164</f>
        <v>173.10439342640035</v>
      </c>
      <c r="G172" s="423">
        <f t="shared" ref="G172" si="106">G169*K164</f>
        <v>135.67387353745934</v>
      </c>
      <c r="H172" s="423">
        <f t="shared" ref="H172" si="107">H169*L164</f>
        <v>102.31742476960244</v>
      </c>
      <c r="I172" s="423">
        <f t="shared" ref="I172" si="108">I169*M164</f>
        <v>73.197000000000017</v>
      </c>
      <c r="J172" s="249"/>
      <c r="K172" s="249"/>
      <c r="L172" s="249"/>
      <c r="M172" s="249"/>
    </row>
    <row r="173" spans="1:14">
      <c r="A173" s="531"/>
      <c r="B173" s="531"/>
      <c r="C173" s="531"/>
      <c r="D173" s="531"/>
      <c r="E173" s="531"/>
      <c r="F173" s="531"/>
      <c r="G173" s="531"/>
      <c r="H173" s="531"/>
      <c r="I173" s="531"/>
      <c r="J173" s="531"/>
      <c r="K173" s="531"/>
      <c r="L173" s="531"/>
      <c r="M173" s="531"/>
    </row>
    <row r="174" spans="1:14">
      <c r="A174" s="410"/>
      <c r="B174" s="410"/>
      <c r="C174" s="410"/>
      <c r="D174" s="410"/>
      <c r="E174" s="410"/>
      <c r="F174" s="410"/>
      <c r="G174" s="410"/>
      <c r="H174" s="410"/>
      <c r="I174" s="410"/>
      <c r="J174" s="410"/>
      <c r="K174" s="410"/>
      <c r="L174" s="410"/>
      <c r="M174" s="410"/>
    </row>
    <row r="175" spans="1:14">
      <c r="A175" s="410"/>
      <c r="B175" s="410"/>
      <c r="C175" s="410"/>
      <c r="D175" s="410"/>
      <c r="E175" s="410"/>
      <c r="F175" s="410"/>
      <c r="G175" s="410"/>
      <c r="H175" s="410"/>
      <c r="I175" s="410"/>
      <c r="J175" s="410"/>
      <c r="K175" s="410"/>
      <c r="L175" s="410"/>
      <c r="M175" s="410"/>
    </row>
    <row r="176" spans="1:14" ht="21">
      <c r="A176" s="412" t="s">
        <v>487</v>
      </c>
      <c r="B176" s="410"/>
      <c r="C176" s="410"/>
      <c r="D176" s="410"/>
      <c r="E176" s="410"/>
      <c r="F176" s="410"/>
      <c r="G176" s="410"/>
      <c r="H176" s="410"/>
      <c r="I176" s="410"/>
      <c r="J176" s="410"/>
      <c r="K176" s="410"/>
      <c r="L176" s="410"/>
      <c r="M176" s="410"/>
    </row>
    <row r="177" spans="1:13">
      <c r="A177" s="410"/>
      <c r="B177" s="410"/>
      <c r="C177" s="410"/>
      <c r="D177" s="410"/>
      <c r="E177" s="410"/>
      <c r="F177" s="410"/>
      <c r="G177" s="410"/>
      <c r="H177" s="410"/>
      <c r="I177" s="410"/>
      <c r="J177" s="410"/>
      <c r="K177" s="410"/>
      <c r="L177" s="410"/>
      <c r="M177" s="410"/>
    </row>
    <row r="178" spans="1:13">
      <c r="A178" s="575" t="s">
        <v>537</v>
      </c>
      <c r="B178" s="575"/>
      <c r="C178" s="575"/>
      <c r="D178" s="575"/>
      <c r="E178" s="575"/>
      <c r="F178" s="575"/>
      <c r="G178" s="575"/>
      <c r="H178" s="575"/>
      <c r="I178" s="575"/>
      <c r="J178" s="575"/>
      <c r="K178" s="575"/>
      <c r="L178" s="410"/>
      <c r="M178" s="410"/>
    </row>
    <row r="179" spans="1:13">
      <c r="A179" s="410"/>
      <c r="B179" s="410"/>
      <c r="C179" s="410"/>
      <c r="D179" s="410"/>
      <c r="E179" s="410"/>
      <c r="F179" s="410"/>
      <c r="G179" s="410"/>
      <c r="H179" s="410"/>
      <c r="I179" s="410"/>
      <c r="J179" s="410"/>
      <c r="K179" s="410"/>
      <c r="L179" s="410"/>
      <c r="M179" s="410"/>
    </row>
    <row r="180" spans="1:13">
      <c r="A180" s="417" t="s">
        <v>569</v>
      </c>
      <c r="B180" s="419" t="s">
        <v>163</v>
      </c>
      <c r="C180" s="419" t="s">
        <v>164</v>
      </c>
      <c r="D180" s="419" t="s">
        <v>165</v>
      </c>
      <c r="E180" s="419" t="s">
        <v>570</v>
      </c>
      <c r="F180" s="419" t="s">
        <v>571</v>
      </c>
      <c r="G180" s="419" t="s">
        <v>572</v>
      </c>
      <c r="H180" s="419" t="s">
        <v>573</v>
      </c>
      <c r="I180" s="410"/>
      <c r="J180" s="410"/>
      <c r="K180" s="410"/>
      <c r="L180" s="410"/>
      <c r="M180" s="410"/>
    </row>
    <row r="181" spans="1:13">
      <c r="A181" s="420" t="s">
        <v>586</v>
      </c>
      <c r="B181" s="442"/>
      <c r="C181" s="442"/>
      <c r="D181" s="442"/>
      <c r="E181" s="442"/>
      <c r="F181" s="442"/>
      <c r="G181" s="442"/>
      <c r="H181" s="442"/>
      <c r="I181" s="410"/>
      <c r="J181" s="410"/>
      <c r="K181" s="410"/>
      <c r="L181" s="410"/>
      <c r="M181" s="410"/>
    </row>
    <row r="182" spans="1:13">
      <c r="A182" s="410" t="s">
        <v>574</v>
      </c>
      <c r="B182" s="442"/>
      <c r="C182" s="442"/>
      <c r="D182" s="442"/>
      <c r="E182" s="442"/>
      <c r="F182" s="442"/>
      <c r="G182" s="442"/>
      <c r="H182" s="442"/>
      <c r="I182" s="410"/>
      <c r="J182" s="410"/>
      <c r="K182" s="410"/>
      <c r="L182" s="410"/>
      <c r="M182" s="410"/>
    </row>
    <row r="183" spans="1:13">
      <c r="A183" s="420" t="s">
        <v>587</v>
      </c>
      <c r="B183" s="441">
        <f>B181*44/3600</f>
        <v>0</v>
      </c>
      <c r="C183" s="441">
        <f t="shared" ref="C183:H184" si="109">C181*44/3600</f>
        <v>0</v>
      </c>
      <c r="D183" s="441">
        <f t="shared" si="109"/>
        <v>0</v>
      </c>
      <c r="E183" s="441">
        <f t="shared" si="109"/>
        <v>0</v>
      </c>
      <c r="F183" s="441">
        <f>6.2*11.63</f>
        <v>72.106000000000009</v>
      </c>
      <c r="G183" s="441">
        <f t="shared" si="109"/>
        <v>0</v>
      </c>
      <c r="H183" s="441">
        <f t="shared" si="109"/>
        <v>0</v>
      </c>
      <c r="I183" s="410"/>
      <c r="J183" s="410"/>
      <c r="K183" s="410"/>
      <c r="L183" s="410"/>
      <c r="M183" s="410"/>
    </row>
    <row r="184" spans="1:13">
      <c r="A184" s="256" t="s">
        <v>575</v>
      </c>
      <c r="B184" s="441">
        <f>B182*44/3600</f>
        <v>0</v>
      </c>
      <c r="C184" s="441">
        <f t="shared" si="109"/>
        <v>0</v>
      </c>
      <c r="D184" s="441">
        <f t="shared" si="109"/>
        <v>0</v>
      </c>
      <c r="E184" s="441">
        <f t="shared" si="109"/>
        <v>0</v>
      </c>
      <c r="F184" s="441">
        <v>173.2</v>
      </c>
      <c r="G184" s="441">
        <f t="shared" si="109"/>
        <v>0</v>
      </c>
      <c r="H184" s="441">
        <f t="shared" si="109"/>
        <v>0</v>
      </c>
      <c r="I184" s="410"/>
      <c r="J184" s="410"/>
      <c r="K184" s="410"/>
      <c r="L184" s="410"/>
      <c r="M184" s="410"/>
    </row>
    <row r="185" spans="1:13">
      <c r="A185" s="576" t="s">
        <v>576</v>
      </c>
      <c r="B185" s="576"/>
      <c r="C185" s="576"/>
      <c r="D185" s="576"/>
      <c r="E185" s="576"/>
      <c r="F185" s="576"/>
      <c r="G185" s="576"/>
      <c r="H185" s="576"/>
      <c r="I185" s="410"/>
      <c r="J185" s="410"/>
      <c r="K185" s="410"/>
      <c r="L185" s="410"/>
      <c r="M185" s="410"/>
    </row>
    <row r="186" spans="1:13">
      <c r="A186" s="410"/>
      <c r="B186" s="410"/>
      <c r="C186" s="410"/>
      <c r="D186" s="410"/>
      <c r="E186" s="410"/>
      <c r="F186" s="410"/>
      <c r="G186" s="410"/>
      <c r="H186" s="410"/>
      <c r="I186" s="410"/>
      <c r="J186" s="410"/>
      <c r="K186" s="410"/>
      <c r="L186" s="410"/>
      <c r="M186" s="410"/>
    </row>
    <row r="187" spans="1:13">
      <c r="A187" s="443" t="s">
        <v>577</v>
      </c>
      <c r="B187" s="444">
        <v>2018</v>
      </c>
      <c r="C187" s="444">
        <v>2019</v>
      </c>
      <c r="D187" s="444">
        <v>2020</v>
      </c>
      <c r="E187" s="444">
        <v>2025</v>
      </c>
      <c r="F187" s="444">
        <v>2030</v>
      </c>
      <c r="G187" s="444">
        <v>2035</v>
      </c>
      <c r="H187" s="444">
        <v>2040</v>
      </c>
      <c r="I187" s="444">
        <v>2045</v>
      </c>
      <c r="J187" s="444">
        <v>2050</v>
      </c>
      <c r="K187" s="410"/>
      <c r="L187" s="410"/>
      <c r="M187" s="410"/>
    </row>
    <row r="188" spans="1:13">
      <c r="A188" s="445" t="s">
        <v>578</v>
      </c>
      <c r="B188" s="446"/>
      <c r="C188" s="446">
        <v>1</v>
      </c>
      <c r="D188" s="446">
        <v>0.53619199286752905</v>
      </c>
      <c r="E188" s="446">
        <v>1.1422880895580272</v>
      </c>
      <c r="F188" s="446">
        <v>1.2558809424785182</v>
      </c>
      <c r="G188" s="446">
        <v>1.4090414788885288</v>
      </c>
      <c r="H188" s="446">
        <v>1.5917392274655779</v>
      </c>
      <c r="I188" s="446">
        <v>1.7954063493562997</v>
      </c>
      <c r="J188" s="446">
        <v>1.9898293358431327</v>
      </c>
      <c r="K188" s="410"/>
      <c r="L188" s="410"/>
      <c r="M188" s="410"/>
    </row>
    <row r="189" spans="1:13">
      <c r="A189" s="447" t="s">
        <v>579</v>
      </c>
      <c r="B189" s="448"/>
      <c r="C189" s="448">
        <v>1</v>
      </c>
      <c r="D189" s="448">
        <v>0.98499999999999999</v>
      </c>
      <c r="E189" s="448">
        <v>0.91330825483014066</v>
      </c>
      <c r="F189" s="448">
        <v>0.84683448562525598</v>
      </c>
      <c r="G189" s="448">
        <v>0.78519890984404295</v>
      </c>
      <c r="H189" s="448">
        <v>0.72804938684689524</v>
      </c>
      <c r="I189" s="448">
        <v>0.67505940602161607</v>
      </c>
      <c r="J189" s="448">
        <v>0.62592622134037912</v>
      </c>
      <c r="K189" s="410"/>
      <c r="L189" s="410"/>
      <c r="M189" s="410"/>
    </row>
    <row r="190" spans="1:13">
      <c r="A190" s="449" t="s">
        <v>580</v>
      </c>
      <c r="B190" s="450">
        <v>854.54475589700007</v>
      </c>
      <c r="C190" s="450">
        <v>873.86362250900004</v>
      </c>
      <c r="D190" s="450">
        <v>596.83967486100016</v>
      </c>
      <c r="E190" s="450">
        <f t="shared" ref="E190:I190" si="110">$C$190*E189*E188</f>
        <v>911.6679604105251</v>
      </c>
      <c r="F190" s="450">
        <f t="shared" si="110"/>
        <v>929.37431650895917</v>
      </c>
      <c r="G190" s="450">
        <f t="shared" si="110"/>
        <v>966.8233411386409</v>
      </c>
      <c r="H190" s="450">
        <f t="shared" si="110"/>
        <v>1012.6897646662835</v>
      </c>
      <c r="I190" s="450">
        <f t="shared" si="110"/>
        <v>1059.1279045199626</v>
      </c>
      <c r="J190" s="450">
        <f>$C$190*J189*J188</f>
        <v>1088.3852199726828</v>
      </c>
      <c r="K190" s="410"/>
      <c r="L190" s="410"/>
      <c r="M190" s="410"/>
    </row>
    <row r="191" spans="1:13">
      <c r="A191" s="256" t="s">
        <v>581</v>
      </c>
      <c r="B191" s="451"/>
      <c r="C191" s="451"/>
      <c r="D191" s="452">
        <f>D190/$C$190</f>
        <v>0.68298949571487999</v>
      </c>
      <c r="E191" s="452">
        <f t="shared" ref="E191:J191" si="111">E190/$C$190</f>
        <v>1.0432611415874973</v>
      </c>
      <c r="F191" s="452">
        <f t="shared" si="111"/>
        <v>1.0635232919303577</v>
      </c>
      <c r="G191" s="452">
        <f t="shared" si="111"/>
        <v>1.1063778331483107</v>
      </c>
      <c r="H191" s="452">
        <f t="shared" si="111"/>
        <v>1.1588647685764648</v>
      </c>
      <c r="I191" s="452">
        <f t="shared" si="111"/>
        <v>1.2120059437639017</v>
      </c>
      <c r="J191" s="452">
        <f t="shared" si="111"/>
        <v>1.245486357296528</v>
      </c>
      <c r="K191" s="410"/>
      <c r="L191" s="410"/>
      <c r="M191" s="410"/>
    </row>
    <row r="192" spans="1:13">
      <c r="A192" s="577" t="s">
        <v>582</v>
      </c>
      <c r="B192" s="578"/>
      <c r="C192" s="578"/>
      <c r="D192" s="578"/>
      <c r="E192" s="578"/>
      <c r="F192" s="578"/>
      <c r="G192" s="578"/>
      <c r="H192" s="578"/>
      <c r="I192" s="578"/>
      <c r="J192" s="579"/>
      <c r="K192" s="410"/>
      <c r="L192" s="410"/>
      <c r="M192" s="410"/>
    </row>
    <row r="193" spans="1:13">
      <c r="A193" s="410"/>
      <c r="B193" s="410"/>
      <c r="C193" s="410"/>
      <c r="D193" s="410"/>
      <c r="E193" s="410"/>
      <c r="F193" s="410"/>
      <c r="G193" s="410"/>
      <c r="H193" s="410"/>
      <c r="I193" s="410"/>
      <c r="J193" s="410"/>
      <c r="K193" s="410"/>
      <c r="L193" s="410"/>
      <c r="M193" s="410"/>
    </row>
    <row r="194" spans="1:13">
      <c r="A194" s="443" t="s">
        <v>583</v>
      </c>
      <c r="B194" s="444">
        <v>2018</v>
      </c>
      <c r="C194" s="444">
        <v>2019</v>
      </c>
      <c r="D194" s="444">
        <v>2020</v>
      </c>
      <c r="E194" s="444">
        <v>2025</v>
      </c>
      <c r="F194" s="444">
        <v>2030</v>
      </c>
      <c r="G194" s="444">
        <v>2035</v>
      </c>
      <c r="H194" s="444">
        <v>2040</v>
      </c>
      <c r="I194" s="444">
        <v>2045</v>
      </c>
      <c r="J194" s="444">
        <v>2050</v>
      </c>
      <c r="K194" s="410"/>
      <c r="L194" s="410"/>
      <c r="M194" s="410"/>
    </row>
    <row r="195" spans="1:13">
      <c r="A195" s="445" t="s">
        <v>578</v>
      </c>
      <c r="B195" s="453"/>
      <c r="C195" s="453">
        <v>1</v>
      </c>
      <c r="D195" s="453">
        <v>0.44563782003342767</v>
      </c>
      <c r="E195" s="453">
        <v>0.96151765436937453</v>
      </c>
      <c r="F195" s="453">
        <v>0.96517932254598748</v>
      </c>
      <c r="G195" s="453">
        <v>1.0054168307825717</v>
      </c>
      <c r="H195" s="453">
        <v>1.0640948052616099</v>
      </c>
      <c r="I195" s="453">
        <v>1.1310695308864491</v>
      </c>
      <c r="J195" s="453">
        <v>1.1835388472709474</v>
      </c>
      <c r="K195" s="410"/>
      <c r="L195" s="410"/>
      <c r="M195" s="410"/>
    </row>
    <row r="196" spans="1:13">
      <c r="A196" s="447" t="s">
        <v>579</v>
      </c>
      <c r="B196" s="448"/>
      <c r="C196" s="448">
        <v>1</v>
      </c>
      <c r="D196" s="448">
        <v>0.98499999999999999</v>
      </c>
      <c r="E196" s="448">
        <v>0.91330825483014066</v>
      </c>
      <c r="F196" s="448">
        <v>0.84683448562525598</v>
      </c>
      <c r="G196" s="448">
        <v>0.78519890984404295</v>
      </c>
      <c r="H196" s="448">
        <v>0.72804938684689524</v>
      </c>
      <c r="I196" s="448">
        <v>0.67505940602161607</v>
      </c>
      <c r="J196" s="448">
        <v>0.62592622134037912</v>
      </c>
      <c r="K196" s="410"/>
      <c r="L196" s="410"/>
      <c r="M196" s="410"/>
    </row>
    <row r="197" spans="1:13">
      <c r="A197" s="449" t="s">
        <v>584</v>
      </c>
      <c r="B197" s="454">
        <v>5903.7976366930016</v>
      </c>
      <c r="C197" s="454">
        <v>6076.5395623849945</v>
      </c>
      <c r="D197" s="454">
        <v>2509.3328292910014</v>
      </c>
      <c r="E197" s="454">
        <v>6338.1240104176941</v>
      </c>
      <c r="F197" s="454">
        <v>6434.8559396955197</v>
      </c>
      <c r="G197" s="454">
        <v>6648.8648685072094</v>
      </c>
      <c r="H197" s="454">
        <v>6920.3214620554681</v>
      </c>
      <c r="I197" s="454">
        <v>7224.7199661410759</v>
      </c>
      <c r="J197" s="454">
        <v>7417.5780659631846</v>
      </c>
      <c r="K197" s="410"/>
      <c r="L197" s="410"/>
      <c r="M197" s="410"/>
    </row>
    <row r="198" spans="1:13">
      <c r="A198" s="256" t="s">
        <v>581</v>
      </c>
      <c r="B198" s="451"/>
      <c r="C198" s="451"/>
      <c r="D198" s="452">
        <f>D197/$C$197</f>
        <v>0.41295424863589758</v>
      </c>
      <c r="E198" s="452">
        <f>E197/$C$197</f>
        <v>1.0430482588563992</v>
      </c>
      <c r="F198" s="452">
        <f t="shared" ref="F198:J198" si="112">F197/$C$197</f>
        <v>1.0589671759118588</v>
      </c>
      <c r="G198" s="452">
        <f t="shared" si="112"/>
        <v>1.0941860577465872</v>
      </c>
      <c r="H198" s="452">
        <f t="shared" si="112"/>
        <v>1.1388589494082544</v>
      </c>
      <c r="I198" s="452">
        <f t="shared" si="112"/>
        <v>1.1889530039207759</v>
      </c>
      <c r="J198" s="452">
        <f t="shared" si="112"/>
        <v>1.2206911499234678</v>
      </c>
      <c r="K198" s="455"/>
      <c r="L198" s="410"/>
      <c r="M198" s="410"/>
    </row>
    <row r="199" spans="1:13">
      <c r="A199" s="577" t="s">
        <v>582</v>
      </c>
      <c r="B199" s="578"/>
      <c r="C199" s="578"/>
      <c r="D199" s="578"/>
      <c r="E199" s="578"/>
      <c r="F199" s="578"/>
      <c r="G199" s="578"/>
      <c r="H199" s="578"/>
      <c r="I199" s="578"/>
      <c r="J199" s="579"/>
      <c r="K199" s="410"/>
      <c r="L199" s="410"/>
      <c r="M199" s="410"/>
    </row>
    <row r="200" spans="1:13">
      <c r="A200" s="410"/>
      <c r="B200" s="410"/>
      <c r="C200" s="410"/>
      <c r="D200" s="410"/>
      <c r="E200" s="410"/>
      <c r="F200" s="410"/>
      <c r="G200" s="410"/>
      <c r="H200" s="410"/>
      <c r="I200" s="410"/>
      <c r="J200" s="410"/>
      <c r="K200" s="410"/>
      <c r="L200" s="410"/>
      <c r="M200" s="410"/>
    </row>
    <row r="201" spans="1:13">
      <c r="A201" s="417" t="s">
        <v>569</v>
      </c>
      <c r="B201" s="444">
        <v>2019</v>
      </c>
      <c r="C201" s="444">
        <v>2020</v>
      </c>
      <c r="D201" s="444">
        <v>2025</v>
      </c>
      <c r="E201" s="444">
        <v>2030</v>
      </c>
      <c r="F201" s="444">
        <v>2035</v>
      </c>
      <c r="G201" s="444">
        <v>2040</v>
      </c>
      <c r="H201" s="444">
        <v>2045</v>
      </c>
      <c r="I201" s="444">
        <v>2050</v>
      </c>
      <c r="J201" s="410"/>
      <c r="K201" s="410"/>
      <c r="L201" s="410"/>
      <c r="M201" s="410"/>
    </row>
    <row r="202" spans="1:13">
      <c r="A202" s="420" t="s">
        <v>583</v>
      </c>
      <c r="B202" s="441">
        <f>F184</f>
        <v>173.2</v>
      </c>
      <c r="C202" s="441">
        <f>G184</f>
        <v>0</v>
      </c>
      <c r="D202" s="441">
        <f>$B$202*E198</f>
        <v>180.65595843392833</v>
      </c>
      <c r="E202" s="441">
        <f t="shared" ref="E202:I202" si="113">$B$202*F198</f>
        <v>183.41311486793393</v>
      </c>
      <c r="F202" s="441">
        <f t="shared" si="113"/>
        <v>189.5130252017089</v>
      </c>
      <c r="G202" s="441">
        <f t="shared" si="113"/>
        <v>197.25037003750964</v>
      </c>
      <c r="H202" s="441">
        <f t="shared" si="113"/>
        <v>205.92666027907836</v>
      </c>
      <c r="I202" s="441">
        <f t="shared" si="113"/>
        <v>211.42370716674461</v>
      </c>
      <c r="J202" s="410"/>
      <c r="K202" s="410"/>
      <c r="L202" s="410"/>
      <c r="M202" s="410"/>
    </row>
    <row r="203" spans="1:13">
      <c r="A203" s="420" t="s">
        <v>588</v>
      </c>
      <c r="B203" s="441">
        <f>F183</f>
        <v>72.106000000000009</v>
      </c>
      <c r="C203" s="441">
        <f>G183</f>
        <v>0</v>
      </c>
      <c r="D203" s="441">
        <f t="shared" ref="D203:I203" si="114">$B$203*E191</f>
        <v>75.225387875308087</v>
      </c>
      <c r="E203" s="441">
        <f t="shared" si="114"/>
        <v>76.686410487930374</v>
      </c>
      <c r="F203" s="441">
        <f t="shared" si="114"/>
        <v>79.776480036992098</v>
      </c>
      <c r="G203" s="441">
        <f t="shared" si="114"/>
        <v>83.561103002974576</v>
      </c>
      <c r="H203" s="441">
        <f t="shared" si="114"/>
        <v>87.39290058103991</v>
      </c>
      <c r="I203" s="441">
        <f t="shared" si="114"/>
        <v>89.80703927922346</v>
      </c>
      <c r="J203" s="410"/>
      <c r="K203" s="410"/>
      <c r="L203" s="410"/>
      <c r="M203" s="410"/>
    </row>
    <row r="204" spans="1:13">
      <c r="A204" s="576" t="s">
        <v>585</v>
      </c>
      <c r="B204" s="576"/>
      <c r="C204" s="576"/>
      <c r="D204" s="576"/>
      <c r="E204" s="576"/>
      <c r="F204" s="576"/>
      <c r="G204" s="576"/>
      <c r="H204" s="576"/>
      <c r="I204" s="576"/>
      <c r="J204" s="410"/>
      <c r="K204" s="410"/>
      <c r="L204" s="410"/>
      <c r="M204" s="410"/>
    </row>
    <row r="205" spans="1:13">
      <c r="A205" s="410"/>
      <c r="B205" s="410"/>
      <c r="C205" s="410"/>
      <c r="D205" s="410"/>
      <c r="E205" s="410"/>
      <c r="F205" s="410"/>
      <c r="G205" s="410"/>
      <c r="H205" s="410"/>
      <c r="I205" s="410"/>
      <c r="J205" s="410"/>
      <c r="K205" s="410"/>
      <c r="L205" s="410"/>
      <c r="M205" s="410"/>
    </row>
    <row r="207" spans="1:13">
      <c r="A207" s="575" t="s">
        <v>663</v>
      </c>
      <c r="B207" s="575"/>
      <c r="C207" s="575"/>
      <c r="D207" s="575"/>
      <c r="E207" s="575"/>
      <c r="F207" s="575"/>
      <c r="G207" s="575"/>
      <c r="H207" s="575"/>
      <c r="I207" s="575"/>
      <c r="J207" s="575"/>
      <c r="K207" s="575"/>
    </row>
    <row r="208" spans="1:13">
      <c r="A208" s="535"/>
      <c r="B208" s="535"/>
      <c r="C208" s="535"/>
      <c r="D208" s="535"/>
      <c r="E208" s="535"/>
      <c r="F208" s="535"/>
      <c r="G208" s="535"/>
      <c r="H208" s="535"/>
      <c r="I208" s="535"/>
      <c r="J208" s="535"/>
      <c r="K208" s="535"/>
    </row>
    <row r="209" spans="1:22">
      <c r="A209" s="417" t="s">
        <v>569</v>
      </c>
      <c r="B209" s="419" t="s">
        <v>163</v>
      </c>
      <c r="C209" s="419" t="s">
        <v>164</v>
      </c>
      <c r="D209" s="419" t="s">
        <v>165</v>
      </c>
      <c r="E209" s="419" t="s">
        <v>570</v>
      </c>
      <c r="F209" s="419" t="s">
        <v>571</v>
      </c>
      <c r="G209" s="419" t="s">
        <v>572</v>
      </c>
      <c r="H209" s="419" t="s">
        <v>573</v>
      </c>
      <c r="I209" s="535"/>
      <c r="J209" s="535"/>
      <c r="K209" s="535"/>
    </row>
    <row r="210" spans="1:22">
      <c r="A210" s="420" t="s">
        <v>586</v>
      </c>
      <c r="B210" s="442"/>
      <c r="C210" s="442"/>
      <c r="D210" s="442"/>
      <c r="E210" s="442"/>
      <c r="F210" s="442"/>
      <c r="G210" s="442"/>
      <c r="H210" s="442"/>
      <c r="I210" s="535"/>
      <c r="J210" s="535"/>
      <c r="K210" s="535"/>
    </row>
    <row r="211" spans="1:22">
      <c r="A211" s="535" t="s">
        <v>574</v>
      </c>
      <c r="B211" s="442"/>
      <c r="C211" s="442"/>
      <c r="D211" s="442"/>
      <c r="E211" s="442"/>
      <c r="F211" s="442"/>
      <c r="G211" s="442"/>
      <c r="H211" s="442"/>
      <c r="I211" s="535"/>
      <c r="J211" s="535"/>
      <c r="K211" s="535"/>
    </row>
    <row r="212" spans="1:22">
      <c r="A212" s="420" t="s">
        <v>587</v>
      </c>
      <c r="B212" s="441">
        <f>B210*44/3600</f>
        <v>0</v>
      </c>
      <c r="C212" s="441">
        <f t="shared" ref="C212:E212" si="115">C210*44/3600</f>
        <v>0</v>
      </c>
      <c r="D212" s="441">
        <f t="shared" si="115"/>
        <v>0</v>
      </c>
      <c r="E212" s="441">
        <f t="shared" si="115"/>
        <v>0</v>
      </c>
      <c r="F212" s="441">
        <f>6.2*11.63</f>
        <v>72.106000000000009</v>
      </c>
      <c r="G212" s="441">
        <f t="shared" ref="G212:H212" si="116">G210*44/3600</f>
        <v>0</v>
      </c>
      <c r="H212" s="441">
        <f t="shared" si="116"/>
        <v>0</v>
      </c>
      <c r="I212" s="535"/>
      <c r="J212" s="535"/>
      <c r="K212" s="535"/>
    </row>
    <row r="213" spans="1:22">
      <c r="A213" s="256" t="s">
        <v>575</v>
      </c>
      <c r="B213" s="441">
        <f>B211*44/3600</f>
        <v>0</v>
      </c>
      <c r="C213" s="441">
        <f t="shared" ref="C213:E213" si="117">C211*44/3600</f>
        <v>0</v>
      </c>
      <c r="D213" s="441">
        <f t="shared" si="117"/>
        <v>0</v>
      </c>
      <c r="E213" s="441">
        <f t="shared" si="117"/>
        <v>0</v>
      </c>
      <c r="F213" s="441">
        <v>173.2</v>
      </c>
      <c r="G213" s="441">
        <f t="shared" ref="G213:H213" si="118">G211*44/3600</f>
        <v>0</v>
      </c>
      <c r="H213" s="441">
        <f t="shared" si="118"/>
        <v>0</v>
      </c>
      <c r="I213" s="535"/>
      <c r="J213" s="535"/>
      <c r="K213" s="535"/>
    </row>
    <row r="214" spans="1:22">
      <c r="A214" s="576" t="s">
        <v>576</v>
      </c>
      <c r="B214" s="576"/>
      <c r="C214" s="576"/>
      <c r="D214" s="576"/>
      <c r="E214" s="576"/>
      <c r="F214" s="576"/>
      <c r="G214" s="576"/>
      <c r="H214" s="576"/>
      <c r="I214" s="535"/>
      <c r="J214" s="535"/>
      <c r="K214" s="535"/>
    </row>
    <row r="215" spans="1:22">
      <c r="A215" s="535"/>
      <c r="B215" s="535"/>
      <c r="C215" s="535"/>
      <c r="D215" s="535"/>
      <c r="E215" s="535"/>
      <c r="F215" s="535"/>
      <c r="G215" s="535"/>
      <c r="H215" s="535"/>
      <c r="I215" s="535"/>
      <c r="J215" s="535"/>
      <c r="K215" s="535"/>
    </row>
    <row r="216" spans="1:22">
      <c r="A216" s="443" t="s">
        <v>577</v>
      </c>
      <c r="B216" s="444">
        <v>2018</v>
      </c>
      <c r="C216" s="444">
        <v>2019</v>
      </c>
      <c r="D216" s="444">
        <v>2020</v>
      </c>
      <c r="E216" s="444">
        <v>2025</v>
      </c>
      <c r="F216" s="444">
        <v>2030</v>
      </c>
      <c r="G216" s="444">
        <v>2035</v>
      </c>
      <c r="H216" s="444">
        <v>2040</v>
      </c>
      <c r="I216" s="444">
        <v>2045</v>
      </c>
      <c r="J216" s="444">
        <v>2050</v>
      </c>
      <c r="K216" s="535"/>
    </row>
    <row r="217" spans="1:22">
      <c r="A217" s="445" t="s">
        <v>578</v>
      </c>
      <c r="B217" s="446"/>
      <c r="C217" s="446">
        <v>1</v>
      </c>
      <c r="D217" s="446">
        <v>0.53619199286752905</v>
      </c>
      <c r="E217" s="446">
        <v>1.1205514631334093</v>
      </c>
      <c r="F217" s="446">
        <v>1.2011364029665057</v>
      </c>
      <c r="G217" s="446">
        <v>1.2830902553383599</v>
      </c>
      <c r="H217" s="446">
        <v>1.4166809438596295</v>
      </c>
      <c r="I217" s="446">
        <v>1.6138253541868293</v>
      </c>
      <c r="J217" s="446">
        <v>1.7359777486040251</v>
      </c>
      <c r="K217" s="535"/>
    </row>
    <row r="218" spans="1:22">
      <c r="A218" s="447" t="s">
        <v>579</v>
      </c>
      <c r="B218" s="448"/>
      <c r="C218" s="448">
        <v>1</v>
      </c>
      <c r="D218" s="448">
        <v>0.98499999999999999</v>
      </c>
      <c r="E218" s="448">
        <v>0.91330825483014066</v>
      </c>
      <c r="F218" s="448">
        <v>0.84683448562525598</v>
      </c>
      <c r="G218" s="448">
        <v>0.78519890984404295</v>
      </c>
      <c r="H218" s="448">
        <v>0.72804938684689524</v>
      </c>
      <c r="I218" s="448">
        <v>0.67505940602161607</v>
      </c>
      <c r="J218" s="448">
        <v>0.62592622134037912</v>
      </c>
      <c r="K218" s="535"/>
    </row>
    <row r="219" spans="1:22">
      <c r="A219" s="449" t="s">
        <v>580</v>
      </c>
      <c r="B219" s="450">
        <v>0.85454475589700007</v>
      </c>
      <c r="C219" s="450">
        <v>0.87386362250900007</v>
      </c>
      <c r="D219" s="450">
        <v>0.5968396748610002</v>
      </c>
      <c r="E219" s="450">
        <v>0.89623424898382609</v>
      </c>
      <c r="F219" s="450">
        <v>0.89213817011298491</v>
      </c>
      <c r="G219" s="450">
        <v>0.88431577054173738</v>
      </c>
      <c r="H219" s="450">
        <v>0.9061013102490989</v>
      </c>
      <c r="I219" s="450">
        <v>0.95814704756053781</v>
      </c>
      <c r="J219" s="450">
        <v>0.95629086955001508</v>
      </c>
      <c r="K219" s="535"/>
    </row>
    <row r="220" spans="1:22">
      <c r="A220" s="256" t="s">
        <v>581</v>
      </c>
      <c r="B220" s="451"/>
      <c r="C220" s="451"/>
      <c r="D220" s="452">
        <f>D219/$C$219</f>
        <v>0.68298949571487999</v>
      </c>
      <c r="E220" s="452">
        <f t="shared" ref="E220:J220" si="119">E219/$C$219</f>
        <v>1.0255996769960471</v>
      </c>
      <c r="F220" s="452">
        <f t="shared" si="119"/>
        <v>1.0209123564973626</v>
      </c>
      <c r="G220" s="452">
        <f t="shared" si="119"/>
        <v>1.0119608457927651</v>
      </c>
      <c r="H220" s="452">
        <f t="shared" si="119"/>
        <v>1.0368909826541806</v>
      </c>
      <c r="I220" s="452">
        <f t="shared" si="119"/>
        <v>1.096449174540012</v>
      </c>
      <c r="J220" s="452">
        <f t="shared" si="119"/>
        <v>1.0943250696308349</v>
      </c>
      <c r="K220" s="535"/>
    </row>
    <row r="221" spans="1:22">
      <c r="A221" s="577" t="s">
        <v>582</v>
      </c>
      <c r="B221" s="578"/>
      <c r="C221" s="578"/>
      <c r="D221" s="578"/>
      <c r="E221" s="578"/>
      <c r="F221" s="578"/>
      <c r="G221" s="578"/>
      <c r="H221" s="578"/>
      <c r="I221" s="578"/>
      <c r="J221" s="579"/>
      <c r="K221" s="535"/>
    </row>
    <row r="222" spans="1:22">
      <c r="A222" s="535"/>
      <c r="B222" s="535"/>
      <c r="C222" s="535"/>
      <c r="D222" s="535"/>
      <c r="E222" s="535"/>
      <c r="F222" s="535"/>
      <c r="G222" s="535"/>
      <c r="H222" s="535"/>
      <c r="I222" s="535"/>
      <c r="J222" s="535"/>
      <c r="K222" s="535"/>
    </row>
    <row r="223" spans="1:22">
      <c r="A223" s="443" t="s">
        <v>583</v>
      </c>
      <c r="B223" s="444">
        <v>2018</v>
      </c>
      <c r="C223" s="444">
        <v>2019</v>
      </c>
      <c r="D223" s="444">
        <v>2020</v>
      </c>
      <c r="E223" s="444">
        <v>2025</v>
      </c>
      <c r="F223" s="444">
        <v>2030</v>
      </c>
      <c r="G223" s="444">
        <v>2035</v>
      </c>
      <c r="H223" s="444">
        <v>2040</v>
      </c>
      <c r="I223" s="444">
        <v>2045</v>
      </c>
      <c r="J223" s="444">
        <v>2050</v>
      </c>
      <c r="K223" s="535"/>
    </row>
    <row r="224" spans="1:22">
      <c r="A224" s="445" t="s">
        <v>578</v>
      </c>
      <c r="B224" s="453"/>
      <c r="C224" s="453">
        <v>1</v>
      </c>
      <c r="D224" s="453">
        <v>0.44563782003342767</v>
      </c>
      <c r="E224" s="453">
        <v>1.1289550985748806</v>
      </c>
      <c r="F224" s="453">
        <v>1.2093121833483269</v>
      </c>
      <c r="G224" s="453">
        <v>1.2673191125786336</v>
      </c>
      <c r="H224" s="453">
        <v>1.3796522178398569</v>
      </c>
      <c r="I224" s="453">
        <v>1.5594235801445901</v>
      </c>
      <c r="J224" s="453">
        <v>1.6539238172349704</v>
      </c>
      <c r="K224" s="535"/>
      <c r="M224" s="540" t="s">
        <v>577</v>
      </c>
      <c r="N224" s="243">
        <v>2018</v>
      </c>
      <c r="O224" s="243">
        <v>2019</v>
      </c>
      <c r="P224" s="243">
        <v>2020</v>
      </c>
      <c r="Q224" s="243">
        <v>2025</v>
      </c>
      <c r="R224" s="243">
        <v>2030</v>
      </c>
      <c r="S224" s="243">
        <v>2035</v>
      </c>
      <c r="T224" s="243">
        <v>2040</v>
      </c>
      <c r="U224" s="243">
        <v>2045</v>
      </c>
      <c r="V224" s="243">
        <v>2050</v>
      </c>
    </row>
    <row r="225" spans="1:22">
      <c r="A225" s="447" t="s">
        <v>579</v>
      </c>
      <c r="B225" s="448"/>
      <c r="C225" s="448">
        <v>1</v>
      </c>
      <c r="D225" s="448">
        <v>0.98499999999999999</v>
      </c>
      <c r="E225" s="448">
        <v>0.91330825483014066</v>
      </c>
      <c r="F225" s="448">
        <v>0.84683448562525598</v>
      </c>
      <c r="G225" s="448">
        <v>0.78519890984404295</v>
      </c>
      <c r="H225" s="448">
        <v>0.72804938684689524</v>
      </c>
      <c r="I225" s="448">
        <v>0.67505940602161607</v>
      </c>
      <c r="J225" s="448">
        <v>0.62592622134037912</v>
      </c>
      <c r="K225" s="535"/>
      <c r="M225" s="409" t="s">
        <v>668</v>
      </c>
      <c r="N225" s="243">
        <v>0</v>
      </c>
      <c r="O225" s="243">
        <v>0</v>
      </c>
      <c r="P225" s="243">
        <v>0</v>
      </c>
      <c r="Q225" s="243">
        <v>17.92468497967652</v>
      </c>
      <c r="R225" s="243">
        <v>38.361941314858349</v>
      </c>
      <c r="S225" s="243">
        <v>132.64736558126063</v>
      </c>
      <c r="T225" s="243">
        <v>217.46431445978376</v>
      </c>
      <c r="U225" s="243">
        <v>258.69970284134524</v>
      </c>
      <c r="V225" s="243">
        <v>334.70180434250528</v>
      </c>
    </row>
    <row r="226" spans="1:22">
      <c r="A226" s="449" t="s">
        <v>584</v>
      </c>
      <c r="B226" s="454">
        <v>5.9037976366930014</v>
      </c>
      <c r="C226" s="454">
        <v>6.0765395623849949</v>
      </c>
      <c r="D226" s="454">
        <v>2.5093328292910013</v>
      </c>
      <c r="E226" s="454">
        <v>6.2692560140969507</v>
      </c>
      <c r="F226" s="454">
        <v>6.2306542769309265</v>
      </c>
      <c r="G226" s="454">
        <v>6.0597237229090171</v>
      </c>
      <c r="H226" s="454">
        <v>6.122680233842269</v>
      </c>
      <c r="I226" s="454">
        <v>6.4227513885224141</v>
      </c>
      <c r="J226" s="454">
        <v>6.3233843573366162</v>
      </c>
      <c r="K226" s="535"/>
      <c r="M226" s="409" t="s">
        <v>669</v>
      </c>
      <c r="N226" s="243">
        <v>0</v>
      </c>
      <c r="O226" s="243">
        <v>0</v>
      </c>
      <c r="P226" s="243">
        <v>0</v>
      </c>
      <c r="Q226" s="243">
        <v>0</v>
      </c>
      <c r="R226" s="243">
        <v>6.2449671907908977</v>
      </c>
      <c r="S226" s="243">
        <v>44.215788527086893</v>
      </c>
      <c r="T226" s="243">
        <v>72.488104819927912</v>
      </c>
      <c r="U226" s="243">
        <v>105.39617523165917</v>
      </c>
      <c r="V226" s="243">
        <v>267.7614434740043</v>
      </c>
    </row>
    <row r="227" spans="1:22">
      <c r="A227" s="256" t="s">
        <v>581</v>
      </c>
      <c r="B227" s="451"/>
      <c r="C227" s="451"/>
      <c r="D227" s="452">
        <f>D226/$C$226</f>
        <v>0.41295424863589758</v>
      </c>
      <c r="E227" s="452">
        <f t="shared" ref="E227:J227" si="120">E226/$C$226</f>
        <v>1.0317148353488734</v>
      </c>
      <c r="F227" s="452">
        <f t="shared" si="120"/>
        <v>1.0253622498403421</v>
      </c>
      <c r="G227" s="452">
        <f t="shared" si="120"/>
        <v>0.99723266189525506</v>
      </c>
      <c r="H227" s="452">
        <f t="shared" si="120"/>
        <v>1.0075932479305976</v>
      </c>
      <c r="I227" s="452">
        <f t="shared" si="120"/>
        <v>1.0569751620281616</v>
      </c>
      <c r="J227" s="452">
        <f t="shared" si="120"/>
        <v>1.0406225932403437</v>
      </c>
      <c r="K227" s="455"/>
      <c r="M227" s="409" t="s">
        <v>670</v>
      </c>
      <c r="N227" s="243">
        <v>0</v>
      </c>
      <c r="O227" s="243">
        <v>0</v>
      </c>
      <c r="P227" s="243">
        <v>0</v>
      </c>
      <c r="Q227" s="243">
        <v>0</v>
      </c>
      <c r="R227" s="243">
        <v>0</v>
      </c>
      <c r="S227" s="243">
        <v>0</v>
      </c>
      <c r="T227" s="243">
        <v>0</v>
      </c>
      <c r="U227" s="243">
        <v>0</v>
      </c>
      <c r="V227" s="243">
        <v>0</v>
      </c>
    </row>
    <row r="228" spans="1:22">
      <c r="A228" s="577" t="s">
        <v>582</v>
      </c>
      <c r="B228" s="578"/>
      <c r="C228" s="578"/>
      <c r="D228" s="578"/>
      <c r="E228" s="578"/>
      <c r="F228" s="578"/>
      <c r="G228" s="578"/>
      <c r="H228" s="578"/>
      <c r="I228" s="578"/>
      <c r="J228" s="579"/>
      <c r="K228" s="535"/>
      <c r="M228" s="409" t="s">
        <v>671</v>
      </c>
      <c r="N228" s="243">
        <v>854.54475589700007</v>
      </c>
      <c r="O228" s="243">
        <v>873.86362250900004</v>
      </c>
      <c r="P228" s="243">
        <v>596.83967486100016</v>
      </c>
      <c r="Q228" s="243">
        <v>878.30956400414959</v>
      </c>
      <c r="R228" s="243">
        <v>847.53126160733575</v>
      </c>
      <c r="S228" s="243">
        <v>707.45261643339018</v>
      </c>
      <c r="T228" s="243">
        <v>616.14889096938725</v>
      </c>
      <c r="U228" s="243">
        <v>594.05116948753334</v>
      </c>
      <c r="V228" s="243">
        <v>353.82762173350568</v>
      </c>
    </row>
    <row r="229" spans="1:22">
      <c r="A229" s="535"/>
      <c r="B229" s="535"/>
      <c r="C229" s="535"/>
      <c r="D229" s="535"/>
      <c r="E229" s="535"/>
      <c r="F229" s="535"/>
      <c r="G229" s="535"/>
      <c r="H229" s="535"/>
      <c r="I229" s="535"/>
      <c r="J229" s="535"/>
      <c r="K229" s="535"/>
      <c r="M229" s="535" t="s">
        <v>672</v>
      </c>
      <c r="N229" s="243">
        <v>854.54475589700007</v>
      </c>
      <c r="O229" s="243">
        <v>873.86362250900004</v>
      </c>
      <c r="P229" s="243">
        <v>596.83967486100016</v>
      </c>
      <c r="Q229" s="243">
        <v>896.23424898382609</v>
      </c>
      <c r="R229" s="243">
        <v>892.13817011298488</v>
      </c>
      <c r="S229" s="243">
        <v>884.31577054173738</v>
      </c>
      <c r="T229" s="243">
        <v>906.1013102490989</v>
      </c>
      <c r="U229" s="243">
        <v>958.14704756053777</v>
      </c>
      <c r="V229" s="243">
        <v>956.29086955001503</v>
      </c>
    </row>
    <row r="230" spans="1:22">
      <c r="A230" s="417" t="s">
        <v>569</v>
      </c>
      <c r="B230" s="444">
        <v>2019</v>
      </c>
      <c r="C230" s="444">
        <v>2020</v>
      </c>
      <c r="D230" s="444">
        <v>2025</v>
      </c>
      <c r="E230" s="444">
        <v>2030</v>
      </c>
      <c r="F230" s="444">
        <v>2035</v>
      </c>
      <c r="G230" s="444">
        <v>2040</v>
      </c>
      <c r="H230" s="444">
        <v>2045</v>
      </c>
      <c r="I230" s="444">
        <v>2050</v>
      </c>
      <c r="J230" s="535"/>
      <c r="K230" s="535"/>
      <c r="N230" s="535">
        <f t="shared" ref="N230:P230" si="121">N225/N229</f>
        <v>0</v>
      </c>
      <c r="O230" s="535">
        <f t="shared" si="121"/>
        <v>0</v>
      </c>
      <c r="P230" s="535">
        <f t="shared" si="121"/>
        <v>0</v>
      </c>
      <c r="Q230">
        <f>Q225/Q229</f>
        <v>1.9999999999999997E-2</v>
      </c>
      <c r="R230" s="535">
        <f t="shared" ref="R230:V230" si="122">R225/R229</f>
        <v>4.2999999999999997E-2</v>
      </c>
      <c r="S230" s="535">
        <f t="shared" si="122"/>
        <v>0.15000000000000002</v>
      </c>
      <c r="T230" s="535">
        <f t="shared" si="122"/>
        <v>0.24000000000000002</v>
      </c>
      <c r="U230" s="535">
        <f t="shared" si="122"/>
        <v>0.27000000000000007</v>
      </c>
      <c r="V230" s="535">
        <f t="shared" si="122"/>
        <v>0.35000000000000003</v>
      </c>
    </row>
    <row r="231" spans="1:22">
      <c r="A231" s="420" t="s">
        <v>583</v>
      </c>
      <c r="B231" s="441">
        <f>F213</f>
        <v>173.2</v>
      </c>
      <c r="C231" s="441">
        <f>G213</f>
        <v>0</v>
      </c>
      <c r="D231" s="441">
        <f>$B$202*E227</f>
        <v>178.69300948242486</v>
      </c>
      <c r="E231" s="441">
        <f t="shared" ref="E231" si="123">$B$202*F227</f>
        <v>177.59274167234724</v>
      </c>
      <c r="F231" s="441">
        <f t="shared" ref="F231" si="124">$B$202*G227</f>
        <v>172.72069704025816</v>
      </c>
      <c r="G231" s="441">
        <f t="shared" ref="G231" si="125">$B$202*H227</f>
        <v>174.51515054157949</v>
      </c>
      <c r="H231" s="441">
        <f t="shared" ref="H231" si="126">$B$202*I227</f>
        <v>183.06809806327757</v>
      </c>
      <c r="I231" s="441">
        <f t="shared" ref="I231" si="127">$B$202*J227</f>
        <v>180.23583314922752</v>
      </c>
      <c r="J231" s="535"/>
      <c r="K231" s="535"/>
      <c r="N231" s="535">
        <f t="shared" ref="N231:P231" si="128">N226/N229</f>
        <v>0</v>
      </c>
      <c r="O231" s="535">
        <f t="shared" si="128"/>
        <v>0</v>
      </c>
      <c r="P231" s="535">
        <f t="shared" si="128"/>
        <v>0</v>
      </c>
      <c r="Q231">
        <f>Q226/Q229</f>
        <v>0</v>
      </c>
      <c r="R231" s="535">
        <f t="shared" ref="R231:V231" si="129">R226/R229</f>
        <v>7.0000000000000036E-3</v>
      </c>
      <c r="S231" s="535">
        <f t="shared" si="129"/>
        <v>5.0000000000000031E-2</v>
      </c>
      <c r="T231" s="535">
        <f t="shared" si="129"/>
        <v>0.08</v>
      </c>
      <c r="U231" s="535">
        <f t="shared" si="129"/>
        <v>0.11000000000000001</v>
      </c>
      <c r="V231" s="535">
        <f t="shared" si="129"/>
        <v>0.28000000000000008</v>
      </c>
    </row>
    <row r="232" spans="1:22" s="535" customFormat="1">
      <c r="A232" s="420" t="s">
        <v>665</v>
      </c>
      <c r="B232" s="441">
        <f>B231*O245</f>
        <v>0</v>
      </c>
      <c r="C232" s="441">
        <f t="shared" ref="C232:I232" si="130">C231*P245</f>
        <v>0</v>
      </c>
      <c r="D232" s="441">
        <f t="shared" si="130"/>
        <v>3.5738601896484972</v>
      </c>
      <c r="E232" s="441">
        <f t="shared" si="130"/>
        <v>7.6364878919109325</v>
      </c>
      <c r="F232" s="441">
        <f t="shared" si="130"/>
        <v>25.908104556038722</v>
      </c>
      <c r="G232" s="441">
        <f t="shared" si="130"/>
        <v>41.883636129979081</v>
      </c>
      <c r="H232" s="441">
        <f t="shared" si="130"/>
        <v>49.428386477084935</v>
      </c>
      <c r="I232" s="441">
        <f t="shared" si="130"/>
        <v>63.082541602229639</v>
      </c>
    </row>
    <row r="233" spans="1:22" s="535" customFormat="1">
      <c r="A233" s="420" t="s">
        <v>666</v>
      </c>
      <c r="B233" s="441">
        <f>B231*O246</f>
        <v>0</v>
      </c>
      <c r="C233" s="441">
        <f t="shared" ref="C233:I233" si="131">C231*P246</f>
        <v>0</v>
      </c>
      <c r="D233" s="441">
        <f t="shared" si="131"/>
        <v>0</v>
      </c>
      <c r="E233" s="441">
        <f t="shared" si="131"/>
        <v>1.2431491917064306</v>
      </c>
      <c r="F233" s="441">
        <f t="shared" si="131"/>
        <v>8.6360348520129104</v>
      </c>
      <c r="G233" s="441">
        <f t="shared" si="131"/>
        <v>13.961212043326359</v>
      </c>
      <c r="H233" s="441">
        <f t="shared" si="131"/>
        <v>20.13749078696053</v>
      </c>
      <c r="I233" s="441">
        <f t="shared" si="131"/>
        <v>50.466033281783723</v>
      </c>
      <c r="N233" s="535">
        <f t="shared" ref="N233:P233" si="132">N228/N229</f>
        <v>1</v>
      </c>
      <c r="O233" s="535">
        <f t="shared" si="132"/>
        <v>1</v>
      </c>
      <c r="P233" s="535">
        <f t="shared" si="132"/>
        <v>1</v>
      </c>
      <c r="Q233" s="535">
        <f>Q228/Q229</f>
        <v>0.98</v>
      </c>
      <c r="R233" s="535">
        <f t="shared" ref="R233:V233" si="133">R228/R229</f>
        <v>0.95000000000000018</v>
      </c>
      <c r="S233" s="535">
        <f t="shared" si="133"/>
        <v>0.80000000000000027</v>
      </c>
      <c r="T233" s="535">
        <f t="shared" si="133"/>
        <v>0.68</v>
      </c>
      <c r="U233" s="535">
        <f t="shared" si="133"/>
        <v>0.61999999999999988</v>
      </c>
      <c r="V233" s="535">
        <f t="shared" si="133"/>
        <v>0.37000000000000011</v>
      </c>
    </row>
    <row r="234" spans="1:22" s="535" customFormat="1">
      <c r="A234" s="420" t="s">
        <v>667</v>
      </c>
      <c r="B234" s="441">
        <f>B231*O247</f>
        <v>173.2</v>
      </c>
      <c r="C234" s="441">
        <f t="shared" ref="C234:I234" si="134">C231*P247</f>
        <v>0</v>
      </c>
      <c r="D234" s="441">
        <f t="shared" si="134"/>
        <v>175.11914929277631</v>
      </c>
      <c r="E234" s="441">
        <f t="shared" si="134"/>
        <v>168.71310458872986</v>
      </c>
      <c r="F234" s="441">
        <f t="shared" si="134"/>
        <v>137.82554575763191</v>
      </c>
      <c r="G234" s="441">
        <f t="shared" si="134"/>
        <v>116.93626463544739</v>
      </c>
      <c r="H234" s="441">
        <f t="shared" si="134"/>
        <v>109.38343095971929</v>
      </c>
      <c r="I234" s="441">
        <f t="shared" si="134"/>
        <v>58.488046231055819</v>
      </c>
    </row>
    <row r="235" spans="1:22">
      <c r="A235" s="420" t="s">
        <v>588</v>
      </c>
      <c r="B235" s="441">
        <f>F212</f>
        <v>72.106000000000009</v>
      </c>
      <c r="C235" s="441">
        <f>G212</f>
        <v>0</v>
      </c>
      <c r="D235" s="441">
        <f t="shared" ref="D235" si="135">$B$203*E220</f>
        <v>73.95189030947698</v>
      </c>
      <c r="E235" s="441">
        <f t="shared" ref="E235" si="136">$B$203*F220</f>
        <v>73.613906377598838</v>
      </c>
      <c r="F235" s="441">
        <f t="shared" ref="F235" si="137">$B$203*G220</f>
        <v>72.968448746733131</v>
      </c>
      <c r="G235" s="441">
        <f t="shared" ref="G235" si="138">$B$203*H220</f>
        <v>74.766061195262353</v>
      </c>
      <c r="H235" s="441">
        <f t="shared" ref="H235" si="139">$B$203*I220</f>
        <v>79.060564179382112</v>
      </c>
      <c r="I235" s="441">
        <f t="shared" ref="I235" si="140">$B$203*J220</f>
        <v>78.907403470800986</v>
      </c>
      <c r="J235" s="535"/>
      <c r="K235" s="535"/>
    </row>
    <row r="236" spans="1:22" s="535" customFormat="1">
      <c r="A236" s="420" t="s">
        <v>665</v>
      </c>
      <c r="B236" s="441">
        <f>B235*N230</f>
        <v>0</v>
      </c>
      <c r="C236" s="441">
        <f t="shared" ref="C236:I236" si="141">C235*O230</f>
        <v>0</v>
      </c>
      <c r="D236" s="441">
        <f t="shared" si="141"/>
        <v>0</v>
      </c>
      <c r="E236" s="441">
        <f t="shared" si="141"/>
        <v>1.4722781275519765</v>
      </c>
      <c r="F236" s="441">
        <f t="shared" si="141"/>
        <v>3.1376432961095242</v>
      </c>
      <c r="G236" s="441">
        <f t="shared" si="141"/>
        <v>11.214909179289355</v>
      </c>
      <c r="H236" s="441">
        <f t="shared" si="141"/>
        <v>18.974535403051707</v>
      </c>
      <c r="I236" s="441">
        <f t="shared" si="141"/>
        <v>21.304998937116274</v>
      </c>
    </row>
    <row r="237" spans="1:22" s="535" customFormat="1">
      <c r="A237" s="420" t="s">
        <v>666</v>
      </c>
      <c r="B237" s="441">
        <f>B235*N231</f>
        <v>0</v>
      </c>
      <c r="C237" s="441">
        <f t="shared" ref="C237:I237" si="142">C235*O231</f>
        <v>0</v>
      </c>
      <c r="D237" s="441">
        <f t="shared" si="142"/>
        <v>0</v>
      </c>
      <c r="E237" s="441">
        <f t="shared" si="142"/>
        <v>0</v>
      </c>
      <c r="F237" s="441">
        <f t="shared" si="142"/>
        <v>0.51077914122713219</v>
      </c>
      <c r="G237" s="441">
        <f t="shared" si="142"/>
        <v>3.7383030597631199</v>
      </c>
      <c r="H237" s="441">
        <f t="shared" si="142"/>
        <v>6.3248451343505687</v>
      </c>
      <c r="I237" s="441">
        <f t="shared" si="142"/>
        <v>8.679814381788109</v>
      </c>
    </row>
    <row r="238" spans="1:22" s="535" customFormat="1">
      <c r="A238" s="420" t="s">
        <v>667</v>
      </c>
      <c r="B238" s="441">
        <f>B235*N233</f>
        <v>72.106000000000009</v>
      </c>
      <c r="C238" s="441">
        <f t="shared" ref="C238:I238" si="143">C235*O233</f>
        <v>0</v>
      </c>
      <c r="D238" s="441">
        <f t="shared" si="143"/>
        <v>73.95189030947698</v>
      </c>
      <c r="E238" s="441">
        <f t="shared" si="143"/>
        <v>72.141628250046864</v>
      </c>
      <c r="F238" s="441">
        <f t="shared" si="143"/>
        <v>69.320026309396482</v>
      </c>
      <c r="G238" s="441">
        <f t="shared" si="143"/>
        <v>59.812848956209905</v>
      </c>
      <c r="H238" s="441">
        <f t="shared" si="143"/>
        <v>53.761183641979841</v>
      </c>
      <c r="I238" s="441">
        <f t="shared" si="143"/>
        <v>48.9225901518966</v>
      </c>
    </row>
    <row r="239" spans="1:22">
      <c r="A239" s="576" t="s">
        <v>585</v>
      </c>
      <c r="B239" s="576"/>
      <c r="C239" s="576"/>
      <c r="D239" s="576"/>
      <c r="E239" s="576"/>
      <c r="F239" s="576"/>
      <c r="G239" s="576"/>
      <c r="H239" s="576"/>
      <c r="I239" s="576"/>
      <c r="J239" s="535"/>
      <c r="K239" s="535"/>
      <c r="M239" s="540" t="s">
        <v>673</v>
      </c>
      <c r="N239" s="243">
        <v>2018</v>
      </c>
      <c r="O239" s="243">
        <v>2019</v>
      </c>
      <c r="P239" s="243">
        <v>2020</v>
      </c>
      <c r="Q239" s="243">
        <v>2025</v>
      </c>
      <c r="R239" s="243">
        <v>2030</v>
      </c>
      <c r="S239" s="243">
        <v>2035</v>
      </c>
      <c r="T239" s="243">
        <v>2040</v>
      </c>
      <c r="U239" s="243">
        <v>2045</v>
      </c>
      <c r="V239" s="243">
        <v>2050</v>
      </c>
    </row>
    <row r="240" spans="1:22">
      <c r="M240" s="409" t="s">
        <v>668</v>
      </c>
      <c r="N240" s="243">
        <v>0</v>
      </c>
      <c r="O240" s="243">
        <v>0</v>
      </c>
      <c r="P240" s="243">
        <v>0</v>
      </c>
      <c r="Q240" s="243">
        <v>125.38512028193901</v>
      </c>
      <c r="R240" s="243">
        <v>267.91813390802986</v>
      </c>
      <c r="S240" s="243">
        <v>908.95855843635252</v>
      </c>
      <c r="T240" s="243">
        <v>1469.4432561221447</v>
      </c>
      <c r="U240" s="243">
        <v>1734.1428749010518</v>
      </c>
      <c r="V240" s="243">
        <v>2213.1845250678161</v>
      </c>
    </row>
    <row r="241" spans="13:22">
      <c r="M241" s="409" t="s">
        <v>669</v>
      </c>
      <c r="N241" s="243">
        <v>0</v>
      </c>
      <c r="O241" s="243">
        <v>0</v>
      </c>
      <c r="P241" s="243">
        <v>0</v>
      </c>
      <c r="Q241" s="243">
        <v>0</v>
      </c>
      <c r="R241" s="243">
        <v>43.614579938516478</v>
      </c>
      <c r="S241" s="243">
        <v>302.98618614545092</v>
      </c>
      <c r="T241" s="243">
        <v>489.81441870738155</v>
      </c>
      <c r="U241" s="243">
        <v>706.5026527374655</v>
      </c>
      <c r="V241" s="243">
        <v>1770.5476200542532</v>
      </c>
    </row>
    <row r="242" spans="13:22">
      <c r="M242" s="409" t="s">
        <v>670</v>
      </c>
      <c r="N242" s="243">
        <v>0</v>
      </c>
      <c r="O242" s="243">
        <v>0</v>
      </c>
      <c r="P242" s="243">
        <v>0</v>
      </c>
      <c r="Q242" s="243">
        <v>0</v>
      </c>
      <c r="R242" s="243">
        <v>0</v>
      </c>
      <c r="S242" s="243">
        <v>12.3148818863706</v>
      </c>
      <c r="T242" s="243">
        <v>60.836887333658844</v>
      </c>
      <c r="U242" s="243">
        <v>144.50340305397842</v>
      </c>
      <c r="V242" s="243">
        <v>287.66071770176961</v>
      </c>
    </row>
    <row r="243" spans="13:22">
      <c r="M243" s="409" t="s">
        <v>671</v>
      </c>
      <c r="N243" s="243">
        <v>5903.7976366930016</v>
      </c>
      <c r="O243" s="243">
        <v>6076.5395623849945</v>
      </c>
      <c r="P243" s="243">
        <v>2509.3328292910014</v>
      </c>
      <c r="Q243" s="243">
        <v>6143.8708938150103</v>
      </c>
      <c r="R243" s="243">
        <v>5919.1215630843799</v>
      </c>
      <c r="S243" s="243">
        <v>4835.4640964408418</v>
      </c>
      <c r="T243" s="243">
        <v>4102.585671679085</v>
      </c>
      <c r="U243" s="243">
        <v>3837.6024578299189</v>
      </c>
      <c r="V243" s="243">
        <v>2051.9914945127789</v>
      </c>
    </row>
    <row r="244" spans="13:22">
      <c r="M244" s="535" t="s">
        <v>672</v>
      </c>
      <c r="N244" s="243">
        <v>5903.7976366930016</v>
      </c>
      <c r="O244" s="243">
        <v>6076.5395623849945</v>
      </c>
      <c r="P244" s="243">
        <v>2509.3328292910014</v>
      </c>
      <c r="Q244" s="243">
        <v>6269.2560140969508</v>
      </c>
      <c r="R244" s="243">
        <v>6230.6542769309262</v>
      </c>
      <c r="S244" s="243">
        <v>6059.7237229090169</v>
      </c>
      <c r="T244" s="243">
        <v>6122.6802338422694</v>
      </c>
      <c r="U244" s="243">
        <v>6422.7513885224143</v>
      </c>
      <c r="V244" s="243">
        <v>6323.3843573366166</v>
      </c>
    </row>
    <row r="245" spans="13:22">
      <c r="N245">
        <f>N240/N244</f>
        <v>0</v>
      </c>
      <c r="O245" s="535">
        <f t="shared" ref="O245:V245" si="144">O240/O244</f>
        <v>0</v>
      </c>
      <c r="P245" s="535">
        <f t="shared" si="144"/>
        <v>0</v>
      </c>
      <c r="Q245" s="535">
        <f t="shared" si="144"/>
        <v>0.02</v>
      </c>
      <c r="R245" s="535">
        <f t="shared" si="144"/>
        <v>4.3000000000000003E-2</v>
      </c>
      <c r="S245" s="535">
        <f t="shared" si="144"/>
        <v>0.15</v>
      </c>
      <c r="T245" s="535">
        <f t="shared" si="144"/>
        <v>0.24000000000000002</v>
      </c>
      <c r="U245" s="535">
        <f t="shared" si="144"/>
        <v>0.26999999999999996</v>
      </c>
      <c r="V245" s="535">
        <f t="shared" si="144"/>
        <v>0.35000000000000003</v>
      </c>
    </row>
    <row r="246" spans="13:22">
      <c r="N246">
        <f>N241/N244</f>
        <v>0</v>
      </c>
      <c r="O246" s="535">
        <f t="shared" ref="O246:V246" si="145">O241/O244</f>
        <v>0</v>
      </c>
      <c r="P246" s="535">
        <f t="shared" si="145"/>
        <v>0</v>
      </c>
      <c r="Q246" s="535">
        <f t="shared" si="145"/>
        <v>0</v>
      </c>
      <c r="R246" s="535">
        <f t="shared" si="145"/>
        <v>6.9999999999999993E-3</v>
      </c>
      <c r="S246" s="535">
        <f t="shared" si="145"/>
        <v>5.000000000000001E-2</v>
      </c>
      <c r="T246" s="535">
        <f t="shared" si="145"/>
        <v>0.08</v>
      </c>
      <c r="U246" s="535">
        <f t="shared" si="145"/>
        <v>0.10999999999999999</v>
      </c>
      <c r="V246" s="535">
        <f t="shared" si="145"/>
        <v>0.28000000000000008</v>
      </c>
    </row>
    <row r="247" spans="13:22">
      <c r="N247">
        <f>N243/N244</f>
        <v>1</v>
      </c>
      <c r="O247" s="535">
        <f t="shared" ref="O247:V247" si="146">O243/O244</f>
        <v>1</v>
      </c>
      <c r="P247" s="535">
        <f t="shared" si="146"/>
        <v>1</v>
      </c>
      <c r="Q247" s="535">
        <f t="shared" si="146"/>
        <v>0.97999999999999976</v>
      </c>
      <c r="R247" s="535">
        <f t="shared" si="146"/>
        <v>0.95</v>
      </c>
      <c r="S247" s="535">
        <f t="shared" si="146"/>
        <v>0.79796774862196851</v>
      </c>
      <c r="T247" s="535">
        <f t="shared" si="146"/>
        <v>0.67006368371201375</v>
      </c>
      <c r="U247" s="535">
        <f t="shared" si="146"/>
        <v>0.59750132391669275</v>
      </c>
      <c r="V247" s="535">
        <f t="shared" si="146"/>
        <v>0.32450842437435973</v>
      </c>
    </row>
  </sheetData>
  <mergeCells count="26">
    <mergeCell ref="A7:K7"/>
    <mergeCell ref="F26:I26"/>
    <mergeCell ref="A35:K35"/>
    <mergeCell ref="A53:K53"/>
    <mergeCell ref="A55:K55"/>
    <mergeCell ref="A28:K28"/>
    <mergeCell ref="A87:K87"/>
    <mergeCell ref="A102:M102"/>
    <mergeCell ref="A108:I108"/>
    <mergeCell ref="A121:M121"/>
    <mergeCell ref="A80:K80"/>
    <mergeCell ref="A204:I204"/>
    <mergeCell ref="A129:I129"/>
    <mergeCell ref="A178:K178"/>
    <mergeCell ref="A185:H185"/>
    <mergeCell ref="A192:J192"/>
    <mergeCell ref="A199:J199"/>
    <mergeCell ref="A131:K131"/>
    <mergeCell ref="A146:M146"/>
    <mergeCell ref="A152:I152"/>
    <mergeCell ref="A165:M165"/>
    <mergeCell ref="A207:K207"/>
    <mergeCell ref="A214:H214"/>
    <mergeCell ref="A221:J221"/>
    <mergeCell ref="A228:J228"/>
    <mergeCell ref="A239:I239"/>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Pour Enerdata</vt:lpstr>
      <vt:lpstr>DESCRIPTION</vt:lpstr>
      <vt:lpstr>Hypothèses</vt:lpstr>
      <vt:lpstr>Estimation GES</vt:lpstr>
      <vt:lpstr>Bilan d'énergie</vt:lpstr>
      <vt:lpstr>Cadrage macroéconomique </vt:lpstr>
      <vt:lpstr>Nickel</vt:lpstr>
      <vt:lpstr>Prod Energie</vt:lpstr>
      <vt:lpstr>Transports</vt:lpstr>
      <vt:lpstr>Industrie</vt:lpstr>
      <vt:lpstr>Résidentiel-tertiaire</vt:lpstr>
      <vt:lpstr>Agriculture</vt:lpstr>
      <vt:lpstr>UTCATF</vt:lpstr>
      <vt:lpstr>Déchets</vt:lpstr>
      <vt:lpstr>GES</vt:lpstr>
      <vt:lpstr>Bilan d'énergie SDES historique</vt:lpstr>
      <vt:lpstr>Bilans d'énergie 2010-2020</vt:lpstr>
      <vt:lpstr>Calculs</vt:lpstr>
      <vt:lpstr>HFC</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2023-02-17T14:28:13Z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