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drawings/drawing7.xml" ContentType="application/vnd.openxmlformats-officedocument.drawingml.chartshapes+xml"/>
  <Override PartName="/xl/charts/chart10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drawings/drawing10.xml" ContentType="application/vnd.openxmlformats-officedocument.drawingml.chartshapes+xml"/>
  <Override PartName="/xl/charts/chart12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ml.chartshapes+xml"/>
  <Override PartName="/xl/charts/chart14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4_Inventaires d'émissions, prospective et évaluation\42_Prospective\421_Scénarios prospectifs DGEC\4215_Scénarios 2023\22-Outre mer\Hypothèses OM_run2\Hypothèses_PTOM\"/>
    </mc:Choice>
  </mc:AlternateContent>
  <bookViews>
    <workbookView xWindow="0" yWindow="0" windowWidth="25200" windowHeight="11412" tabRatio="724" firstSheet="1" activeTab="3"/>
  </bookViews>
  <sheets>
    <sheet name="Pour Enerdata" sheetId="1" state="hidden" r:id="rId1"/>
    <sheet name="DESCRIPTION" sheetId="13" r:id="rId2"/>
    <sheet name="Hypothèses" sheetId="14" r:id="rId3"/>
    <sheet name="Bilan d'énergie" sheetId="12" r:id="rId4"/>
    <sheet name="Cadrage macroéconomique " sheetId="2" r:id="rId5"/>
    <sheet name="Prod Energie" sheetId="4" r:id="rId6"/>
    <sheet name="Transports" sheetId="5" r:id="rId7"/>
    <sheet name="Industrie" sheetId="6" r:id="rId8"/>
    <sheet name="Résidentiel-tertiaire" sheetId="7" r:id="rId9"/>
    <sheet name="Agriculture" sheetId="8" r:id="rId10"/>
    <sheet name="UTCATF" sheetId="9" r:id="rId11"/>
    <sheet name="Déchets" sheetId="10" r:id="rId12"/>
    <sheet name="GES" sheetId="3" r:id="rId13"/>
    <sheet name="CH4" sheetId="19" r:id="rId14"/>
    <sheet name="N2O" sheetId="20" r:id="rId15"/>
    <sheet name="HFC" sheetId="17" r:id="rId16"/>
    <sheet name="CO2" sheetId="18" r:id="rId17"/>
    <sheet name="Bilan d'énergie SDES historique" sheetId="16" r:id="rId18"/>
    <sheet name="Calculs" sheetId="15" r:id="rId19"/>
  </sheets>
  <externalReferences>
    <externalReference r:id="rId20"/>
    <externalReference r:id="rId21"/>
    <externalReference r:id="rId22"/>
  </externalReferences>
  <definedNames>
    <definedName name="_Order1" hidden="1">255</definedName>
    <definedName name="_Order2" hidden="1">255</definedName>
    <definedName name="CRF_CountryName">[1]Sheet1!$C$4</definedName>
    <definedName name="CRF_InventoryYear">[1]Sheet1!$C$6</definedName>
    <definedName name="CRF_Submission">[1]Sheet1!$C$30</definedName>
    <definedName name="Périmètre">[2]générique!#REF!</definedName>
  </definedNames>
  <calcPr calcId="162913"/>
</workbook>
</file>

<file path=xl/calcChain.xml><?xml version="1.0" encoding="utf-8"?>
<calcChain xmlns="http://schemas.openxmlformats.org/spreadsheetml/2006/main">
  <c r="AI309" i="12" l="1"/>
  <c r="AE277" i="12"/>
  <c r="Y277" i="12"/>
  <c r="AE276" i="12"/>
  <c r="Y276" i="12"/>
  <c r="AE236" i="12"/>
  <c r="Y236" i="12"/>
  <c r="AE235" i="12"/>
  <c r="Y235" i="12"/>
  <c r="AE195" i="12"/>
  <c r="Y195" i="12"/>
  <c r="AE194" i="12"/>
  <c r="AE192" i="12" s="1"/>
  <c r="Y194" i="12"/>
  <c r="Y192" i="12" s="1"/>
  <c r="AE154" i="12"/>
  <c r="Y154" i="12"/>
  <c r="AE153" i="12"/>
  <c r="Y153" i="12"/>
  <c r="AE113" i="12"/>
  <c r="Y113" i="12"/>
  <c r="AE112" i="12"/>
  <c r="Y112" i="12"/>
  <c r="AE72" i="12"/>
  <c r="Y72" i="12"/>
  <c r="AE71" i="12"/>
  <c r="AE68" i="12" s="1"/>
  <c r="Y71" i="12"/>
  <c r="Y69" i="12" s="1"/>
  <c r="AE274" i="12"/>
  <c r="Y274" i="12"/>
  <c r="AC274" i="12"/>
  <c r="AD273" i="12"/>
  <c r="AC273" i="12"/>
  <c r="AB273" i="12"/>
  <c r="AE233" i="12"/>
  <c r="AC233" i="12"/>
  <c r="Y233" i="12"/>
  <c r="AE232" i="12"/>
  <c r="AD232" i="12"/>
  <c r="AC232" i="12"/>
  <c r="AB232" i="12"/>
  <c r="AC192" i="12"/>
  <c r="AD191" i="12"/>
  <c r="AC191" i="12"/>
  <c r="AB191" i="12"/>
  <c r="AE151" i="12"/>
  <c r="AC151" i="12"/>
  <c r="Y151" i="12"/>
  <c r="AE150" i="12"/>
  <c r="AD150" i="12"/>
  <c r="AC150" i="12"/>
  <c r="AB150" i="12"/>
  <c r="AD115" i="12"/>
  <c r="AE110" i="12"/>
  <c r="AC110" i="12"/>
  <c r="Y110" i="12"/>
  <c r="AE109" i="12"/>
  <c r="AC109" i="12"/>
  <c r="AB109" i="12"/>
  <c r="AD74" i="12"/>
  <c r="AE69" i="12"/>
  <c r="AC69" i="12"/>
  <c r="AC68" i="12"/>
  <c r="AB68" i="12"/>
  <c r="AI296" i="12"/>
  <c r="AE296" i="12"/>
  <c r="Y296" i="12"/>
  <c r="AI255" i="12"/>
  <c r="AE255" i="12"/>
  <c r="Y255" i="12"/>
  <c r="AI214" i="12"/>
  <c r="AE214" i="12"/>
  <c r="Y214" i="12"/>
  <c r="AI173" i="12"/>
  <c r="AE173" i="12"/>
  <c r="Y173" i="12"/>
  <c r="AI132" i="12"/>
  <c r="AE132" i="12"/>
  <c r="Y132" i="12"/>
  <c r="AI91" i="12"/>
  <c r="AE91" i="12"/>
  <c r="Y91" i="12"/>
  <c r="V247" i="5"/>
  <c r="U247" i="5"/>
  <c r="T247" i="5"/>
  <c r="S247" i="5"/>
  <c r="R247" i="5"/>
  <c r="Q247" i="5"/>
  <c r="P247" i="5"/>
  <c r="O247" i="5"/>
  <c r="N247" i="5"/>
  <c r="V246" i="5"/>
  <c r="U246" i="5"/>
  <c r="T246" i="5"/>
  <c r="S246" i="5"/>
  <c r="R246" i="5"/>
  <c r="Q246" i="5"/>
  <c r="P246" i="5"/>
  <c r="O246" i="5"/>
  <c r="N246" i="5"/>
  <c r="V245" i="5"/>
  <c r="U245" i="5"/>
  <c r="T245" i="5"/>
  <c r="S245" i="5"/>
  <c r="R245" i="5"/>
  <c r="Q245" i="5"/>
  <c r="P245" i="5"/>
  <c r="O245" i="5"/>
  <c r="N245" i="5"/>
  <c r="C235" i="5"/>
  <c r="C236" i="5" s="1"/>
  <c r="B234" i="5"/>
  <c r="V233" i="5"/>
  <c r="U233" i="5"/>
  <c r="T233" i="5"/>
  <c r="S233" i="5"/>
  <c r="R233" i="5"/>
  <c r="Q233" i="5"/>
  <c r="P233" i="5"/>
  <c r="O233" i="5"/>
  <c r="N233" i="5"/>
  <c r="B233" i="5"/>
  <c r="B232" i="5"/>
  <c r="V231" i="5"/>
  <c r="U231" i="5"/>
  <c r="T231" i="5"/>
  <c r="S231" i="5"/>
  <c r="R231" i="5"/>
  <c r="Q231" i="5"/>
  <c r="P231" i="5"/>
  <c r="O231" i="5"/>
  <c r="N231" i="5"/>
  <c r="G231" i="5"/>
  <c r="G234" i="5" s="1"/>
  <c r="F231" i="5"/>
  <c r="F234" i="5" s="1"/>
  <c r="E231" i="5"/>
  <c r="E234" i="5" s="1"/>
  <c r="D231" i="5"/>
  <c r="D234" i="5" s="1"/>
  <c r="C231" i="5"/>
  <c r="C234" i="5" s="1"/>
  <c r="B231" i="5"/>
  <c r="V230" i="5"/>
  <c r="U230" i="5"/>
  <c r="T230" i="5"/>
  <c r="S230" i="5"/>
  <c r="R230" i="5"/>
  <c r="Q230" i="5"/>
  <c r="P230" i="5"/>
  <c r="O230" i="5"/>
  <c r="N230" i="5"/>
  <c r="J227" i="5"/>
  <c r="I231" i="5" s="1"/>
  <c r="I227" i="5"/>
  <c r="H231" i="5" s="1"/>
  <c r="H227" i="5"/>
  <c r="G227" i="5"/>
  <c r="F227" i="5"/>
  <c r="E227" i="5"/>
  <c r="D227" i="5"/>
  <c r="J220" i="5"/>
  <c r="I235" i="5" s="1"/>
  <c r="I220" i="5"/>
  <c r="H235" i="5" s="1"/>
  <c r="H220" i="5"/>
  <c r="G235" i="5" s="1"/>
  <c r="G220" i="5"/>
  <c r="F235" i="5" s="1"/>
  <c r="F220" i="5"/>
  <c r="E235" i="5" s="1"/>
  <c r="E220" i="5"/>
  <c r="D235" i="5" s="1"/>
  <c r="D220" i="5"/>
  <c r="H213" i="5"/>
  <c r="G213" i="5"/>
  <c r="E213" i="5"/>
  <c r="D213" i="5"/>
  <c r="C213" i="5"/>
  <c r="B213" i="5"/>
  <c r="H212" i="5"/>
  <c r="G212" i="5"/>
  <c r="F212" i="5"/>
  <c r="B235" i="5" s="1"/>
  <c r="E212" i="5"/>
  <c r="D212" i="5"/>
  <c r="C212" i="5"/>
  <c r="B212" i="5"/>
  <c r="M163" i="5"/>
  <c r="L163" i="5"/>
  <c r="K163" i="5"/>
  <c r="J163" i="5"/>
  <c r="I163" i="5"/>
  <c r="H163" i="5"/>
  <c r="G163" i="5"/>
  <c r="F163" i="5"/>
  <c r="E163" i="5"/>
  <c r="D163" i="5"/>
  <c r="C163" i="5"/>
  <c r="B163" i="5"/>
  <c r="B164" i="5" s="1"/>
  <c r="M162" i="5"/>
  <c r="M164" i="5" s="1"/>
  <c r="L162" i="5"/>
  <c r="L164" i="5" s="1"/>
  <c r="K162" i="5"/>
  <c r="K164" i="5" s="1"/>
  <c r="J162" i="5"/>
  <c r="J164" i="5" s="1"/>
  <c r="I162" i="5"/>
  <c r="I164" i="5" s="1"/>
  <c r="H162" i="5"/>
  <c r="H164" i="5" s="1"/>
  <c r="C162" i="5"/>
  <c r="D162" i="5" s="1"/>
  <c r="M161" i="5"/>
  <c r="L161" i="5"/>
  <c r="K161" i="5"/>
  <c r="J161" i="5"/>
  <c r="I161" i="5"/>
  <c r="H161" i="5"/>
  <c r="B161" i="5"/>
  <c r="G160" i="5"/>
  <c r="G161" i="5" s="1"/>
  <c r="C160" i="5"/>
  <c r="D160" i="5" s="1"/>
  <c r="E160" i="5" s="1"/>
  <c r="F160" i="5" s="1"/>
  <c r="C159" i="5"/>
  <c r="D159" i="5" s="1"/>
  <c r="C145" i="5"/>
  <c r="D145" i="5" s="1"/>
  <c r="E145" i="5" s="1"/>
  <c r="F145" i="5" s="1"/>
  <c r="C144" i="5"/>
  <c r="D144" i="5" s="1"/>
  <c r="E144" i="5" s="1"/>
  <c r="F144" i="5" s="1"/>
  <c r="F143" i="5"/>
  <c r="E143" i="5"/>
  <c r="D143" i="5"/>
  <c r="C143" i="5"/>
  <c r="B143" i="5"/>
  <c r="B136" i="5"/>
  <c r="C136" i="5" s="1"/>
  <c r="D136" i="5" s="1"/>
  <c r="E136" i="5" s="1"/>
  <c r="F136" i="5" s="1"/>
  <c r="G136" i="5" s="1"/>
  <c r="H136" i="5" s="1"/>
  <c r="I136" i="5" s="1"/>
  <c r="AE191" i="12" l="1"/>
  <c r="AE273" i="12"/>
  <c r="H234" i="5"/>
  <c r="H232" i="5"/>
  <c r="H233" i="5"/>
  <c r="D236" i="5"/>
  <c r="D237" i="5"/>
  <c r="D238" i="5"/>
  <c r="I232" i="5"/>
  <c r="I233" i="5"/>
  <c r="I234" i="5"/>
  <c r="I238" i="5"/>
  <c r="I237" i="5"/>
  <c r="I236" i="5"/>
  <c r="E237" i="5"/>
  <c r="E238" i="5"/>
  <c r="E236" i="5"/>
  <c r="B236" i="5"/>
  <c r="B237" i="5"/>
  <c r="B238" i="5"/>
  <c r="F237" i="5"/>
  <c r="F238" i="5"/>
  <c r="F236" i="5"/>
  <c r="G237" i="5"/>
  <c r="G238" i="5"/>
  <c r="G236" i="5"/>
  <c r="H237" i="5"/>
  <c r="H238" i="5"/>
  <c r="H236" i="5"/>
  <c r="C233" i="5"/>
  <c r="D233" i="5"/>
  <c r="C238" i="5"/>
  <c r="E233" i="5"/>
  <c r="F233" i="5"/>
  <c r="C232" i="5"/>
  <c r="G233" i="5"/>
  <c r="D232" i="5"/>
  <c r="C237" i="5"/>
  <c r="E232" i="5"/>
  <c r="F232" i="5"/>
  <c r="G232" i="5"/>
  <c r="E162" i="5"/>
  <c r="D164" i="5"/>
  <c r="E159" i="5"/>
  <c r="D161" i="5"/>
  <c r="C164" i="5"/>
  <c r="C161" i="5"/>
  <c r="F159" i="5" l="1"/>
  <c r="F161" i="5" s="1"/>
  <c r="E161" i="5"/>
  <c r="F162" i="5"/>
  <c r="E164" i="5"/>
  <c r="G162" i="5" l="1"/>
  <c r="G164" i="5" s="1"/>
  <c r="F164" i="5"/>
  <c r="D62" i="6" l="1"/>
  <c r="Y38" i="8" l="1"/>
  <c r="V38" i="8"/>
  <c r="S38" i="8"/>
  <c r="P38" i="8"/>
  <c r="M38" i="8"/>
  <c r="J38" i="8"/>
  <c r="G38" i="8"/>
  <c r="C187" i="7"/>
  <c r="J65" i="5"/>
  <c r="I65" i="5"/>
  <c r="H65" i="5"/>
  <c r="E65" i="5"/>
  <c r="F65" i="5" s="1"/>
  <c r="D65" i="5"/>
  <c r="C65" i="5"/>
  <c r="B65" i="5"/>
  <c r="E58" i="4"/>
  <c r="I58" i="4"/>
  <c r="E52" i="4"/>
  <c r="I52" i="4"/>
  <c r="D53" i="4"/>
  <c r="D56" i="4"/>
  <c r="D57" i="4"/>
  <c r="D58" i="4"/>
  <c r="D52" i="4"/>
  <c r="K89" i="7" l="1"/>
  <c r="K88" i="7"/>
  <c r="K87" i="7"/>
  <c r="K86" i="7"/>
  <c r="K85" i="7"/>
  <c r="AH298" i="12"/>
  <c r="AG298" i="12"/>
  <c r="AF298" i="12"/>
  <c r="AE298" i="12"/>
  <c r="AD298" i="12"/>
  <c r="AC298" i="12"/>
  <c r="AH257" i="12"/>
  <c r="AG257" i="12"/>
  <c r="AF257" i="12"/>
  <c r="AE257" i="12"/>
  <c r="AD257" i="12"/>
  <c r="AC257" i="12"/>
  <c r="AH216" i="12"/>
  <c r="AG216" i="12"/>
  <c r="AF216" i="12"/>
  <c r="AE216" i="12"/>
  <c r="AD216" i="12"/>
  <c r="AC216" i="12"/>
  <c r="AH175" i="12"/>
  <c r="AG175" i="12"/>
  <c r="AF175" i="12"/>
  <c r="AE175" i="12"/>
  <c r="AD175" i="12"/>
  <c r="AC175" i="12"/>
  <c r="AH134" i="12"/>
  <c r="AG134" i="12"/>
  <c r="AF134" i="12"/>
  <c r="AE134" i="12"/>
  <c r="AD134" i="12"/>
  <c r="AC134" i="12"/>
  <c r="AH93" i="12"/>
  <c r="AG93" i="12"/>
  <c r="AF93" i="12"/>
  <c r="AE93" i="12"/>
  <c r="AD93" i="12"/>
  <c r="AC93" i="12"/>
  <c r="C43" i="4"/>
  <c r="C64" i="4"/>
  <c r="E64" i="4"/>
  <c r="I64" i="4"/>
  <c r="B64" i="4"/>
  <c r="E63" i="4"/>
  <c r="I63" i="4"/>
  <c r="C52" i="4"/>
  <c r="C53" i="4"/>
  <c r="C54" i="4"/>
  <c r="C55" i="4"/>
  <c r="C56" i="4"/>
  <c r="C57" i="4"/>
  <c r="C58" i="4"/>
  <c r="C59" i="4"/>
  <c r="C60" i="4"/>
  <c r="C61" i="4"/>
  <c r="C62" i="4"/>
  <c r="B53" i="4"/>
  <c r="B54" i="4"/>
  <c r="B55" i="4"/>
  <c r="B56" i="4"/>
  <c r="B57" i="4"/>
  <c r="B58" i="4"/>
  <c r="B59" i="4"/>
  <c r="B60" i="4"/>
  <c r="B61" i="4"/>
  <c r="B62" i="4"/>
  <c r="B52" i="4"/>
  <c r="B28" i="6" l="1"/>
  <c r="D28" i="6" s="1"/>
  <c r="B25" i="6"/>
  <c r="D25" i="6"/>
  <c r="C32" i="5" l="1"/>
  <c r="C29" i="4" l="1"/>
  <c r="C5" i="5" l="1"/>
  <c r="C4" i="5"/>
  <c r="C3" i="5"/>
  <c r="B135" i="5" s="1"/>
  <c r="C2" i="5"/>
  <c r="H18" i="5" s="1"/>
  <c r="C184" i="5"/>
  <c r="D184" i="5"/>
  <c r="E184" i="5"/>
  <c r="F184" i="5"/>
  <c r="B202" i="5" s="1"/>
  <c r="E202" i="5" s="1"/>
  <c r="E113" i="12" s="1"/>
  <c r="G184" i="5"/>
  <c r="C202" i="5" s="1"/>
  <c r="H184" i="5"/>
  <c r="B184" i="5"/>
  <c r="C183" i="5"/>
  <c r="D183" i="5"/>
  <c r="E183" i="5"/>
  <c r="F183" i="5"/>
  <c r="B203" i="5" s="1"/>
  <c r="G183" i="5"/>
  <c r="C203" i="5" s="1"/>
  <c r="H183" i="5"/>
  <c r="B183" i="5"/>
  <c r="D198" i="5"/>
  <c r="F198" i="5"/>
  <c r="G198" i="5"/>
  <c r="H198" i="5"/>
  <c r="I198" i="5"/>
  <c r="J198" i="5"/>
  <c r="E198" i="5"/>
  <c r="E190" i="5"/>
  <c r="E191" i="5" s="1"/>
  <c r="F190" i="5"/>
  <c r="F191" i="5" s="1"/>
  <c r="G190" i="5"/>
  <c r="G191" i="5" s="1"/>
  <c r="H190" i="5"/>
  <c r="H191" i="5" s="1"/>
  <c r="I190" i="5"/>
  <c r="I191" i="5" s="1"/>
  <c r="J190" i="5"/>
  <c r="J191" i="5" s="1"/>
  <c r="D191" i="5"/>
  <c r="E203" i="5" l="1"/>
  <c r="B149" i="5"/>
  <c r="B169" i="5"/>
  <c r="D203" i="5"/>
  <c r="I203" i="5"/>
  <c r="D202" i="5"/>
  <c r="E72" i="12" s="1"/>
  <c r="I202" i="5"/>
  <c r="E277" i="12" s="1"/>
  <c r="G203" i="5"/>
  <c r="H202" i="5"/>
  <c r="E236" i="12" s="1"/>
  <c r="H203" i="5"/>
  <c r="F203" i="5"/>
  <c r="G202" i="5"/>
  <c r="E195" i="12" s="1"/>
  <c r="F202" i="5"/>
  <c r="E154" i="12" s="1"/>
  <c r="B171" i="5" l="1"/>
  <c r="B170" i="5"/>
  <c r="B172" i="5"/>
  <c r="B150" i="5"/>
  <c r="B104" i="5"/>
  <c r="B105" i="5" s="1"/>
  <c r="B124" i="5"/>
  <c r="F124" i="5" s="1"/>
  <c r="M118" i="5"/>
  <c r="L118" i="5"/>
  <c r="K118" i="5"/>
  <c r="J118" i="5"/>
  <c r="I118" i="5"/>
  <c r="H118" i="5"/>
  <c r="G118" i="5"/>
  <c r="F118" i="5"/>
  <c r="E118" i="5"/>
  <c r="D118" i="5"/>
  <c r="C118" i="5"/>
  <c r="B118" i="5"/>
  <c r="B119" i="5" s="1"/>
  <c r="M117" i="5"/>
  <c r="L117" i="5"/>
  <c r="K117" i="5"/>
  <c r="J117" i="5"/>
  <c r="I117" i="5"/>
  <c r="H117" i="5"/>
  <c r="C117" i="5"/>
  <c r="D117" i="5" s="1"/>
  <c r="B116" i="5"/>
  <c r="M115" i="5"/>
  <c r="M116" i="5" s="1"/>
  <c r="L115" i="5"/>
  <c r="L116" i="5" s="1"/>
  <c r="K115" i="5"/>
  <c r="K116" i="5" s="1"/>
  <c r="J115" i="5"/>
  <c r="J116" i="5" s="1"/>
  <c r="I115" i="5"/>
  <c r="I116" i="5" s="1"/>
  <c r="H115" i="5"/>
  <c r="H116" i="5" s="1"/>
  <c r="G115" i="5"/>
  <c r="G116" i="5" s="1"/>
  <c r="C115" i="5"/>
  <c r="D115" i="5" s="1"/>
  <c r="E115" i="5" s="1"/>
  <c r="F115" i="5" s="1"/>
  <c r="C114" i="5"/>
  <c r="D114" i="5" s="1"/>
  <c r="L100" i="5"/>
  <c r="K100" i="5"/>
  <c r="J100" i="5"/>
  <c r="H100" i="5"/>
  <c r="C100" i="5"/>
  <c r="D100" i="5" s="1"/>
  <c r="E100" i="5" s="1"/>
  <c r="F100" i="5" s="1"/>
  <c r="L99" i="5"/>
  <c r="K99" i="5"/>
  <c r="J99" i="5"/>
  <c r="H99" i="5"/>
  <c r="C99" i="5"/>
  <c r="D99" i="5" s="1"/>
  <c r="E99" i="5" s="1"/>
  <c r="F99" i="5" s="1"/>
  <c r="J98" i="5"/>
  <c r="K98" i="5" s="1"/>
  <c r="L98" i="5" s="1"/>
  <c r="M98" i="5" s="1"/>
  <c r="F98" i="5"/>
  <c r="E98" i="5"/>
  <c r="D98" i="5"/>
  <c r="C98" i="5"/>
  <c r="B98" i="5"/>
  <c r="I119" i="5" l="1"/>
  <c r="H119" i="5"/>
  <c r="M119" i="5"/>
  <c r="I124" i="5"/>
  <c r="I125" i="5" s="1"/>
  <c r="H124" i="5"/>
  <c r="H126" i="5" s="1"/>
  <c r="L119" i="5"/>
  <c r="E124" i="5"/>
  <c r="E125" i="5" s="1"/>
  <c r="D124" i="5"/>
  <c r="D127" i="5" s="1"/>
  <c r="C124" i="5"/>
  <c r="C125" i="5" s="1"/>
  <c r="H125" i="5"/>
  <c r="F125" i="5"/>
  <c r="G124" i="5"/>
  <c r="G126" i="5" s="1"/>
  <c r="K119" i="5"/>
  <c r="B125" i="5"/>
  <c r="F126" i="5"/>
  <c r="J119" i="5"/>
  <c r="F127" i="5" s="1"/>
  <c r="E117" i="5"/>
  <c r="D119" i="5"/>
  <c r="E114" i="5"/>
  <c r="D116" i="5"/>
  <c r="C119" i="5"/>
  <c r="C116" i="5"/>
  <c r="I169" i="5" l="1"/>
  <c r="H169" i="5"/>
  <c r="G169" i="5"/>
  <c r="F169" i="5"/>
  <c r="E169" i="5"/>
  <c r="D169" i="5"/>
  <c r="C169" i="5"/>
  <c r="I127" i="5"/>
  <c r="I126" i="5"/>
  <c r="E127" i="5"/>
  <c r="C126" i="5"/>
  <c r="D126" i="5"/>
  <c r="D125" i="5"/>
  <c r="E126" i="5"/>
  <c r="H127" i="5"/>
  <c r="G125" i="5"/>
  <c r="G127" i="5"/>
  <c r="F114" i="5"/>
  <c r="F116" i="5" s="1"/>
  <c r="B126" i="5" s="1"/>
  <c r="E116" i="5"/>
  <c r="E119" i="5"/>
  <c r="F117" i="5"/>
  <c r="H172" i="5" l="1"/>
  <c r="H170" i="5"/>
  <c r="H171" i="5"/>
  <c r="C171" i="5"/>
  <c r="C172" i="5"/>
  <c r="C170" i="5"/>
  <c r="D171" i="5"/>
  <c r="D172" i="5"/>
  <c r="D170" i="5"/>
  <c r="E171" i="5"/>
  <c r="E172" i="5"/>
  <c r="E170" i="5"/>
  <c r="F172" i="5"/>
  <c r="F170" i="5"/>
  <c r="F171" i="5"/>
  <c r="G172" i="5"/>
  <c r="G170" i="5"/>
  <c r="G171" i="5"/>
  <c r="I172" i="5"/>
  <c r="I170" i="5"/>
  <c r="I171" i="5"/>
  <c r="G117" i="5"/>
  <c r="G119" i="5" s="1"/>
  <c r="C127" i="5" s="1"/>
  <c r="F119" i="5"/>
  <c r="B127" i="5" s="1"/>
  <c r="C92" i="5" l="1"/>
  <c r="D92" i="5" s="1"/>
  <c r="C91" i="5"/>
  <c r="E92" i="5" l="1"/>
  <c r="D91" i="5"/>
  <c r="E91" i="5" l="1"/>
  <c r="F92" i="5"/>
  <c r="G92" i="5" l="1"/>
  <c r="F91" i="5"/>
  <c r="G91" i="5" l="1"/>
  <c r="H92" i="5"/>
  <c r="I92" i="5" l="1"/>
  <c r="H91" i="5"/>
  <c r="I91" i="5" l="1"/>
  <c r="C32" i="2" l="1"/>
  <c r="C33" i="2" s="1"/>
  <c r="D32" i="2"/>
  <c r="D33" i="2" s="1"/>
  <c r="E32" i="2"/>
  <c r="D34" i="2" s="1"/>
  <c r="B32" i="2"/>
  <c r="C27" i="2"/>
  <c r="D27" i="2"/>
  <c r="E27" i="2"/>
  <c r="E28" i="2" s="1"/>
  <c r="B27" i="2"/>
  <c r="E33" i="2" l="1"/>
  <c r="C8" i="10" l="1"/>
  <c r="D8" i="10"/>
  <c r="E8" i="10"/>
  <c r="F8" i="10"/>
  <c r="G8" i="10"/>
  <c r="H8" i="10"/>
  <c r="I8" i="10"/>
  <c r="J8" i="10"/>
  <c r="K8" i="10"/>
  <c r="B8" i="10"/>
  <c r="D31" i="4"/>
  <c r="E31" i="4"/>
  <c r="F31" i="4"/>
  <c r="G31" i="4"/>
  <c r="H31" i="4"/>
  <c r="I31" i="4"/>
  <c r="D32" i="4"/>
  <c r="E32" i="4"/>
  <c r="F32" i="4"/>
  <c r="G32" i="4"/>
  <c r="H32" i="4"/>
  <c r="I32" i="4"/>
  <c r="K13" i="8"/>
  <c r="K12" i="8"/>
  <c r="C7" i="8"/>
  <c r="D7" i="8"/>
  <c r="E7" i="8"/>
  <c r="F7" i="8"/>
  <c r="G7" i="8"/>
  <c r="H7" i="8"/>
  <c r="I7" i="8"/>
  <c r="J7" i="8"/>
  <c r="K7" i="8"/>
  <c r="B7" i="8"/>
  <c r="C6" i="8"/>
  <c r="D6" i="8"/>
  <c r="E6" i="8"/>
  <c r="F6" i="8"/>
  <c r="G6" i="8"/>
  <c r="H6" i="8"/>
  <c r="I6" i="8"/>
  <c r="J6" i="8"/>
  <c r="K6" i="8"/>
  <c r="B6" i="8"/>
  <c r="C178" i="7"/>
  <c r="B179" i="7"/>
  <c r="C179" i="7" s="1"/>
  <c r="B177" i="7"/>
  <c r="C177" i="7" s="1"/>
  <c r="B108" i="7"/>
  <c r="B118" i="7"/>
  <c r="C118" i="7" s="1"/>
  <c r="C176" i="7" s="1"/>
  <c r="B79" i="7"/>
  <c r="B74" i="7" s="1"/>
  <c r="B73" i="7" s="1"/>
  <c r="K19" i="7"/>
  <c r="K18" i="7"/>
  <c r="K16" i="7"/>
  <c r="C14" i="7"/>
  <c r="D14" i="7"/>
  <c r="E14" i="7"/>
  <c r="F14" i="7"/>
  <c r="G14" i="7"/>
  <c r="H14" i="7"/>
  <c r="I14" i="7"/>
  <c r="J14" i="7"/>
  <c r="K14" i="7"/>
  <c r="L14" i="7"/>
  <c r="B14" i="7"/>
  <c r="C13" i="7"/>
  <c r="D13" i="7"/>
  <c r="E13" i="7"/>
  <c r="F13" i="7"/>
  <c r="G13" i="7"/>
  <c r="H13" i="7"/>
  <c r="I13" i="7"/>
  <c r="J13" i="7"/>
  <c r="K13" i="7"/>
  <c r="L13" i="7"/>
  <c r="B13" i="7"/>
  <c r="B32" i="4"/>
  <c r="B33" i="4"/>
  <c r="B35" i="4"/>
  <c r="B36" i="4"/>
  <c r="B37" i="4"/>
  <c r="B38" i="4"/>
  <c r="B39" i="4"/>
  <c r="B40" i="4"/>
  <c r="B41" i="4"/>
  <c r="B31" i="4"/>
  <c r="C32" i="4"/>
  <c r="C33" i="4"/>
  <c r="C34" i="4"/>
  <c r="C35" i="4"/>
  <c r="C36" i="4"/>
  <c r="C37" i="4"/>
  <c r="C38" i="4"/>
  <c r="C39" i="4"/>
  <c r="C40" i="4"/>
  <c r="C41" i="4"/>
  <c r="C31" i="4"/>
  <c r="G13" i="4"/>
  <c r="G22" i="4" s="1"/>
  <c r="G12" i="4"/>
  <c r="I25" i="5"/>
  <c r="K19" i="6"/>
  <c r="K18" i="6"/>
  <c r="K17" i="6"/>
  <c r="K15" i="6"/>
  <c r="K14" i="6"/>
  <c r="C6" i="2"/>
  <c r="D6" i="2" s="1"/>
  <c r="E6" i="2" s="1"/>
  <c r="F6" i="2" s="1"/>
  <c r="H6" i="2" s="1"/>
  <c r="I6" i="2" s="1"/>
  <c r="J6" i="2" s="1"/>
  <c r="K6" i="2" s="1"/>
  <c r="B114" i="7" l="1"/>
  <c r="B115" i="7"/>
  <c r="B116" i="7"/>
  <c r="B117" i="7"/>
  <c r="C117" i="7" s="1"/>
  <c r="B176" i="7"/>
  <c r="L6" i="2"/>
  <c r="M6" i="2" s="1"/>
  <c r="K7" i="2"/>
  <c r="B34" i="4"/>
  <c r="B171" i="7"/>
  <c r="B113" i="7"/>
  <c r="B69" i="7"/>
  <c r="B68" i="7"/>
  <c r="B70" i="7"/>
  <c r="B71" i="7"/>
  <c r="B72" i="7"/>
  <c r="C79" i="7"/>
  <c r="C74" i="7" s="1"/>
  <c r="C171" i="7" s="1"/>
  <c r="C73" i="7" l="1"/>
  <c r="C70" i="7"/>
  <c r="C72" i="7"/>
  <c r="C71" i="7"/>
  <c r="C69" i="7"/>
  <c r="C68" i="7"/>
  <c r="H15" i="2" l="1"/>
  <c r="G15" i="2"/>
  <c r="F15" i="2"/>
  <c r="E15" i="2"/>
  <c r="D15" i="2"/>
  <c r="C15" i="2"/>
  <c r="I18" i="10" l="1"/>
  <c r="H18" i="10"/>
  <c r="G18" i="10"/>
  <c r="F18" i="10"/>
  <c r="E18" i="10"/>
  <c r="D18" i="10"/>
  <c r="G6" i="10" l="1"/>
  <c r="H6" i="10"/>
  <c r="I6" i="10"/>
  <c r="J6" i="10"/>
  <c r="K6" i="10"/>
  <c r="B32" i="10"/>
  <c r="H31" i="10"/>
  <c r="G31" i="10"/>
  <c r="F31" i="10"/>
  <c r="E31" i="10"/>
  <c r="D31" i="10"/>
  <c r="C31" i="10"/>
  <c r="I30" i="10"/>
  <c r="H30" i="10"/>
  <c r="G30" i="10"/>
  <c r="F30" i="10"/>
  <c r="E30" i="10"/>
  <c r="D30" i="10"/>
  <c r="H29" i="10"/>
  <c r="G29" i="10"/>
  <c r="F29" i="10"/>
  <c r="E29" i="10"/>
  <c r="D29" i="10"/>
  <c r="C29" i="10"/>
  <c r="C17" i="10"/>
  <c r="B17" i="10"/>
  <c r="H17" i="10" s="1"/>
  <c r="D17" i="10" l="1"/>
  <c r="E17" i="10"/>
  <c r="F17" i="10"/>
  <c r="G17" i="10"/>
  <c r="G32" i="10"/>
  <c r="G33" i="10" s="1"/>
  <c r="F32" i="10"/>
  <c r="F33" i="10" s="1"/>
  <c r="I32" i="10"/>
  <c r="I33" i="10" s="1"/>
  <c r="D32" i="10"/>
  <c r="D33" i="10" s="1"/>
  <c r="E32" i="10"/>
  <c r="E33" i="10" s="1"/>
  <c r="H32" i="10"/>
  <c r="H33" i="10" s="1"/>
  <c r="I273" i="12" l="1"/>
  <c r="I232" i="12"/>
  <c r="I191" i="12"/>
  <c r="I150" i="12"/>
  <c r="I109" i="12"/>
  <c r="I68" i="12"/>
  <c r="C123" i="7" l="1"/>
  <c r="B123" i="7"/>
  <c r="F56" i="7"/>
  <c r="J18" i="12" l="1"/>
  <c r="S5" i="15" l="1"/>
  <c r="R5" i="15"/>
  <c r="Q5" i="15"/>
  <c r="P5" i="15"/>
  <c r="O5" i="15"/>
  <c r="N5" i="15"/>
  <c r="C42" i="4"/>
  <c r="C31" i="7" l="1"/>
  <c r="C25" i="7"/>
  <c r="B48" i="6"/>
  <c r="B45" i="6"/>
  <c r="B15" i="2" l="1"/>
  <c r="C18" i="10" s="1"/>
  <c r="C30" i="10" s="1"/>
  <c r="C32" i="10" s="1"/>
  <c r="C33" i="10" s="1"/>
  <c r="B16" i="2"/>
  <c r="B17" i="2"/>
  <c r="C40" i="7"/>
  <c r="C46" i="7"/>
  <c r="B43" i="7"/>
  <c r="B44" i="7"/>
  <c r="B33" i="7"/>
  <c r="B48" i="7" s="1"/>
  <c r="B31" i="7"/>
  <c r="B46" i="7" s="1"/>
  <c r="D17" i="2" l="1"/>
  <c r="D16" i="2" s="1"/>
  <c r="E17" i="2"/>
  <c r="E16" i="2" s="1"/>
  <c r="F17" i="2"/>
  <c r="H17" i="2"/>
  <c r="H16" i="2" s="1"/>
  <c r="G17" i="2"/>
  <c r="C17" i="2"/>
  <c r="G16" i="2"/>
  <c r="F16" i="2"/>
  <c r="C16" i="2"/>
  <c r="I28" i="7"/>
  <c r="I29" i="7"/>
  <c r="C7" i="6"/>
  <c r="D7" i="6"/>
  <c r="E7" i="6"/>
  <c r="F7" i="6"/>
  <c r="G7" i="6"/>
  <c r="H7" i="6"/>
  <c r="I7" i="6"/>
  <c r="J7" i="6"/>
  <c r="K7" i="6"/>
  <c r="B26" i="6" s="1"/>
  <c r="B46" i="6" s="1"/>
  <c r="B7" i="6"/>
  <c r="K22" i="4" l="1"/>
  <c r="L22" i="4"/>
  <c r="L21" i="4"/>
  <c r="C21" i="4"/>
  <c r="D21" i="4"/>
  <c r="E21" i="4"/>
  <c r="F21" i="4"/>
  <c r="G21" i="4"/>
  <c r="H21" i="4"/>
  <c r="I21" i="4"/>
  <c r="J21" i="4"/>
  <c r="K21" i="4"/>
  <c r="B21" i="4"/>
  <c r="I39" i="7" l="1"/>
  <c r="H39" i="7"/>
  <c r="G39" i="7"/>
  <c r="F39" i="7"/>
  <c r="E39" i="7"/>
  <c r="D39" i="7"/>
  <c r="I24" i="7"/>
  <c r="H24" i="7"/>
  <c r="G24" i="7"/>
  <c r="F24" i="7"/>
  <c r="E24" i="7"/>
  <c r="D24" i="7"/>
  <c r="K31" i="5"/>
  <c r="J31" i="5"/>
  <c r="I31" i="5"/>
  <c r="H31" i="5"/>
  <c r="F149" i="5" s="1"/>
  <c r="G31" i="5"/>
  <c r="F31" i="5"/>
  <c r="E31" i="5"/>
  <c r="D31" i="5"/>
  <c r="C31" i="5"/>
  <c r="B31" i="5"/>
  <c r="B58" i="5" s="1"/>
  <c r="C149" i="5" l="1"/>
  <c r="G149" i="5"/>
  <c r="G151" i="5" s="1"/>
  <c r="D149" i="5"/>
  <c r="C150" i="5"/>
  <c r="C135" i="5"/>
  <c r="C151" i="5"/>
  <c r="E149" i="5"/>
  <c r="F150" i="5"/>
  <c r="F135" i="5"/>
  <c r="F151" i="5"/>
  <c r="G150" i="5"/>
  <c r="G135" i="5"/>
  <c r="H149" i="5"/>
  <c r="I149" i="5"/>
  <c r="C104" i="5"/>
  <c r="C90" i="5" s="1"/>
  <c r="D104" i="5"/>
  <c r="D90" i="5" s="1"/>
  <c r="E104" i="5"/>
  <c r="E90" i="5" s="1"/>
  <c r="F104" i="5"/>
  <c r="F90" i="5" s="1"/>
  <c r="G104" i="5"/>
  <c r="G90" i="5" s="1"/>
  <c r="H104" i="5"/>
  <c r="H90" i="5" s="1"/>
  <c r="I104" i="5"/>
  <c r="I90" i="5" s="1"/>
  <c r="F58" i="5"/>
  <c r="G58" i="5"/>
  <c r="D58" i="5"/>
  <c r="H58" i="5"/>
  <c r="I58" i="5"/>
  <c r="J58" i="5"/>
  <c r="K58" i="5"/>
  <c r="E58" i="5"/>
  <c r="C58" i="5"/>
  <c r="Y298" i="12"/>
  <c r="Y297" i="12"/>
  <c r="AK301" i="12"/>
  <c r="AK303" i="12" s="1"/>
  <c r="AB301" i="12"/>
  <c r="AB303" i="12" s="1"/>
  <c r="AA301" i="12"/>
  <c r="AA303" i="12" s="1"/>
  <c r="Z301" i="12"/>
  <c r="Z303" i="12" s="1"/>
  <c r="X301" i="12"/>
  <c r="X303" i="12" s="1"/>
  <c r="X279" i="12" s="1"/>
  <c r="X274" i="12" s="1"/>
  <c r="W301" i="12"/>
  <c r="W303" i="12" s="1"/>
  <c r="AL300" i="12"/>
  <c r="AK293" i="12"/>
  <c r="AA293" i="12"/>
  <c r="Z293" i="12"/>
  <c r="X293" i="12"/>
  <c r="AL290" i="12"/>
  <c r="AL289" i="12"/>
  <c r="AL288" i="12"/>
  <c r="AL287" i="12"/>
  <c r="AL286" i="12"/>
  <c r="AL285" i="12"/>
  <c r="AL284" i="12"/>
  <c r="AL281" i="12"/>
  <c r="AK279" i="12"/>
  <c r="AJ279" i="12"/>
  <c r="AI279" i="12"/>
  <c r="AG279" i="12"/>
  <c r="AA279" i="12"/>
  <c r="Z279" i="12"/>
  <c r="AL278" i="12"/>
  <c r="AL277" i="12"/>
  <c r="AL276" i="12"/>
  <c r="AL275" i="12"/>
  <c r="AK260" i="12"/>
  <c r="AK262" i="12" s="1"/>
  <c r="AB260" i="12"/>
  <c r="AB262" i="12" s="1"/>
  <c r="AA260" i="12"/>
  <c r="AA262" i="12" s="1"/>
  <c r="Z260" i="12"/>
  <c r="Z262" i="12" s="1"/>
  <c r="X260" i="12"/>
  <c r="X262" i="12" s="1"/>
  <c r="W260" i="12"/>
  <c r="W262" i="12" s="1"/>
  <c r="AL259" i="12"/>
  <c r="AK252" i="12"/>
  <c r="AA252" i="12"/>
  <c r="Z252" i="12"/>
  <c r="X252" i="12"/>
  <c r="AL249" i="12"/>
  <c r="AL248" i="12"/>
  <c r="AL247" i="12"/>
  <c r="AL246" i="12"/>
  <c r="AL245" i="12"/>
  <c r="AL244" i="12"/>
  <c r="AL243" i="12"/>
  <c r="AL240" i="12"/>
  <c r="AK238" i="12"/>
  <c r="AJ238" i="12"/>
  <c r="AI238" i="12"/>
  <c r="AG238" i="12"/>
  <c r="AA238" i="12"/>
  <c r="Z238" i="12"/>
  <c r="AL237" i="12"/>
  <c r="AL236" i="12"/>
  <c r="AL235" i="12"/>
  <c r="AL234" i="12"/>
  <c r="AK219" i="12"/>
  <c r="AK221" i="12" s="1"/>
  <c r="AB219" i="12"/>
  <c r="AB221" i="12" s="1"/>
  <c r="AA219" i="12"/>
  <c r="AA221" i="12" s="1"/>
  <c r="Z219" i="12"/>
  <c r="Z221" i="12" s="1"/>
  <c r="X219" i="12"/>
  <c r="X221" i="12" s="1"/>
  <c r="W219" i="12"/>
  <c r="W221" i="12" s="1"/>
  <c r="AL218" i="12"/>
  <c r="AK211" i="12"/>
  <c r="AA211" i="12"/>
  <c r="Z211" i="12"/>
  <c r="X211" i="12"/>
  <c r="AL208" i="12"/>
  <c r="AL207" i="12"/>
  <c r="AL206" i="12"/>
  <c r="AL205" i="12"/>
  <c r="AL204" i="12"/>
  <c r="AL203" i="12"/>
  <c r="AL202" i="12"/>
  <c r="AL199" i="12"/>
  <c r="AK197" i="12"/>
  <c r="AJ197" i="12"/>
  <c r="AI197" i="12"/>
  <c r="AG197" i="12"/>
  <c r="AA197" i="12"/>
  <c r="Z197" i="12"/>
  <c r="AL196" i="12"/>
  <c r="AL195" i="12"/>
  <c r="AL194" i="12"/>
  <c r="AL193" i="12"/>
  <c r="AK178" i="12"/>
  <c r="AK180" i="12" s="1"/>
  <c r="AB178" i="12"/>
  <c r="AB180" i="12" s="1"/>
  <c r="AA178" i="12"/>
  <c r="AA180" i="12" s="1"/>
  <c r="Z178" i="12"/>
  <c r="Z180" i="12" s="1"/>
  <c r="X178" i="12"/>
  <c r="X180" i="12" s="1"/>
  <c r="W178" i="12"/>
  <c r="W180" i="12" s="1"/>
  <c r="AL177" i="12"/>
  <c r="AK170" i="12"/>
  <c r="AA170" i="12"/>
  <c r="Z170" i="12"/>
  <c r="X170" i="12"/>
  <c r="AL167" i="12"/>
  <c r="AL166" i="12"/>
  <c r="AL165" i="12"/>
  <c r="AL164" i="12"/>
  <c r="AL163" i="12"/>
  <c r="AL162" i="12"/>
  <c r="AL161" i="12"/>
  <c r="AL158" i="12"/>
  <c r="AK156" i="12"/>
  <c r="AJ156" i="12"/>
  <c r="AI156" i="12"/>
  <c r="AG156" i="12"/>
  <c r="AA156" i="12"/>
  <c r="Z156" i="12"/>
  <c r="AL155" i="12"/>
  <c r="AL154" i="12"/>
  <c r="AL153" i="12"/>
  <c r="AL152" i="12"/>
  <c r="AK137" i="12"/>
  <c r="AK139" i="12" s="1"/>
  <c r="AB137" i="12"/>
  <c r="AB139" i="12" s="1"/>
  <c r="AA137" i="12"/>
  <c r="AA139" i="12" s="1"/>
  <c r="Z137" i="12"/>
  <c r="Z139" i="12" s="1"/>
  <c r="X137" i="12"/>
  <c r="X139" i="12" s="1"/>
  <c r="W137" i="12"/>
  <c r="W139" i="12" s="1"/>
  <c r="AL136" i="12"/>
  <c r="AK129" i="12"/>
  <c r="AA129" i="12"/>
  <c r="Z129" i="12"/>
  <c r="X129" i="12"/>
  <c r="AL126" i="12"/>
  <c r="AL125" i="12"/>
  <c r="AL124" i="12"/>
  <c r="AL123" i="12"/>
  <c r="AL122" i="12"/>
  <c r="AL121" i="12"/>
  <c r="AL120" i="12"/>
  <c r="AL117" i="12"/>
  <c r="AK115" i="12"/>
  <c r="AJ115" i="12"/>
  <c r="AI115" i="12"/>
  <c r="AG115" i="12"/>
  <c r="AA115" i="12"/>
  <c r="Z115" i="12"/>
  <c r="AL114" i="12"/>
  <c r="AL113" i="12"/>
  <c r="AL112" i="12"/>
  <c r="AL111" i="12"/>
  <c r="X115" i="12" l="1"/>
  <c r="X110" i="12" s="1"/>
  <c r="H150" i="5"/>
  <c r="H135" i="5"/>
  <c r="H151" i="5"/>
  <c r="E150" i="5"/>
  <c r="E135" i="5"/>
  <c r="E151" i="5"/>
  <c r="I135" i="5"/>
  <c r="I150" i="5"/>
  <c r="I151" i="5"/>
  <c r="D150" i="5"/>
  <c r="D135" i="5"/>
  <c r="D151" i="5"/>
  <c r="I105" i="5"/>
  <c r="I106" i="5"/>
  <c r="H106" i="5"/>
  <c r="H105" i="5"/>
  <c r="G106" i="5"/>
  <c r="G105" i="5"/>
  <c r="F105" i="5"/>
  <c r="F106" i="5"/>
  <c r="E105" i="5"/>
  <c r="E106" i="5"/>
  <c r="D105" i="5"/>
  <c r="D106" i="5"/>
  <c r="C105" i="5"/>
  <c r="C106" i="5"/>
  <c r="X238" i="12"/>
  <c r="X233" i="12" s="1"/>
  <c r="X156" i="12"/>
  <c r="X151" i="12" s="1"/>
  <c r="W279" i="12"/>
  <c r="W238" i="12"/>
  <c r="W197" i="12"/>
  <c r="X197" i="12"/>
  <c r="X192" i="12" s="1"/>
  <c r="W156" i="12"/>
  <c r="W115" i="12"/>
  <c r="Q301" i="12"/>
  <c r="Q303" i="12" s="1"/>
  <c r="H301" i="12"/>
  <c r="H303" i="12" s="1"/>
  <c r="G301" i="12"/>
  <c r="G303" i="12" s="1"/>
  <c r="F301" i="12"/>
  <c r="F303" i="12" s="1"/>
  <c r="D301" i="12"/>
  <c r="D303" i="12" s="1"/>
  <c r="C301" i="12"/>
  <c r="C303" i="12" s="1"/>
  <c r="R300" i="12"/>
  <c r="Q293" i="12"/>
  <c r="G293" i="12"/>
  <c r="F293" i="12"/>
  <c r="D293" i="12"/>
  <c r="R290" i="12"/>
  <c r="R289" i="12"/>
  <c r="R288" i="12"/>
  <c r="R287" i="12"/>
  <c r="R286" i="12"/>
  <c r="R285" i="12"/>
  <c r="R284" i="12"/>
  <c r="R281" i="12"/>
  <c r="Q279" i="12"/>
  <c r="P279" i="12"/>
  <c r="O279" i="12"/>
  <c r="M279" i="12"/>
  <c r="G279" i="12"/>
  <c r="F279" i="12"/>
  <c r="R278" i="12"/>
  <c r="R277" i="12"/>
  <c r="R276" i="12"/>
  <c r="R275" i="12"/>
  <c r="Q260" i="12"/>
  <c r="Q262" i="12" s="1"/>
  <c r="H260" i="12"/>
  <c r="H262" i="12" s="1"/>
  <c r="G260" i="12"/>
  <c r="G262" i="12" s="1"/>
  <c r="F260" i="12"/>
  <c r="F262" i="12" s="1"/>
  <c r="D260" i="12"/>
  <c r="D262" i="12" s="1"/>
  <c r="C260" i="12"/>
  <c r="C262" i="12" s="1"/>
  <c r="R259" i="12"/>
  <c r="Q252" i="12"/>
  <c r="G252" i="12"/>
  <c r="F252" i="12"/>
  <c r="D252" i="12"/>
  <c r="R249" i="12"/>
  <c r="R248" i="12"/>
  <c r="R247" i="12"/>
  <c r="R246" i="12"/>
  <c r="R245" i="12"/>
  <c r="R244" i="12"/>
  <c r="R243" i="12"/>
  <c r="R240" i="12"/>
  <c r="Q238" i="12"/>
  <c r="P238" i="12"/>
  <c r="O238" i="12"/>
  <c r="M238" i="12"/>
  <c r="G238" i="12"/>
  <c r="F238" i="12"/>
  <c r="R237" i="12"/>
  <c r="R236" i="12"/>
  <c r="R235" i="12"/>
  <c r="R234" i="12"/>
  <c r="Q219" i="12"/>
  <c r="Q221" i="12" s="1"/>
  <c r="H219" i="12"/>
  <c r="H221" i="12" s="1"/>
  <c r="G219" i="12"/>
  <c r="G221" i="12" s="1"/>
  <c r="F219" i="12"/>
  <c r="F221" i="12" s="1"/>
  <c r="D219" i="12"/>
  <c r="D221" i="12" s="1"/>
  <c r="C219" i="12"/>
  <c r="C221" i="12" s="1"/>
  <c r="R218" i="12"/>
  <c r="Q211" i="12"/>
  <c r="G211" i="12"/>
  <c r="F211" i="12"/>
  <c r="D211" i="12"/>
  <c r="R208" i="12"/>
  <c r="R207" i="12"/>
  <c r="R206" i="12"/>
  <c r="R205" i="12"/>
  <c r="R204" i="12"/>
  <c r="R203" i="12"/>
  <c r="R202" i="12"/>
  <c r="R199" i="12"/>
  <c r="Q197" i="12"/>
  <c r="P197" i="12"/>
  <c r="O197" i="12"/>
  <c r="M197" i="12"/>
  <c r="G197" i="12"/>
  <c r="F197" i="12"/>
  <c r="R196" i="12"/>
  <c r="R195" i="12"/>
  <c r="R194" i="12"/>
  <c r="R193" i="12"/>
  <c r="Q178" i="12"/>
  <c r="Q180" i="12" s="1"/>
  <c r="H178" i="12"/>
  <c r="H180" i="12" s="1"/>
  <c r="G178" i="12"/>
  <c r="G180" i="12" s="1"/>
  <c r="F178" i="12"/>
  <c r="F180" i="12" s="1"/>
  <c r="D178" i="12"/>
  <c r="D180" i="12" s="1"/>
  <c r="C178" i="12"/>
  <c r="C180" i="12" s="1"/>
  <c r="R177" i="12"/>
  <c r="Q170" i="12"/>
  <c r="G170" i="12"/>
  <c r="F170" i="12"/>
  <c r="D170" i="12"/>
  <c r="R167" i="12"/>
  <c r="R166" i="12"/>
  <c r="R165" i="12"/>
  <c r="R164" i="12"/>
  <c r="R163" i="12"/>
  <c r="R162" i="12"/>
  <c r="R161" i="12"/>
  <c r="R158" i="12"/>
  <c r="Q156" i="12"/>
  <c r="P156" i="12"/>
  <c r="O156" i="12"/>
  <c r="M156" i="12"/>
  <c r="G156" i="12"/>
  <c r="F156" i="12"/>
  <c r="R155" i="12"/>
  <c r="R154" i="12"/>
  <c r="R153" i="12"/>
  <c r="R152" i="12"/>
  <c r="G139" i="12"/>
  <c r="Q137" i="12"/>
  <c r="Q139" i="12" s="1"/>
  <c r="H137" i="12"/>
  <c r="H139" i="12" s="1"/>
  <c r="G137" i="12"/>
  <c r="F137" i="12"/>
  <c r="F139" i="12" s="1"/>
  <c r="D137" i="12"/>
  <c r="D139" i="12" s="1"/>
  <c r="C137" i="12"/>
  <c r="C139" i="12" s="1"/>
  <c r="R136" i="12"/>
  <c r="Q129" i="12"/>
  <c r="G129" i="12"/>
  <c r="F129" i="12"/>
  <c r="D129" i="12"/>
  <c r="R126" i="12"/>
  <c r="R125" i="12"/>
  <c r="R124" i="12"/>
  <c r="R123" i="12"/>
  <c r="R122" i="12"/>
  <c r="R121" i="12"/>
  <c r="R120" i="12"/>
  <c r="R117" i="12"/>
  <c r="Q115" i="12"/>
  <c r="P115" i="12"/>
  <c r="O115" i="12"/>
  <c r="M115" i="12"/>
  <c r="G115" i="12"/>
  <c r="F115" i="12"/>
  <c r="R114" i="12"/>
  <c r="R113" i="12"/>
  <c r="R112" i="12"/>
  <c r="R111" i="12"/>
  <c r="D279" i="12" l="1"/>
  <c r="D274" i="12" s="1"/>
  <c r="D197" i="12"/>
  <c r="D192" i="12" s="1"/>
  <c r="D115" i="12"/>
  <c r="D110" i="12" s="1"/>
  <c r="W274" i="12"/>
  <c r="W233" i="12"/>
  <c r="W192" i="12"/>
  <c r="W151" i="12"/>
  <c r="W110" i="12"/>
  <c r="C279" i="12"/>
  <c r="D238" i="12"/>
  <c r="D233" i="12" s="1"/>
  <c r="C238" i="12"/>
  <c r="C197" i="12"/>
  <c r="C156" i="12"/>
  <c r="D156" i="12"/>
  <c r="D151" i="12" s="1"/>
  <c r="C115" i="12"/>
  <c r="AK96" i="12"/>
  <c r="AK98" i="12" s="1"/>
  <c r="AB96" i="12"/>
  <c r="AB98" i="12" s="1"/>
  <c r="AA96" i="12"/>
  <c r="AA98" i="12" s="1"/>
  <c r="Z96" i="12"/>
  <c r="Z98" i="12" s="1"/>
  <c r="X96" i="12"/>
  <c r="X98" i="12" s="1"/>
  <c r="W96" i="12"/>
  <c r="W98" i="12" s="1"/>
  <c r="AL95" i="12"/>
  <c r="AK88" i="12"/>
  <c r="AA88" i="12"/>
  <c r="Z88" i="12"/>
  <c r="X88" i="12"/>
  <c r="AL85" i="12"/>
  <c r="AL84" i="12"/>
  <c r="AL83" i="12"/>
  <c r="AL82" i="12"/>
  <c r="AL81" i="12"/>
  <c r="AL80" i="12"/>
  <c r="AL79" i="12"/>
  <c r="AL76" i="12"/>
  <c r="AK74" i="12"/>
  <c r="AJ74" i="12"/>
  <c r="AI74" i="12"/>
  <c r="AG74" i="12"/>
  <c r="AA74" i="12"/>
  <c r="Z74" i="12"/>
  <c r="AL73" i="12"/>
  <c r="AL72" i="12"/>
  <c r="AL71" i="12"/>
  <c r="AL70" i="12"/>
  <c r="R70" i="12"/>
  <c r="R71" i="12"/>
  <c r="R72" i="12"/>
  <c r="R73" i="12"/>
  <c r="F74" i="12"/>
  <c r="G74" i="12"/>
  <c r="M74" i="12"/>
  <c r="O74" i="12"/>
  <c r="P74" i="12"/>
  <c r="Q74" i="12"/>
  <c r="F98" i="12"/>
  <c r="D98" i="12"/>
  <c r="P18" i="12"/>
  <c r="P17" i="12"/>
  <c r="AD10" i="12"/>
  <c r="J10" i="12"/>
  <c r="R79" i="12"/>
  <c r="R80" i="12"/>
  <c r="R81" i="12"/>
  <c r="R82" i="12"/>
  <c r="R83" i="12"/>
  <c r="R84" i="12"/>
  <c r="R85" i="12"/>
  <c r="R76" i="12"/>
  <c r="R95" i="12"/>
  <c r="D88" i="12"/>
  <c r="D74" i="12" s="1"/>
  <c r="D69" i="12" s="1"/>
  <c r="F88" i="12"/>
  <c r="G88" i="12"/>
  <c r="Q88" i="12"/>
  <c r="D96" i="12"/>
  <c r="F96" i="12"/>
  <c r="G96" i="12"/>
  <c r="G98" i="12" s="1"/>
  <c r="H96" i="12"/>
  <c r="H98" i="12" s="1"/>
  <c r="Q96" i="12"/>
  <c r="Q98" i="12" s="1"/>
  <c r="C96" i="12"/>
  <c r="C98" i="12" s="1"/>
  <c r="C74" i="12" s="1"/>
  <c r="C69" i="12" s="1"/>
  <c r="C274" i="12" l="1"/>
  <c r="C233" i="12"/>
  <c r="C192" i="12"/>
  <c r="C151" i="12"/>
  <c r="C110" i="12"/>
  <c r="X74" i="12"/>
  <c r="X69" i="12" s="1"/>
  <c r="W74" i="12"/>
  <c r="J19" i="12"/>
  <c r="L19" i="12" s="1"/>
  <c r="D18" i="12"/>
  <c r="F18" i="12" s="1"/>
  <c r="J17" i="12"/>
  <c r="L17" i="12" s="1"/>
  <c r="D17" i="12"/>
  <c r="F17" i="12" s="1"/>
  <c r="W69" i="12" l="1"/>
  <c r="AE245" i="1"/>
  <c r="AE246" i="1"/>
  <c r="AE247" i="1"/>
  <c r="AE248" i="1"/>
  <c r="AE249" i="1"/>
  <c r="AE250" i="1"/>
  <c r="AE251" i="1"/>
  <c r="AE252" i="1"/>
  <c r="AE244" i="1"/>
  <c r="W253" i="1"/>
  <c r="AE253" i="1" s="1"/>
  <c r="X253" i="1"/>
  <c r="Y253" i="1"/>
  <c r="Z253" i="1"/>
  <c r="AA253" i="1"/>
  <c r="AB253" i="1"/>
  <c r="AC253" i="1"/>
  <c r="AD253" i="1"/>
  <c r="V253" i="1"/>
  <c r="S245" i="1"/>
  <c r="S246" i="1"/>
  <c r="S247" i="1"/>
  <c r="S248" i="1"/>
  <c r="S249" i="1"/>
  <c r="S250" i="1"/>
  <c r="S251" i="1"/>
  <c r="S252" i="1"/>
  <c r="S244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C253" i="1"/>
  <c r="S253" i="1" s="1"/>
  <c r="AE216" i="1"/>
  <c r="AE217" i="1"/>
  <c r="AE218" i="1"/>
  <c r="AE219" i="1"/>
  <c r="AE220" i="1"/>
  <c r="AE221" i="1"/>
  <c r="AE222" i="1"/>
  <c r="AE223" i="1"/>
  <c r="AE215" i="1"/>
  <c r="W224" i="1"/>
  <c r="X224" i="1"/>
  <c r="Y224" i="1"/>
  <c r="AE224" i="1" s="1"/>
  <c r="Z224" i="1"/>
  <c r="AA224" i="1"/>
  <c r="AB224" i="1"/>
  <c r="AC224" i="1"/>
  <c r="AD224" i="1"/>
  <c r="V224" i="1"/>
  <c r="S216" i="1"/>
  <c r="S217" i="1"/>
  <c r="S218" i="1"/>
  <c r="S219" i="1"/>
  <c r="S220" i="1"/>
  <c r="S221" i="1"/>
  <c r="S222" i="1"/>
  <c r="S223" i="1"/>
  <c r="S215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C224" i="1"/>
  <c r="S224" i="1" s="1"/>
  <c r="AE181" i="1"/>
  <c r="AE182" i="1"/>
  <c r="AE183" i="1"/>
  <c r="AE184" i="1"/>
  <c r="AE185" i="1"/>
  <c r="AE186" i="1"/>
  <c r="AE187" i="1"/>
  <c r="AE188" i="1"/>
  <c r="AE180" i="1"/>
  <c r="W189" i="1"/>
  <c r="X189" i="1"/>
  <c r="Y189" i="1"/>
  <c r="AE189" i="1" s="1"/>
  <c r="Z189" i="1"/>
  <c r="AA189" i="1"/>
  <c r="AB189" i="1"/>
  <c r="AC189" i="1"/>
  <c r="AD189" i="1"/>
  <c r="V189" i="1"/>
  <c r="S181" i="1"/>
  <c r="S182" i="1"/>
  <c r="S183" i="1"/>
  <c r="S184" i="1"/>
  <c r="S185" i="1"/>
  <c r="S186" i="1"/>
  <c r="S187" i="1"/>
  <c r="S188" i="1"/>
  <c r="S180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C189" i="1"/>
  <c r="S189" i="1" s="1"/>
  <c r="AE149" i="1"/>
  <c r="AE150" i="1"/>
  <c r="AE151" i="1"/>
  <c r="AE152" i="1"/>
  <c r="AE153" i="1"/>
  <c r="AE154" i="1"/>
  <c r="AE155" i="1"/>
  <c r="AE156" i="1"/>
  <c r="AE148" i="1"/>
  <c r="W157" i="1"/>
  <c r="X157" i="1"/>
  <c r="Y157" i="1"/>
  <c r="Z157" i="1"/>
  <c r="AA157" i="1"/>
  <c r="AB157" i="1"/>
  <c r="AC157" i="1"/>
  <c r="AD157" i="1"/>
  <c r="V157" i="1"/>
  <c r="AE157" i="1" s="1"/>
  <c r="S149" i="1"/>
  <c r="S150" i="1"/>
  <c r="S151" i="1"/>
  <c r="S152" i="1"/>
  <c r="S153" i="1"/>
  <c r="S154" i="1"/>
  <c r="S155" i="1"/>
  <c r="S156" i="1"/>
  <c r="S148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C157" i="1"/>
  <c r="S157" i="1" s="1"/>
  <c r="AE117" i="1"/>
  <c r="AE118" i="1"/>
  <c r="AE119" i="1"/>
  <c r="AE120" i="1"/>
  <c r="AE121" i="1"/>
  <c r="AE122" i="1"/>
  <c r="AE123" i="1"/>
  <c r="AE124" i="1"/>
  <c r="AE116" i="1"/>
  <c r="W125" i="1"/>
  <c r="X125" i="1"/>
  <c r="Y125" i="1"/>
  <c r="Z125" i="1"/>
  <c r="AA125" i="1"/>
  <c r="AB125" i="1"/>
  <c r="AC125" i="1"/>
  <c r="AD125" i="1"/>
  <c r="V125" i="1"/>
  <c r="AE125" i="1" s="1"/>
  <c r="S117" i="1"/>
  <c r="S118" i="1"/>
  <c r="S119" i="1"/>
  <c r="S120" i="1"/>
  <c r="S121" i="1"/>
  <c r="S122" i="1"/>
  <c r="S123" i="1"/>
  <c r="S124" i="1"/>
  <c r="S116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C125" i="1"/>
  <c r="S125" i="1" s="1"/>
  <c r="AE85" i="1"/>
  <c r="AE86" i="1"/>
  <c r="AE87" i="1"/>
  <c r="AE88" i="1"/>
  <c r="AE89" i="1"/>
  <c r="AE90" i="1"/>
  <c r="AE91" i="1"/>
  <c r="AE92" i="1"/>
  <c r="AE84" i="1"/>
  <c r="W93" i="1"/>
  <c r="X93" i="1"/>
  <c r="Y93" i="1"/>
  <c r="AE93" i="1" s="1"/>
  <c r="Z93" i="1"/>
  <c r="AA93" i="1"/>
  <c r="AB93" i="1"/>
  <c r="AC93" i="1"/>
  <c r="AD93" i="1"/>
  <c r="V93" i="1"/>
  <c r="S85" i="1"/>
  <c r="S86" i="1"/>
  <c r="S87" i="1"/>
  <c r="S88" i="1"/>
  <c r="S89" i="1"/>
  <c r="S90" i="1"/>
  <c r="S91" i="1"/>
  <c r="S92" i="1"/>
  <c r="S84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C93" i="1"/>
  <c r="S93" i="1" s="1"/>
  <c r="B22" i="4"/>
  <c r="C22" i="4"/>
  <c r="D22" i="4"/>
  <c r="E22" i="4"/>
  <c r="F22" i="4"/>
  <c r="H22" i="4"/>
  <c r="I22" i="4"/>
  <c r="J22" i="4"/>
  <c r="X46" i="1" l="1"/>
  <c r="D46" i="1"/>
  <c r="B62" i="7" l="1"/>
  <c r="W108" i="1"/>
  <c r="V108" i="1"/>
  <c r="W106" i="1"/>
  <c r="V106" i="1"/>
  <c r="Z170" i="1"/>
  <c r="Z172" i="1" s="1"/>
  <c r="Y170" i="1"/>
  <c r="Y172" i="1" s="1"/>
  <c r="D100" i="1"/>
  <c r="U32" i="10" l="1"/>
  <c r="N32" i="10"/>
  <c r="K10" i="10"/>
  <c r="B34" i="10" s="1"/>
  <c r="J10" i="10"/>
  <c r="I10" i="10"/>
  <c r="H10" i="10"/>
  <c r="G10" i="10"/>
  <c r="F10" i="10"/>
  <c r="E10" i="10"/>
  <c r="D10" i="10"/>
  <c r="C10" i="10"/>
  <c r="B10" i="10"/>
  <c r="B11" i="10" s="1"/>
  <c r="I9" i="10"/>
  <c r="H9" i="10"/>
  <c r="B9" i="10"/>
  <c r="B19" i="10"/>
  <c r="J9" i="10"/>
  <c r="G9" i="10"/>
  <c r="F9" i="10"/>
  <c r="E9" i="10"/>
  <c r="D9" i="10"/>
  <c r="D11" i="10" s="1"/>
  <c r="C9" i="10"/>
  <c r="B35" i="10"/>
  <c r="B18" i="10"/>
  <c r="B30" i="10" s="1"/>
  <c r="K5" i="9"/>
  <c r="B16" i="9" s="1"/>
  <c r="J5" i="9"/>
  <c r="I5" i="9"/>
  <c r="H5" i="9"/>
  <c r="G5" i="9"/>
  <c r="F5" i="9"/>
  <c r="E5" i="9"/>
  <c r="D5" i="9"/>
  <c r="C5" i="9"/>
  <c r="B5" i="9"/>
  <c r="AR29" i="8"/>
  <c r="AO29" i="8"/>
  <c r="AB45" i="8"/>
  <c r="AA45" i="8"/>
  <c r="Z45" i="8"/>
  <c r="X45" i="8"/>
  <c r="W45" i="8"/>
  <c r="V45" i="8"/>
  <c r="T45" i="8"/>
  <c r="S45" i="8"/>
  <c r="R45" i="8"/>
  <c r="P45" i="8"/>
  <c r="O45" i="8"/>
  <c r="N45" i="8"/>
  <c r="L45" i="8"/>
  <c r="K45" i="8"/>
  <c r="J45" i="8"/>
  <c r="H45" i="8"/>
  <c r="G45" i="8"/>
  <c r="F45" i="8"/>
  <c r="AB44" i="8"/>
  <c r="AA44" i="8"/>
  <c r="Z44" i="8"/>
  <c r="X44" i="8"/>
  <c r="W44" i="8"/>
  <c r="V44" i="8"/>
  <c r="T44" i="8"/>
  <c r="S44" i="8"/>
  <c r="R44" i="8"/>
  <c r="P44" i="8"/>
  <c r="O44" i="8"/>
  <c r="N44" i="8"/>
  <c r="L44" i="8"/>
  <c r="K44" i="8"/>
  <c r="J44" i="8"/>
  <c r="H44" i="8"/>
  <c r="G44" i="8"/>
  <c r="F44" i="8"/>
  <c r="AB43" i="8"/>
  <c r="AA43" i="8"/>
  <c r="Z43" i="8"/>
  <c r="X43" i="8"/>
  <c r="W43" i="8"/>
  <c r="V43" i="8"/>
  <c r="T43" i="8"/>
  <c r="S43" i="8"/>
  <c r="R43" i="8"/>
  <c r="P43" i="8"/>
  <c r="O43" i="8"/>
  <c r="N43" i="8"/>
  <c r="L43" i="8"/>
  <c r="K43" i="8"/>
  <c r="J43" i="8"/>
  <c r="H43" i="8"/>
  <c r="G43" i="8"/>
  <c r="F43" i="8"/>
  <c r="U36" i="8"/>
  <c r="T36" i="8"/>
  <c r="R36" i="8"/>
  <c r="Q36" i="8"/>
  <c r="O36" i="8"/>
  <c r="N36" i="8"/>
  <c r="L36" i="8"/>
  <c r="K36" i="8"/>
  <c r="I36" i="8"/>
  <c r="H36" i="8"/>
  <c r="F36" i="8"/>
  <c r="E36" i="8"/>
  <c r="U35" i="8"/>
  <c r="T35" i="8"/>
  <c r="R35" i="8"/>
  <c r="Q35" i="8"/>
  <c r="O35" i="8"/>
  <c r="N35" i="8"/>
  <c r="L35" i="8"/>
  <c r="K35" i="8"/>
  <c r="I35" i="8"/>
  <c r="H35" i="8"/>
  <c r="F35" i="8"/>
  <c r="E35" i="8"/>
  <c r="G29" i="8"/>
  <c r="U28" i="8"/>
  <c r="T28" i="8"/>
  <c r="R28" i="8"/>
  <c r="Q28" i="8"/>
  <c r="O28" i="8"/>
  <c r="N28" i="8"/>
  <c r="L28" i="8"/>
  <c r="K28" i="8"/>
  <c r="I28" i="8"/>
  <c r="H28" i="8"/>
  <c r="F28" i="8"/>
  <c r="E28" i="8"/>
  <c r="U27" i="8"/>
  <c r="T27" i="8"/>
  <c r="R27" i="8"/>
  <c r="Q27" i="8"/>
  <c r="O27" i="8"/>
  <c r="N27" i="8"/>
  <c r="L27" i="8"/>
  <c r="K27" i="8"/>
  <c r="I27" i="8"/>
  <c r="H27" i="8"/>
  <c r="F27" i="8"/>
  <c r="E27" i="8"/>
  <c r="U20" i="8"/>
  <c r="T20" i="8"/>
  <c r="R20" i="8"/>
  <c r="Q20" i="8"/>
  <c r="O20" i="8"/>
  <c r="N20" i="8"/>
  <c r="L20" i="8"/>
  <c r="K20" i="8"/>
  <c r="I20" i="8"/>
  <c r="H20" i="8"/>
  <c r="F20" i="8"/>
  <c r="E20" i="8"/>
  <c r="U19" i="8"/>
  <c r="T19" i="8"/>
  <c r="R19" i="8"/>
  <c r="Q19" i="8"/>
  <c r="O19" i="8"/>
  <c r="N19" i="8"/>
  <c r="L19" i="8"/>
  <c r="K19" i="8"/>
  <c r="I19" i="8"/>
  <c r="H19" i="8"/>
  <c r="F19" i="8"/>
  <c r="E19" i="8"/>
  <c r="D19" i="8"/>
  <c r="C7" i="1" s="1"/>
  <c r="J8" i="8"/>
  <c r="J9" i="8" s="1"/>
  <c r="I8" i="8"/>
  <c r="I9" i="8" s="1"/>
  <c r="F8" i="8"/>
  <c r="F9" i="8" s="1"/>
  <c r="E8" i="8"/>
  <c r="E9" i="8" s="1"/>
  <c r="K5" i="8"/>
  <c r="K11" i="8" s="1"/>
  <c r="J5" i="8"/>
  <c r="J11" i="8" s="1"/>
  <c r="I5" i="8"/>
  <c r="I11" i="8" s="1"/>
  <c r="H5" i="8"/>
  <c r="G5" i="8"/>
  <c r="F5" i="8"/>
  <c r="E5" i="8"/>
  <c r="D5" i="8"/>
  <c r="C5" i="8"/>
  <c r="B5" i="8"/>
  <c r="B194" i="7"/>
  <c r="C193" i="7"/>
  <c r="C192" i="7"/>
  <c r="B192" i="7"/>
  <c r="J129" i="7"/>
  <c r="J115" i="7"/>
  <c r="J113" i="7"/>
  <c r="C106" i="7"/>
  <c r="C90" i="7"/>
  <c r="B63" i="7"/>
  <c r="I44" i="7"/>
  <c r="I42" i="7"/>
  <c r="C33" i="7"/>
  <c r="C29" i="7"/>
  <c r="C44" i="7" s="1"/>
  <c r="C28" i="7"/>
  <c r="C43" i="7" s="1"/>
  <c r="C27" i="7"/>
  <c r="C42" i="7" s="1"/>
  <c r="B173" i="7"/>
  <c r="C172" i="7"/>
  <c r="K17" i="7"/>
  <c r="J17" i="7"/>
  <c r="I17" i="7"/>
  <c r="H17" i="7"/>
  <c r="G17" i="7"/>
  <c r="F17" i="7"/>
  <c r="E17" i="7"/>
  <c r="D17" i="7"/>
  <c r="C17" i="7"/>
  <c r="B17" i="7"/>
  <c r="B174" i="7"/>
  <c r="J15" i="7"/>
  <c r="I15" i="7"/>
  <c r="H15" i="7"/>
  <c r="F15" i="7"/>
  <c r="E15" i="7"/>
  <c r="D15" i="7"/>
  <c r="C15" i="7"/>
  <c r="B15" i="7"/>
  <c r="H10" i="7"/>
  <c r="G10" i="7"/>
  <c r="B27" i="7" s="1"/>
  <c r="B42" i="7" s="1"/>
  <c r="F10" i="7"/>
  <c r="E10" i="7"/>
  <c r="D10" i="7"/>
  <c r="C10" i="7"/>
  <c r="B40" i="7"/>
  <c r="L7" i="7"/>
  <c r="K7" i="7"/>
  <c r="C24" i="7" s="1"/>
  <c r="K72" i="7" s="1"/>
  <c r="I72" i="7" s="1"/>
  <c r="J7" i="7"/>
  <c r="J9" i="7" s="1"/>
  <c r="I7" i="7"/>
  <c r="H7" i="7"/>
  <c r="G7" i="7"/>
  <c r="B24" i="7" s="1"/>
  <c r="B39" i="7" s="1"/>
  <c r="F7" i="7"/>
  <c r="E7" i="7"/>
  <c r="D7" i="7"/>
  <c r="C7" i="7"/>
  <c r="B7" i="7"/>
  <c r="D60" i="6"/>
  <c r="H54" i="6"/>
  <c r="G54" i="6"/>
  <c r="F54" i="6"/>
  <c r="E54" i="6"/>
  <c r="D54" i="6"/>
  <c r="C54" i="6"/>
  <c r="H53" i="6"/>
  <c r="G53" i="6"/>
  <c r="F53" i="6"/>
  <c r="E53" i="6"/>
  <c r="D53" i="6"/>
  <c r="C53" i="6"/>
  <c r="H33" i="6"/>
  <c r="G33" i="6"/>
  <c r="F33" i="6"/>
  <c r="E33" i="6"/>
  <c r="D33" i="6"/>
  <c r="C33" i="6"/>
  <c r="C26" i="6"/>
  <c r="C39" i="6"/>
  <c r="C62" i="6"/>
  <c r="B62" i="6"/>
  <c r="C59" i="6"/>
  <c r="C61" i="6" s="1"/>
  <c r="K16" i="6"/>
  <c r="B58" i="6" s="1"/>
  <c r="H58" i="6" s="1"/>
  <c r="J16" i="6"/>
  <c r="I16" i="6"/>
  <c r="H16" i="6"/>
  <c r="G16" i="6"/>
  <c r="F16" i="6"/>
  <c r="E16" i="6"/>
  <c r="D16" i="6"/>
  <c r="C16" i="6"/>
  <c r="B16" i="6"/>
  <c r="C57" i="6"/>
  <c r="B57" i="6"/>
  <c r="C56" i="6"/>
  <c r="B56" i="6"/>
  <c r="C28" i="6"/>
  <c r="E75" i="5"/>
  <c r="D75" i="5"/>
  <c r="C75" i="5"/>
  <c r="B75" i="5"/>
  <c r="F73" i="5"/>
  <c r="G73" i="5" s="1"/>
  <c r="H73" i="5" s="1"/>
  <c r="I73" i="5" s="1"/>
  <c r="J73" i="5" s="1"/>
  <c r="K73" i="5" s="1"/>
  <c r="E71" i="5"/>
  <c r="D71" i="5"/>
  <c r="C71" i="5"/>
  <c r="B71" i="5"/>
  <c r="K70" i="5"/>
  <c r="J70" i="5"/>
  <c r="I70" i="5"/>
  <c r="H70" i="5"/>
  <c r="G70" i="5"/>
  <c r="F70" i="5"/>
  <c r="E70" i="5"/>
  <c r="D70" i="5"/>
  <c r="C70" i="5"/>
  <c r="B70" i="5"/>
  <c r="E69" i="5"/>
  <c r="D69" i="5"/>
  <c r="C69" i="5"/>
  <c r="B69" i="5"/>
  <c r="K67" i="5"/>
  <c r="J67" i="5"/>
  <c r="I67" i="5"/>
  <c r="H67" i="5"/>
  <c r="G67" i="5"/>
  <c r="F67" i="5"/>
  <c r="E67" i="5"/>
  <c r="K64" i="5"/>
  <c r="J64" i="5"/>
  <c r="I64" i="5"/>
  <c r="H64" i="5"/>
  <c r="G64" i="5"/>
  <c r="F64" i="5"/>
  <c r="E64" i="5"/>
  <c r="D64" i="5"/>
  <c r="C64" i="5"/>
  <c r="B64" i="5"/>
  <c r="E51" i="5"/>
  <c r="D51" i="5"/>
  <c r="C51" i="5"/>
  <c r="B51" i="5"/>
  <c r="E48" i="5"/>
  <c r="D48" i="5"/>
  <c r="C48" i="5"/>
  <c r="B48" i="5"/>
  <c r="F46" i="5"/>
  <c r="G46" i="5" s="1"/>
  <c r="H46" i="5" s="1"/>
  <c r="I46" i="5" s="1"/>
  <c r="J46" i="5" s="1"/>
  <c r="K46" i="5" s="1"/>
  <c r="D44" i="5"/>
  <c r="C44" i="5"/>
  <c r="B44" i="5"/>
  <c r="K43" i="5"/>
  <c r="J43" i="5"/>
  <c r="I43" i="5"/>
  <c r="H43" i="5"/>
  <c r="G43" i="5"/>
  <c r="F43" i="5"/>
  <c r="E43" i="5"/>
  <c r="D43" i="5"/>
  <c r="C43" i="5"/>
  <c r="B43" i="5"/>
  <c r="E42" i="5"/>
  <c r="D42" i="5"/>
  <c r="C42" i="5"/>
  <c r="B42" i="5"/>
  <c r="D38" i="5"/>
  <c r="C38" i="5"/>
  <c r="B38" i="5"/>
  <c r="J37" i="5"/>
  <c r="I37" i="5"/>
  <c r="H37" i="5"/>
  <c r="E37" i="5"/>
  <c r="D37" i="5"/>
  <c r="F37" i="5" s="1"/>
  <c r="C37" i="5"/>
  <c r="B37" i="5"/>
  <c r="G61" i="5"/>
  <c r="H25" i="5"/>
  <c r="G22" i="5"/>
  <c r="G24" i="5" s="1"/>
  <c r="H21" i="5"/>
  <c r="H23" i="5" s="1"/>
  <c r="G21" i="5"/>
  <c r="G23" i="5" s="1"/>
  <c r="X264" i="1"/>
  <c r="X263" i="1"/>
  <c r="AD266" i="1"/>
  <c r="AD268" i="1" s="1"/>
  <c r="Y266" i="1"/>
  <c r="Y268" i="1" s="1"/>
  <c r="R266" i="1"/>
  <c r="R268" i="1" s="1"/>
  <c r="F266" i="1"/>
  <c r="F268" i="1" s="1"/>
  <c r="S257" i="1"/>
  <c r="AE256" i="1"/>
  <c r="S256" i="1"/>
  <c r="D260" i="1"/>
  <c r="AD237" i="1"/>
  <c r="AD239" i="1" s="1"/>
  <c r="Z237" i="1"/>
  <c r="Z239" i="1" s="1"/>
  <c r="Y237" i="1"/>
  <c r="Y239" i="1" s="1"/>
  <c r="F237" i="1"/>
  <c r="AE228" i="1"/>
  <c r="S228" i="1"/>
  <c r="AE227" i="1"/>
  <c r="D231" i="1"/>
  <c r="Y202" i="1"/>
  <c r="Y204" i="1" s="1"/>
  <c r="F202" i="1"/>
  <c r="F204" i="1" s="1"/>
  <c r="S192" i="1"/>
  <c r="AD170" i="1"/>
  <c r="AD172" i="1" s="1"/>
  <c r="G170" i="1"/>
  <c r="G172" i="1" s="1"/>
  <c r="F170" i="1"/>
  <c r="F172" i="1" s="1"/>
  <c r="S161" i="1"/>
  <c r="AE160" i="1"/>
  <c r="W164" i="1"/>
  <c r="D164" i="1"/>
  <c r="R138" i="1"/>
  <c r="R140" i="1" s="1"/>
  <c r="G138" i="1"/>
  <c r="G140" i="1" s="1"/>
  <c r="F138" i="1"/>
  <c r="F140" i="1" s="1"/>
  <c r="AE129" i="1"/>
  <c r="S129" i="1"/>
  <c r="W132" i="1"/>
  <c r="S126" i="1"/>
  <c r="D108" i="1"/>
  <c r="C108" i="1"/>
  <c r="D106" i="1"/>
  <c r="C106" i="1"/>
  <c r="T105" i="1"/>
  <c r="T104" i="1"/>
  <c r="T103" i="1"/>
  <c r="R106" i="1"/>
  <c r="R108" i="1" s="1"/>
  <c r="AD106" i="1"/>
  <c r="AD108" i="1" s="1"/>
  <c r="Z106" i="1"/>
  <c r="Z108" i="1" s="1"/>
  <c r="F106" i="1"/>
  <c r="F108" i="1" s="1"/>
  <c r="AE97" i="1"/>
  <c r="S97" i="1"/>
  <c r="S96" i="1"/>
  <c r="Y100" i="1"/>
  <c r="S94" i="1"/>
  <c r="X47" i="1"/>
  <c r="Q47" i="1"/>
  <c r="P47" i="1"/>
  <c r="D47" i="1"/>
  <c r="T46" i="1"/>
  <c r="Q46" i="1"/>
  <c r="P46" i="1"/>
  <c r="AD10" i="1"/>
  <c r="J10" i="1"/>
  <c r="C50" i="5" l="1"/>
  <c r="D77" i="5"/>
  <c r="E77" i="5"/>
  <c r="E50" i="5"/>
  <c r="S46" i="1"/>
  <c r="E11" i="10"/>
  <c r="F11" i="10"/>
  <c r="B50" i="5"/>
  <c r="B77" i="5"/>
  <c r="G25" i="5"/>
  <c r="D50" i="5"/>
  <c r="C48" i="7"/>
  <c r="C11" i="10"/>
  <c r="C19" i="10"/>
  <c r="E19" i="10"/>
  <c r="G19" i="10"/>
  <c r="F19" i="10"/>
  <c r="D19" i="10"/>
  <c r="H19" i="10"/>
  <c r="I19" i="10"/>
  <c r="C7" i="12"/>
  <c r="D35" i="8"/>
  <c r="M35" i="8" s="1"/>
  <c r="Z7" i="12" s="1"/>
  <c r="H72" i="7"/>
  <c r="F72" i="7"/>
  <c r="D72" i="7"/>
  <c r="G72" i="7"/>
  <c r="E72" i="7"/>
  <c r="J61" i="5"/>
  <c r="K61" i="5"/>
  <c r="C48" i="6"/>
  <c r="D28" i="8"/>
  <c r="M28" i="8" s="1"/>
  <c r="E44" i="8"/>
  <c r="AG44" i="8" s="1"/>
  <c r="AI299" i="12" s="1"/>
  <c r="C58" i="6"/>
  <c r="D58" i="6"/>
  <c r="E58" i="6"/>
  <c r="D27" i="8"/>
  <c r="Y27" i="8" s="1"/>
  <c r="E299" i="12" s="1"/>
  <c r="E43" i="8"/>
  <c r="F58" i="6"/>
  <c r="G58" i="6"/>
  <c r="C46" i="6"/>
  <c r="B28" i="10"/>
  <c r="K15" i="7"/>
  <c r="C30" i="7"/>
  <c r="I30" i="7" s="1"/>
  <c r="G15" i="7"/>
  <c r="B32" i="7" s="1"/>
  <c r="B47" i="7" s="1"/>
  <c r="B30" i="7"/>
  <c r="B45" i="7" s="1"/>
  <c r="H13" i="6"/>
  <c r="I31" i="7"/>
  <c r="C39" i="7"/>
  <c r="C26" i="7"/>
  <c r="C41" i="7" s="1"/>
  <c r="G16" i="9"/>
  <c r="W10" i="12"/>
  <c r="H16" i="9"/>
  <c r="F16" i="9"/>
  <c r="C16" i="9"/>
  <c r="W10" i="1"/>
  <c r="B10" i="9"/>
  <c r="H10" i="9" s="1"/>
  <c r="J35" i="8"/>
  <c r="Y7" i="12" s="1"/>
  <c r="G42" i="7"/>
  <c r="C77" i="5"/>
  <c r="H61" i="5"/>
  <c r="I61" i="5"/>
  <c r="G8" i="8"/>
  <c r="G9" i="8" s="1"/>
  <c r="B8" i="8"/>
  <c r="B9" i="8" s="1"/>
  <c r="C8" i="8"/>
  <c r="C9" i="8" s="1"/>
  <c r="D8" i="8"/>
  <c r="D9" i="8" s="1"/>
  <c r="V35" i="8"/>
  <c r="AC7" i="12" s="1"/>
  <c r="G35" i="8"/>
  <c r="Y7" i="1"/>
  <c r="AC7" i="1"/>
  <c r="E11" i="8"/>
  <c r="S35" i="8"/>
  <c r="AB7" i="12" s="1"/>
  <c r="Y19" i="8"/>
  <c r="G27" i="7"/>
  <c r="B26" i="7"/>
  <c r="B41" i="7" s="1"/>
  <c r="D42" i="7"/>
  <c r="B133" i="7"/>
  <c r="B191" i="7" s="1"/>
  <c r="H42" i="7"/>
  <c r="D27" i="7"/>
  <c r="C186" i="7"/>
  <c r="E27" i="7"/>
  <c r="F27" i="7"/>
  <c r="C133" i="7"/>
  <c r="B188" i="7"/>
  <c r="H27" i="7"/>
  <c r="C194" i="7"/>
  <c r="E13" i="6"/>
  <c r="G13" i="6"/>
  <c r="B35" i="6"/>
  <c r="C35" i="6"/>
  <c r="B36" i="6"/>
  <c r="C36" i="6" s="1"/>
  <c r="C63" i="6"/>
  <c r="B29" i="6"/>
  <c r="C37" i="6"/>
  <c r="B27" i="6"/>
  <c r="B47" i="6" s="1"/>
  <c r="B13" i="6"/>
  <c r="B38" i="6"/>
  <c r="C38" i="6"/>
  <c r="C13" i="6"/>
  <c r="D48" i="1"/>
  <c r="Y164" i="1"/>
  <c r="S160" i="1"/>
  <c r="R237" i="1"/>
  <c r="R239" i="1" s="1"/>
  <c r="P48" i="1"/>
  <c r="AE128" i="1"/>
  <c r="Y231" i="1"/>
  <c r="X48" i="1"/>
  <c r="S227" i="1"/>
  <c r="S128" i="1"/>
  <c r="AE96" i="1"/>
  <c r="Q48" i="1"/>
  <c r="F196" i="1"/>
  <c r="F100" i="1"/>
  <c r="W100" i="1"/>
  <c r="D196" i="1"/>
  <c r="W260" i="1"/>
  <c r="H11" i="8"/>
  <c r="H33" i="7"/>
  <c r="I33" i="7"/>
  <c r="K117" i="7" s="1"/>
  <c r="I117" i="7" s="1"/>
  <c r="AE94" i="1"/>
  <c r="W231" i="1"/>
  <c r="F13" i="6"/>
  <c r="Y260" i="1"/>
  <c r="E78" i="5"/>
  <c r="R170" i="1"/>
  <c r="R172" i="1" s="1"/>
  <c r="S225" i="1"/>
  <c r="AE225" i="1"/>
  <c r="AE161" i="1"/>
  <c r="F231" i="1"/>
  <c r="G106" i="1"/>
  <c r="G108" i="1" s="1"/>
  <c r="AE126" i="1"/>
  <c r="Y138" i="1"/>
  <c r="Y140" i="1" s="1"/>
  <c r="S158" i="1"/>
  <c r="S254" i="1"/>
  <c r="F260" i="1"/>
  <c r="Z138" i="1"/>
  <c r="Z140" i="1" s="1"/>
  <c r="F239" i="1"/>
  <c r="R202" i="1"/>
  <c r="R204" i="1" s="1"/>
  <c r="Y106" i="1"/>
  <c r="Y108" i="1" s="1"/>
  <c r="D132" i="1"/>
  <c r="Y132" i="1"/>
  <c r="F164" i="1"/>
  <c r="AD138" i="1"/>
  <c r="AD140" i="1" s="1"/>
  <c r="W196" i="1"/>
  <c r="G266" i="1"/>
  <c r="G268" i="1" s="1"/>
  <c r="B193" i="7"/>
  <c r="F132" i="1"/>
  <c r="AE190" i="1"/>
  <c r="AE193" i="1"/>
  <c r="Z202" i="1"/>
  <c r="Z204" i="1" s="1"/>
  <c r="S190" i="1"/>
  <c r="Y196" i="1"/>
  <c r="AE192" i="1"/>
  <c r="AD202" i="1"/>
  <c r="AD204" i="1" s="1"/>
  <c r="AE257" i="1"/>
  <c r="I26" i="6"/>
  <c r="I46" i="6" s="1"/>
  <c r="H24" i="5"/>
  <c r="B41" i="5"/>
  <c r="G237" i="1"/>
  <c r="G239" i="1" s="1"/>
  <c r="C60" i="7"/>
  <c r="C59" i="7"/>
  <c r="C58" i="7"/>
  <c r="C57" i="7"/>
  <c r="C56" i="7"/>
  <c r="G202" i="1"/>
  <c r="G204" i="1" s="1"/>
  <c r="C33" i="5"/>
  <c r="C60" i="5" s="1"/>
  <c r="C59" i="5"/>
  <c r="D32" i="5"/>
  <c r="B39" i="6"/>
  <c r="B63" i="6"/>
  <c r="AE158" i="1"/>
  <c r="AE254" i="1"/>
  <c r="B78" i="5"/>
  <c r="B187" i="7"/>
  <c r="B172" i="7"/>
  <c r="S193" i="1"/>
  <c r="Z266" i="1"/>
  <c r="Z268" i="1" s="1"/>
  <c r="C78" i="5"/>
  <c r="D13" i="6"/>
  <c r="E60" i="6"/>
  <c r="I20" i="10"/>
  <c r="B189" i="7"/>
  <c r="J13" i="6"/>
  <c r="I13" i="6"/>
  <c r="G11" i="10"/>
  <c r="D61" i="5"/>
  <c r="C61" i="5"/>
  <c r="D78" i="5"/>
  <c r="H8" i="8"/>
  <c r="H9" i="8" s="1"/>
  <c r="F11" i="8"/>
  <c r="H11" i="10"/>
  <c r="E61" i="5"/>
  <c r="C173" i="7"/>
  <c r="C188" i="7"/>
  <c r="C104" i="7"/>
  <c r="D192" i="7"/>
  <c r="Y93" i="12" s="1"/>
  <c r="D20" i="8"/>
  <c r="K8" i="8"/>
  <c r="K9" i="8" s="1"/>
  <c r="G11" i="8"/>
  <c r="I11" i="10"/>
  <c r="F61" i="5"/>
  <c r="C25" i="6"/>
  <c r="C27" i="6" s="1"/>
  <c r="C47" i="6" s="1"/>
  <c r="M19" i="8"/>
  <c r="F7" i="12" s="1"/>
  <c r="J11" i="10"/>
  <c r="B37" i="6"/>
  <c r="B59" i="6"/>
  <c r="C105" i="7"/>
  <c r="C103" i="7"/>
  <c r="V19" i="8"/>
  <c r="I7" i="12" s="1"/>
  <c r="J19" i="8"/>
  <c r="E7" i="12" s="1"/>
  <c r="S19" i="8"/>
  <c r="H7" i="12" s="1"/>
  <c r="G19" i="8"/>
  <c r="D7" i="12" s="1"/>
  <c r="P19" i="8"/>
  <c r="G7" i="12" s="1"/>
  <c r="B21" i="10"/>
  <c r="F10" i="9"/>
  <c r="C174" i="7"/>
  <c r="C189" i="7" s="1"/>
  <c r="G10" i="9"/>
  <c r="K9" i="10"/>
  <c r="B33" i="10" s="1"/>
  <c r="B22" i="10"/>
  <c r="E42" i="7"/>
  <c r="F42" i="7"/>
  <c r="D16" i="9"/>
  <c r="E16" i="9"/>
  <c r="P35" i="8" l="1"/>
  <c r="B49" i="6"/>
  <c r="B52" i="6" s="1"/>
  <c r="C29" i="6"/>
  <c r="C49" i="6" s="1"/>
  <c r="C52" i="6" s="1"/>
  <c r="D117" i="7"/>
  <c r="F117" i="7"/>
  <c r="G117" i="7"/>
  <c r="H117" i="7"/>
  <c r="E117" i="7"/>
  <c r="V27" i="8"/>
  <c r="E258" i="12" s="1"/>
  <c r="C8" i="12"/>
  <c r="C6" i="12" s="1"/>
  <c r="D36" i="8"/>
  <c r="W7" i="12"/>
  <c r="Y35" i="8"/>
  <c r="W7" i="1"/>
  <c r="I44" i="8"/>
  <c r="M44" i="8"/>
  <c r="AB105" i="1" s="1"/>
  <c r="AB265" i="1"/>
  <c r="P28" i="8"/>
  <c r="P169" i="1" s="1"/>
  <c r="U44" i="8"/>
  <c r="AB169" i="1" s="1"/>
  <c r="Y28" i="8"/>
  <c r="O299" i="12" s="1"/>
  <c r="R299" i="12" s="1"/>
  <c r="K116" i="7"/>
  <c r="K115" i="7"/>
  <c r="K114" i="7"/>
  <c r="K113" i="7"/>
  <c r="S28" i="8"/>
  <c r="P201" i="1" s="1"/>
  <c r="Y44" i="8"/>
  <c r="AB201" i="1" s="1"/>
  <c r="J28" i="8"/>
  <c r="V28" i="8"/>
  <c r="Q44" i="8"/>
  <c r="AB137" i="1" s="1"/>
  <c r="AC44" i="8"/>
  <c r="AB236" i="1" s="1"/>
  <c r="P27" i="8"/>
  <c r="E176" i="12" s="1"/>
  <c r="M27" i="8"/>
  <c r="E135" i="12" s="1"/>
  <c r="S27" i="8"/>
  <c r="E217" i="12" s="1"/>
  <c r="D29" i="8"/>
  <c r="J27" i="8"/>
  <c r="E94" i="12" s="1"/>
  <c r="E265" i="1"/>
  <c r="E28" i="6"/>
  <c r="D48" i="6"/>
  <c r="C32" i="6"/>
  <c r="C45" i="6"/>
  <c r="E46" i="8"/>
  <c r="AG45" i="8"/>
  <c r="AG43" i="8"/>
  <c r="M43" i="8" s="1"/>
  <c r="I48" i="7"/>
  <c r="I123" i="7"/>
  <c r="H48" i="7"/>
  <c r="H123" i="7"/>
  <c r="I28" i="10"/>
  <c r="I35" i="10" s="1"/>
  <c r="H28" i="10"/>
  <c r="H35" i="10" s="1"/>
  <c r="C28" i="10"/>
  <c r="C35" i="10" s="1"/>
  <c r="F28" i="10"/>
  <c r="F35" i="10" s="1"/>
  <c r="E28" i="10"/>
  <c r="E35" i="10" s="1"/>
  <c r="G28" i="10"/>
  <c r="G35" i="10" s="1"/>
  <c r="D28" i="10"/>
  <c r="D35" i="10" s="1"/>
  <c r="B16" i="10"/>
  <c r="H25" i="7"/>
  <c r="H40" i="7" s="1"/>
  <c r="H41" i="7" s="1"/>
  <c r="G25" i="7"/>
  <c r="G40" i="7" s="1"/>
  <c r="G41" i="7" s="1"/>
  <c r="F25" i="7"/>
  <c r="F40" i="7" s="1"/>
  <c r="F41" i="7" s="1"/>
  <c r="I40" i="7"/>
  <c r="I41" i="7" s="1"/>
  <c r="D25" i="7"/>
  <c r="D40" i="7" s="1"/>
  <c r="D41" i="7" s="1"/>
  <c r="E25" i="7"/>
  <c r="E40" i="7" s="1"/>
  <c r="E41" i="7" s="1"/>
  <c r="C32" i="7"/>
  <c r="C47" i="7" s="1"/>
  <c r="C45" i="7"/>
  <c r="I45" i="7" s="1"/>
  <c r="K13" i="6"/>
  <c r="E30" i="7"/>
  <c r="G30" i="7"/>
  <c r="H30" i="7"/>
  <c r="D30" i="7"/>
  <c r="F30" i="7"/>
  <c r="E31" i="7"/>
  <c r="G31" i="7"/>
  <c r="H31" i="7"/>
  <c r="F31" i="7"/>
  <c r="D31" i="7"/>
  <c r="Y10" i="1"/>
  <c r="Y10" i="12"/>
  <c r="C10" i="9"/>
  <c r="C10" i="12"/>
  <c r="C10" i="1"/>
  <c r="E10" i="9"/>
  <c r="D10" i="9"/>
  <c r="Z10" i="1"/>
  <c r="Z10" i="12"/>
  <c r="G10" i="1"/>
  <c r="G10" i="12"/>
  <c r="I10" i="1"/>
  <c r="I10" i="12"/>
  <c r="X10" i="12"/>
  <c r="X10" i="1"/>
  <c r="AA10" i="12"/>
  <c r="AA10" i="1"/>
  <c r="H10" i="1"/>
  <c r="H10" i="12"/>
  <c r="AC10" i="12"/>
  <c r="AC10" i="1"/>
  <c r="AB10" i="12"/>
  <c r="AB10" i="1"/>
  <c r="C9" i="1"/>
  <c r="C9" i="12"/>
  <c r="W9" i="1"/>
  <c r="W9" i="12"/>
  <c r="P236" i="1"/>
  <c r="O258" i="12"/>
  <c r="R258" i="12" s="1"/>
  <c r="AA7" i="1"/>
  <c r="AA7" i="12"/>
  <c r="P137" i="1"/>
  <c r="O135" i="12"/>
  <c r="J7" i="1"/>
  <c r="J7" i="12"/>
  <c r="X7" i="1"/>
  <c r="X7" i="12"/>
  <c r="O94" i="12"/>
  <c r="P105" i="1"/>
  <c r="C116" i="7"/>
  <c r="B130" i="7"/>
  <c r="B132" i="7"/>
  <c r="D41" i="5"/>
  <c r="AB7" i="1"/>
  <c r="Z7" i="1"/>
  <c r="I26" i="7"/>
  <c r="B32" i="6"/>
  <c r="I46" i="7"/>
  <c r="H20" i="10"/>
  <c r="H26" i="6"/>
  <c r="B20" i="10"/>
  <c r="H7" i="1"/>
  <c r="B61" i="6"/>
  <c r="B68" i="5"/>
  <c r="I7" i="1"/>
  <c r="D33" i="5"/>
  <c r="D60" i="5" s="1"/>
  <c r="E32" i="5"/>
  <c r="D59" i="5"/>
  <c r="C62" i="7"/>
  <c r="F7" i="1"/>
  <c r="E33" i="7"/>
  <c r="E26" i="6"/>
  <c r="E46" i="6" s="1"/>
  <c r="D33" i="7"/>
  <c r="D26" i="6"/>
  <c r="D46" i="6" s="1"/>
  <c r="I32" i="7"/>
  <c r="E7" i="1"/>
  <c r="C114" i="7"/>
  <c r="B131" i="7"/>
  <c r="C41" i="5"/>
  <c r="D7" i="1"/>
  <c r="B90" i="7"/>
  <c r="E41" i="5"/>
  <c r="G26" i="6"/>
  <c r="G46" i="6" s="1"/>
  <c r="G33" i="7"/>
  <c r="C74" i="5"/>
  <c r="H22" i="5"/>
  <c r="E68" i="5"/>
  <c r="E192" i="7"/>
  <c r="Y134" i="12" s="1"/>
  <c r="X104" i="1"/>
  <c r="C68" i="5"/>
  <c r="C20" i="10"/>
  <c r="G7" i="1"/>
  <c r="D20" i="10"/>
  <c r="F60" i="6"/>
  <c r="K130" i="7"/>
  <c r="K131" i="7"/>
  <c r="K129" i="7"/>
  <c r="K132" i="7"/>
  <c r="C115" i="7"/>
  <c r="C113" i="7"/>
  <c r="C108" i="7"/>
  <c r="B129" i="7"/>
  <c r="C131" i="7"/>
  <c r="C132" i="7"/>
  <c r="C191" i="7"/>
  <c r="C129" i="7"/>
  <c r="C130" i="7"/>
  <c r="K11" i="10"/>
  <c r="L11" i="10" s="1"/>
  <c r="E20" i="10"/>
  <c r="D22" i="8"/>
  <c r="D38" i="8" s="1"/>
  <c r="D21" i="8"/>
  <c r="D37" i="8" s="1"/>
  <c r="F20" i="10"/>
  <c r="P20" i="8"/>
  <c r="M20" i="8"/>
  <c r="Y20" i="8"/>
  <c r="J8" i="12" s="1"/>
  <c r="V20" i="8"/>
  <c r="J20" i="8"/>
  <c r="S20" i="8"/>
  <c r="G20" i="8"/>
  <c r="C8" i="1"/>
  <c r="C6" i="1" s="1"/>
  <c r="F33" i="7"/>
  <c r="F26" i="6"/>
  <c r="F46" i="6" s="1"/>
  <c r="D68" i="5"/>
  <c r="D187" i="7"/>
  <c r="Y92" i="12" s="1"/>
  <c r="G20" i="10"/>
  <c r="V29" i="8"/>
  <c r="E236" i="1"/>
  <c r="R135" i="12" l="1"/>
  <c r="Y29" i="8"/>
  <c r="S29" i="8"/>
  <c r="AI258" i="12"/>
  <c r="P265" i="1"/>
  <c r="S265" i="1" s="1"/>
  <c r="P29" i="8"/>
  <c r="E169" i="1"/>
  <c r="E137" i="1"/>
  <c r="S137" i="1" s="1"/>
  <c r="M29" i="8"/>
  <c r="O176" i="12"/>
  <c r="R176" i="12" s="1"/>
  <c r="AI135" i="12"/>
  <c r="S236" i="1"/>
  <c r="W8" i="12"/>
  <c r="W6" i="12" s="1"/>
  <c r="Y36" i="8"/>
  <c r="W8" i="1"/>
  <c r="W6" i="1" s="1"/>
  <c r="S36" i="8"/>
  <c r="V36" i="8"/>
  <c r="G36" i="8"/>
  <c r="J36" i="8"/>
  <c r="M36" i="8"/>
  <c r="P36" i="8"/>
  <c r="AD7" i="12"/>
  <c r="AD7" i="1"/>
  <c r="AI176" i="12"/>
  <c r="O217" i="12"/>
  <c r="R217" i="12" s="1"/>
  <c r="AI217" i="12"/>
  <c r="AI94" i="12"/>
  <c r="K70" i="7"/>
  <c r="I70" i="7" s="1"/>
  <c r="K73" i="7"/>
  <c r="I73" i="7" s="1"/>
  <c r="K71" i="7"/>
  <c r="I71" i="7" s="1"/>
  <c r="K69" i="7"/>
  <c r="I69" i="7" s="1"/>
  <c r="K68" i="7"/>
  <c r="I68" i="7" s="1"/>
  <c r="J29" i="8"/>
  <c r="E201" i="1"/>
  <c r="S201" i="1" s="1"/>
  <c r="E105" i="1"/>
  <c r="S105" i="1" s="1"/>
  <c r="D26" i="7"/>
  <c r="D79" i="7" s="1"/>
  <c r="E26" i="7"/>
  <c r="E79" i="7" s="1"/>
  <c r="F26" i="7"/>
  <c r="F79" i="7" s="1"/>
  <c r="H26" i="7"/>
  <c r="H79" i="7" s="1"/>
  <c r="F34" i="10"/>
  <c r="G34" i="10"/>
  <c r="I34" i="10"/>
  <c r="H34" i="10"/>
  <c r="E34" i="10"/>
  <c r="D34" i="10"/>
  <c r="C34" i="10"/>
  <c r="F28" i="6"/>
  <c r="F29" i="6" s="1"/>
  <c r="F49" i="6" s="1"/>
  <c r="E48" i="6"/>
  <c r="X105" i="1"/>
  <c r="Y94" i="12"/>
  <c r="Y43" i="8"/>
  <c r="X265" i="1"/>
  <c r="AC43" i="8"/>
  <c r="AG46" i="8"/>
  <c r="Y299" i="12"/>
  <c r="AL299" i="12" s="1"/>
  <c r="Q43" i="8"/>
  <c r="U43" i="8"/>
  <c r="I43" i="8"/>
  <c r="AA265" i="1"/>
  <c r="Q45" i="8"/>
  <c r="Y45" i="8"/>
  <c r="M45" i="8"/>
  <c r="M46" i="8" s="1"/>
  <c r="I45" i="8"/>
  <c r="U45" i="8"/>
  <c r="AE299" i="12"/>
  <c r="AC45" i="8"/>
  <c r="H46" i="6"/>
  <c r="G48" i="7"/>
  <c r="G123" i="7"/>
  <c r="F48" i="7"/>
  <c r="F123" i="7"/>
  <c r="E48" i="7"/>
  <c r="E123" i="7"/>
  <c r="D48" i="7"/>
  <c r="D123" i="7"/>
  <c r="C16" i="10"/>
  <c r="C22" i="10" s="1"/>
  <c r="D16" i="10"/>
  <c r="D22" i="10" s="1"/>
  <c r="E16" i="10"/>
  <c r="E22" i="10" s="1"/>
  <c r="H16" i="10"/>
  <c r="H22" i="10" s="1"/>
  <c r="I16" i="10"/>
  <c r="I22" i="10" s="1"/>
  <c r="F16" i="10"/>
  <c r="F22" i="10" s="1"/>
  <c r="G16" i="10"/>
  <c r="G22" i="10" s="1"/>
  <c r="I79" i="7"/>
  <c r="G26" i="7"/>
  <c r="G79" i="7" s="1"/>
  <c r="I116" i="7"/>
  <c r="H116" i="7" s="1"/>
  <c r="F32" i="7"/>
  <c r="I130" i="7"/>
  <c r="H130" i="7" s="1"/>
  <c r="F45" i="7"/>
  <c r="G45" i="7"/>
  <c r="D45" i="7"/>
  <c r="H45" i="7"/>
  <c r="E45" i="7"/>
  <c r="E46" i="7"/>
  <c r="F46" i="7"/>
  <c r="G46" i="7"/>
  <c r="H46" i="7"/>
  <c r="D46" i="7"/>
  <c r="I115" i="7"/>
  <c r="H115" i="7" s="1"/>
  <c r="E10" i="12"/>
  <c r="E10" i="1"/>
  <c r="F10" i="12"/>
  <c r="F10" i="1"/>
  <c r="D10" i="12"/>
  <c r="D10" i="1"/>
  <c r="D8" i="1"/>
  <c r="D6" i="1" s="1"/>
  <c r="D8" i="12"/>
  <c r="D6" i="12" s="1"/>
  <c r="I8" i="1"/>
  <c r="I6" i="1" s="1"/>
  <c r="I8" i="12"/>
  <c r="I6" i="12" s="1"/>
  <c r="F8" i="1"/>
  <c r="F6" i="1" s="1"/>
  <c r="F8" i="12"/>
  <c r="F6" i="12" s="1"/>
  <c r="J6" i="12"/>
  <c r="G8" i="1"/>
  <c r="G6" i="1" s="1"/>
  <c r="G8" i="12"/>
  <c r="G6" i="12" s="1"/>
  <c r="H8" i="1"/>
  <c r="H6" i="1" s="1"/>
  <c r="H8" i="12"/>
  <c r="H6" i="12" s="1"/>
  <c r="S169" i="1"/>
  <c r="R94" i="12"/>
  <c r="E8" i="1"/>
  <c r="E6" i="1" s="1"/>
  <c r="E8" i="12"/>
  <c r="E6" i="12" s="1"/>
  <c r="I132" i="7"/>
  <c r="E132" i="7" s="1"/>
  <c r="H32" i="7"/>
  <c r="D32" i="7"/>
  <c r="G21" i="8"/>
  <c r="G22" i="8" s="1"/>
  <c r="J21" i="8"/>
  <c r="J22" i="8" s="1"/>
  <c r="G32" i="7"/>
  <c r="E32" i="7"/>
  <c r="I47" i="7"/>
  <c r="H21" i="10"/>
  <c r="I21" i="10"/>
  <c r="B74" i="5"/>
  <c r="B76" i="5" s="1"/>
  <c r="D21" i="10"/>
  <c r="C21" i="10"/>
  <c r="P21" i="8"/>
  <c r="P22" i="8" s="1"/>
  <c r="C76" i="5"/>
  <c r="E29" i="6"/>
  <c r="E49" i="6" s="1"/>
  <c r="F21" i="10"/>
  <c r="D29" i="6"/>
  <c r="D49" i="6" s="1"/>
  <c r="I114" i="7"/>
  <c r="H114" i="7" s="1"/>
  <c r="E187" i="7"/>
  <c r="Y133" i="12" s="1"/>
  <c r="X103" i="1"/>
  <c r="S21" i="8"/>
  <c r="S22" i="8" s="1"/>
  <c r="E47" i="5"/>
  <c r="E49" i="5" s="1"/>
  <c r="C47" i="5"/>
  <c r="C49" i="5" s="1"/>
  <c r="B47" i="5"/>
  <c r="B49" i="5" s="1"/>
  <c r="D47" i="5"/>
  <c r="F47" i="5" s="1"/>
  <c r="D74" i="5"/>
  <c r="F192" i="7"/>
  <c r="Y175" i="12" s="1"/>
  <c r="X136" i="1"/>
  <c r="B88" i="7"/>
  <c r="B89" i="7"/>
  <c r="B85" i="7"/>
  <c r="B87" i="7"/>
  <c r="B86" i="7"/>
  <c r="B186" i="7"/>
  <c r="M21" i="8"/>
  <c r="M22" i="8" s="1"/>
  <c r="I129" i="7"/>
  <c r="H129" i="7" s="1"/>
  <c r="J8" i="1"/>
  <c r="J6" i="1" s="1"/>
  <c r="Y21" i="8"/>
  <c r="Y22" i="8" s="1"/>
  <c r="E21" i="10"/>
  <c r="V21" i="8"/>
  <c r="V22" i="8" s="1"/>
  <c r="E33" i="5"/>
  <c r="E60" i="5" s="1"/>
  <c r="F32" i="5"/>
  <c r="E59" i="5"/>
  <c r="G21" i="10"/>
  <c r="I113" i="7"/>
  <c r="G60" i="6"/>
  <c r="E74" i="5"/>
  <c r="E76" i="5" s="1"/>
  <c r="I131" i="7"/>
  <c r="E131" i="7" s="1"/>
  <c r="AE265" i="1" l="1"/>
  <c r="P37" i="8"/>
  <c r="AA8" i="1"/>
  <c r="AA6" i="1" s="1"/>
  <c r="AA8" i="12"/>
  <c r="AA6" i="12" s="1"/>
  <c r="Y8" i="1"/>
  <c r="Y6" i="1" s="1"/>
  <c r="Y8" i="12"/>
  <c r="Y6" i="12" s="1"/>
  <c r="J37" i="8"/>
  <c r="G37" i="8"/>
  <c r="X8" i="1"/>
  <c r="X6" i="1" s="1"/>
  <c r="X8" i="12"/>
  <c r="X6" i="12" s="1"/>
  <c r="AC8" i="12"/>
  <c r="AC6" i="12" s="1"/>
  <c r="V37" i="8"/>
  <c r="AC8" i="1"/>
  <c r="AC6" i="1" s="1"/>
  <c r="AB8" i="12"/>
  <c r="AB6" i="12" s="1"/>
  <c r="AB8" i="1"/>
  <c r="AB6" i="1" s="1"/>
  <c r="S37" i="8"/>
  <c r="AD8" i="12"/>
  <c r="AD8" i="1"/>
  <c r="Z8" i="12"/>
  <c r="Z6" i="12" s="1"/>
  <c r="Z8" i="1"/>
  <c r="Z6" i="1" s="1"/>
  <c r="M37" i="8"/>
  <c r="AD6" i="1"/>
  <c r="Y37" i="8"/>
  <c r="AD6" i="12"/>
  <c r="I118" i="7"/>
  <c r="I176" i="7" s="1"/>
  <c r="G68" i="7"/>
  <c r="H68" i="7"/>
  <c r="I74" i="7"/>
  <c r="I171" i="7" s="1"/>
  <c r="F68" i="7"/>
  <c r="D68" i="7"/>
  <c r="E68" i="7"/>
  <c r="F69" i="7"/>
  <c r="G69" i="7"/>
  <c r="E69" i="7"/>
  <c r="D69" i="7"/>
  <c r="H69" i="7"/>
  <c r="H71" i="7"/>
  <c r="G71" i="7"/>
  <c r="E71" i="7"/>
  <c r="F71" i="7"/>
  <c r="D71" i="7"/>
  <c r="E73" i="7"/>
  <c r="F73" i="7"/>
  <c r="H73" i="7"/>
  <c r="G73" i="7"/>
  <c r="D73" i="7"/>
  <c r="E70" i="7"/>
  <c r="H70" i="7"/>
  <c r="F70" i="7"/>
  <c r="D70" i="7"/>
  <c r="G70" i="7"/>
  <c r="E116" i="7"/>
  <c r="G28" i="6"/>
  <c r="F48" i="6"/>
  <c r="Y135" i="12"/>
  <c r="AL135" i="12" s="1"/>
  <c r="X137" i="1"/>
  <c r="AE137" i="1" s="1"/>
  <c r="Q46" i="8"/>
  <c r="Y258" i="12"/>
  <c r="X236" i="1"/>
  <c r="AC46" i="8"/>
  <c r="AA105" i="1"/>
  <c r="AE105" i="1" s="1"/>
  <c r="AE94" i="12"/>
  <c r="AL94" i="12" s="1"/>
  <c r="AE258" i="12"/>
  <c r="AA236" i="1"/>
  <c r="I46" i="8"/>
  <c r="F116" i="7"/>
  <c r="AE217" i="12"/>
  <c r="AA201" i="1"/>
  <c r="U46" i="8"/>
  <c r="Y176" i="12"/>
  <c r="X169" i="1"/>
  <c r="AA137" i="1"/>
  <c r="AE135" i="12"/>
  <c r="AA169" i="1"/>
  <c r="AE176" i="12"/>
  <c r="Y217" i="12"/>
  <c r="X201" i="1"/>
  <c r="Y46" i="8"/>
  <c r="D116" i="7"/>
  <c r="G116" i="7"/>
  <c r="D130" i="7"/>
  <c r="G130" i="7"/>
  <c r="F130" i="7"/>
  <c r="E130" i="7"/>
  <c r="E47" i="7"/>
  <c r="G132" i="7"/>
  <c r="F115" i="7"/>
  <c r="G115" i="7"/>
  <c r="E115" i="7"/>
  <c r="D115" i="7"/>
  <c r="F132" i="7"/>
  <c r="H132" i="7"/>
  <c r="D132" i="7"/>
  <c r="H47" i="7"/>
  <c r="G47" i="7"/>
  <c r="D47" i="7"/>
  <c r="F47" i="7"/>
  <c r="AA9" i="1"/>
  <c r="AA9" i="12"/>
  <c r="AB9" i="1"/>
  <c r="AB9" i="12"/>
  <c r="AD9" i="1"/>
  <c r="AD9" i="12"/>
  <c r="Y9" i="1"/>
  <c r="Y9" i="12"/>
  <c r="X9" i="1"/>
  <c r="X9" i="12"/>
  <c r="Z9" i="1"/>
  <c r="Z9" i="12"/>
  <c r="AC9" i="1"/>
  <c r="AC9" i="12"/>
  <c r="E9" i="1"/>
  <c r="E9" i="12"/>
  <c r="D9" i="1"/>
  <c r="D9" i="12"/>
  <c r="H9" i="1"/>
  <c r="H9" i="12"/>
  <c r="J9" i="1"/>
  <c r="J9" i="12"/>
  <c r="F9" i="1"/>
  <c r="F9" i="12"/>
  <c r="I9" i="1"/>
  <c r="I9" i="12"/>
  <c r="G9" i="1"/>
  <c r="G9" i="12"/>
  <c r="D131" i="7"/>
  <c r="F129" i="7"/>
  <c r="F131" i="7"/>
  <c r="G131" i="7"/>
  <c r="I178" i="7"/>
  <c r="H113" i="7"/>
  <c r="H118" i="7" s="1"/>
  <c r="H176" i="7" s="1"/>
  <c r="E114" i="7"/>
  <c r="D114" i="7"/>
  <c r="D129" i="7"/>
  <c r="F114" i="7"/>
  <c r="E129" i="7"/>
  <c r="G114" i="7"/>
  <c r="G129" i="7"/>
  <c r="F113" i="7"/>
  <c r="G113" i="7"/>
  <c r="I75" i="5"/>
  <c r="G74" i="5"/>
  <c r="H75" i="5"/>
  <c r="F74" i="5"/>
  <c r="G75" i="5"/>
  <c r="F75" i="5"/>
  <c r="J74" i="5"/>
  <c r="H74" i="5"/>
  <c r="K75" i="5"/>
  <c r="J75" i="5"/>
  <c r="K74" i="5"/>
  <c r="I74" i="5"/>
  <c r="I86" i="7"/>
  <c r="D86" i="7" s="1"/>
  <c r="I87" i="7"/>
  <c r="E87" i="7" s="1"/>
  <c r="I85" i="7"/>
  <c r="G85" i="7" s="1"/>
  <c r="I89" i="7"/>
  <c r="F89" i="7" s="1"/>
  <c r="H60" i="6"/>
  <c r="I88" i="7"/>
  <c r="H88" i="7" s="1"/>
  <c r="G48" i="5"/>
  <c r="F48" i="5"/>
  <c r="K47" i="5"/>
  <c r="J48" i="5"/>
  <c r="H47" i="5"/>
  <c r="J47" i="5"/>
  <c r="I47" i="5"/>
  <c r="G47" i="5"/>
  <c r="I48" i="5"/>
  <c r="K48" i="5"/>
  <c r="H48" i="5"/>
  <c r="D49" i="5"/>
  <c r="F59" i="5"/>
  <c r="G32" i="5"/>
  <c r="F33" i="5"/>
  <c r="F60" i="5" s="1"/>
  <c r="F41" i="5"/>
  <c r="F42" i="5"/>
  <c r="F187" i="7"/>
  <c r="Y174" i="12" s="1"/>
  <c r="X135" i="1"/>
  <c r="H131" i="7"/>
  <c r="D113" i="7"/>
  <c r="I133" i="7"/>
  <c r="I191" i="7" s="1"/>
  <c r="E113" i="7"/>
  <c r="G192" i="7"/>
  <c r="Y216" i="12" s="1"/>
  <c r="X168" i="1"/>
  <c r="D76" i="5"/>
  <c r="H133" i="7" l="1"/>
  <c r="H191" i="7" s="1"/>
  <c r="E118" i="7"/>
  <c r="E176" i="7" s="1"/>
  <c r="D118" i="7"/>
  <c r="D176" i="7" s="1"/>
  <c r="F118" i="7"/>
  <c r="F176" i="7" s="1"/>
  <c r="G118" i="7"/>
  <c r="G176" i="7" s="1"/>
  <c r="G177" i="7" s="1"/>
  <c r="AL217" i="12"/>
  <c r="AE236" i="1"/>
  <c r="AL176" i="12"/>
  <c r="AE169" i="1"/>
  <c r="E74" i="7"/>
  <c r="E171" i="7" s="1"/>
  <c r="D74" i="7"/>
  <c r="D171" i="7" s="1"/>
  <c r="F74" i="7"/>
  <c r="F171" i="7" s="1"/>
  <c r="H74" i="7"/>
  <c r="H171" i="7" s="1"/>
  <c r="G74" i="7"/>
  <c r="G171" i="7" s="1"/>
  <c r="AL258" i="12"/>
  <c r="H28" i="6"/>
  <c r="G48" i="6"/>
  <c r="G29" i="6"/>
  <c r="G49" i="6" s="1"/>
  <c r="AE201" i="1"/>
  <c r="AF201" i="1"/>
  <c r="E133" i="7"/>
  <c r="E191" i="7" s="1"/>
  <c r="E193" i="7" s="1"/>
  <c r="G133" i="7"/>
  <c r="G191" i="7" s="1"/>
  <c r="G193" i="7" s="1"/>
  <c r="I177" i="7"/>
  <c r="E298" i="12" s="1"/>
  <c r="D133" i="7"/>
  <c r="D191" i="7" s="1"/>
  <c r="D193" i="7" s="1"/>
  <c r="F133" i="7"/>
  <c r="F191" i="7" s="1"/>
  <c r="F193" i="7" s="1"/>
  <c r="F49" i="5"/>
  <c r="E91" i="12" s="1"/>
  <c r="O264" i="1"/>
  <c r="E177" i="7"/>
  <c r="E134" i="12" s="1"/>
  <c r="I179" i="7"/>
  <c r="D177" i="7"/>
  <c r="H178" i="7"/>
  <c r="H179" i="7"/>
  <c r="H177" i="7"/>
  <c r="G89" i="7"/>
  <c r="D85" i="7"/>
  <c r="E85" i="7"/>
  <c r="H85" i="7"/>
  <c r="C87" i="7"/>
  <c r="C85" i="7"/>
  <c r="F85" i="7"/>
  <c r="E88" i="7"/>
  <c r="D87" i="7"/>
  <c r="F87" i="7"/>
  <c r="H87" i="7"/>
  <c r="G87" i="7"/>
  <c r="E86" i="7"/>
  <c r="F86" i="7"/>
  <c r="G86" i="7"/>
  <c r="H86" i="7"/>
  <c r="H193" i="7"/>
  <c r="I193" i="7"/>
  <c r="F88" i="7"/>
  <c r="I173" i="7"/>
  <c r="I174" i="7"/>
  <c r="I172" i="7"/>
  <c r="E297" i="12" s="1"/>
  <c r="G59" i="5"/>
  <c r="H32" i="5"/>
  <c r="G33" i="5"/>
  <c r="G60" i="5" s="1"/>
  <c r="G41" i="5"/>
  <c r="G49" i="5" s="1"/>
  <c r="E132" i="12" s="1"/>
  <c r="G42" i="5"/>
  <c r="G50" i="5" s="1"/>
  <c r="O132" i="12" s="1"/>
  <c r="C88" i="7"/>
  <c r="H89" i="7"/>
  <c r="F69" i="5"/>
  <c r="F77" i="5" s="1"/>
  <c r="F68" i="5"/>
  <c r="F76" i="5" s="1"/>
  <c r="G187" i="7"/>
  <c r="Y215" i="12" s="1"/>
  <c r="X167" i="1"/>
  <c r="D89" i="7"/>
  <c r="I90" i="7"/>
  <c r="I186" i="7" s="1"/>
  <c r="H192" i="7"/>
  <c r="Y257" i="12" s="1"/>
  <c r="X200" i="1"/>
  <c r="D88" i="7"/>
  <c r="C89" i="7"/>
  <c r="F50" i="5"/>
  <c r="O91" i="12" s="1"/>
  <c r="G88" i="7"/>
  <c r="E89" i="7"/>
  <c r="C86" i="7"/>
  <c r="E264" i="1" l="1"/>
  <c r="D194" i="7"/>
  <c r="I28" i="6"/>
  <c r="H48" i="6"/>
  <c r="H29" i="6"/>
  <c r="H49" i="6" s="1"/>
  <c r="AA104" i="1"/>
  <c r="H174" i="7"/>
  <c r="P234" i="1" s="1"/>
  <c r="H172" i="7"/>
  <c r="E256" i="12" s="1"/>
  <c r="E178" i="7"/>
  <c r="E179" i="7"/>
  <c r="P136" i="1" s="1"/>
  <c r="D178" i="7"/>
  <c r="E102" i="1"/>
  <c r="D172" i="7"/>
  <c r="E103" i="1" s="1"/>
  <c r="D174" i="7"/>
  <c r="O92" i="12" s="1"/>
  <c r="F172" i="7"/>
  <c r="E174" i="12" s="1"/>
  <c r="F174" i="7"/>
  <c r="P167" i="1" s="1"/>
  <c r="AB102" i="1"/>
  <c r="AL91" i="12"/>
  <c r="P134" i="1"/>
  <c r="R132" i="12"/>
  <c r="R91" i="12"/>
  <c r="P102" i="1"/>
  <c r="P235" i="1"/>
  <c r="O257" i="12"/>
  <c r="E200" i="1"/>
  <c r="E216" i="12"/>
  <c r="AA200" i="1"/>
  <c r="G179" i="7"/>
  <c r="E93" i="12"/>
  <c r="E104" i="1"/>
  <c r="P264" i="1"/>
  <c r="S264" i="1" s="1"/>
  <c r="O298" i="12"/>
  <c r="P263" i="1"/>
  <c r="O297" i="12"/>
  <c r="O263" i="1"/>
  <c r="G173" i="7"/>
  <c r="O235" i="1"/>
  <c r="AA235" i="1"/>
  <c r="AB104" i="1"/>
  <c r="AI93" i="12"/>
  <c r="E257" i="12"/>
  <c r="E235" i="1"/>
  <c r="D179" i="7"/>
  <c r="E90" i="7"/>
  <c r="E186" i="7" s="1"/>
  <c r="E188" i="7" s="1"/>
  <c r="G174" i="7"/>
  <c r="G178" i="7"/>
  <c r="E173" i="7"/>
  <c r="F90" i="7"/>
  <c r="F186" i="7" s="1"/>
  <c r="F188" i="7" s="1"/>
  <c r="F178" i="7"/>
  <c r="F179" i="7"/>
  <c r="F177" i="7"/>
  <c r="E175" i="12" s="1"/>
  <c r="D90" i="7"/>
  <c r="D186" i="7" s="1"/>
  <c r="D188" i="7" s="1"/>
  <c r="G194" i="7"/>
  <c r="G90" i="7"/>
  <c r="G186" i="7" s="1"/>
  <c r="G188" i="7" s="1"/>
  <c r="E174" i="7"/>
  <c r="H90" i="7"/>
  <c r="H186" i="7" s="1"/>
  <c r="H188" i="7" s="1"/>
  <c r="I188" i="7"/>
  <c r="X235" i="1"/>
  <c r="F78" i="5"/>
  <c r="X102" i="1"/>
  <c r="AA264" i="1"/>
  <c r="F51" i="5"/>
  <c r="I194" i="7"/>
  <c r="AA168" i="1"/>
  <c r="AA136" i="1"/>
  <c r="E194" i="7"/>
  <c r="G51" i="5"/>
  <c r="E134" i="1"/>
  <c r="F194" i="7"/>
  <c r="H194" i="7"/>
  <c r="E136" i="1"/>
  <c r="H59" i="5"/>
  <c r="I32" i="5"/>
  <c r="H33" i="5"/>
  <c r="H60" i="5" s="1"/>
  <c r="H41" i="5"/>
  <c r="H49" i="5" s="1"/>
  <c r="E173" i="12" s="1"/>
  <c r="H42" i="5"/>
  <c r="H50" i="5" s="1"/>
  <c r="O173" i="12" s="1"/>
  <c r="H187" i="7"/>
  <c r="Y256" i="12" s="1"/>
  <c r="X199" i="1"/>
  <c r="G68" i="5"/>
  <c r="G76" i="5" s="1"/>
  <c r="G69" i="5"/>
  <c r="G77" i="5" s="1"/>
  <c r="E263" i="1"/>
  <c r="AH174" i="12" l="1"/>
  <c r="AG174" i="12"/>
  <c r="AF174" i="12"/>
  <c r="AE174" i="12"/>
  <c r="AD174" i="12"/>
  <c r="AC174" i="12"/>
  <c r="AC133" i="12"/>
  <c r="AG133" i="12"/>
  <c r="AF133" i="12"/>
  <c r="AD133" i="12"/>
  <c r="AH133" i="12"/>
  <c r="AE133" i="12"/>
  <c r="AH92" i="12"/>
  <c r="AG92" i="12"/>
  <c r="AF92" i="12"/>
  <c r="AE92" i="12"/>
  <c r="AD92" i="12"/>
  <c r="AC92" i="12"/>
  <c r="AC297" i="12"/>
  <c r="AE297" i="12"/>
  <c r="AD297" i="12"/>
  <c r="AH297" i="12"/>
  <c r="AG297" i="12"/>
  <c r="AF297" i="12"/>
  <c r="AH256" i="12"/>
  <c r="AG256" i="12"/>
  <c r="AF256" i="12"/>
  <c r="AE256" i="12"/>
  <c r="AD256" i="12"/>
  <c r="AC256" i="12"/>
  <c r="AC215" i="12"/>
  <c r="AE215" i="12"/>
  <c r="AG215" i="12"/>
  <c r="AH215" i="12"/>
  <c r="AF215" i="12"/>
  <c r="AD215" i="12"/>
  <c r="O134" i="12"/>
  <c r="AE104" i="1"/>
  <c r="E234" i="1"/>
  <c r="I48" i="6"/>
  <c r="I29" i="6"/>
  <c r="I49" i="6" s="1"/>
  <c r="O256" i="12"/>
  <c r="I96" i="12"/>
  <c r="I98" i="12" s="1"/>
  <c r="O104" i="1"/>
  <c r="O136" i="1"/>
  <c r="S136" i="1" s="1"/>
  <c r="R134" i="12"/>
  <c r="J96" i="12"/>
  <c r="J98" i="12" s="1"/>
  <c r="E92" i="12"/>
  <c r="K96" i="12"/>
  <c r="K98" i="12" s="1"/>
  <c r="P103" i="1"/>
  <c r="S235" i="1"/>
  <c r="E167" i="1"/>
  <c r="O174" i="12"/>
  <c r="S263" i="1"/>
  <c r="E189" i="7"/>
  <c r="D189" i="7"/>
  <c r="I189" i="7"/>
  <c r="AA199" i="1"/>
  <c r="M96" i="12"/>
  <c r="M98" i="12" s="1"/>
  <c r="P166" i="1"/>
  <c r="R173" i="12"/>
  <c r="AB134" i="1"/>
  <c r="AL132" i="12"/>
  <c r="AB136" i="1"/>
  <c r="AE136" i="1" s="1"/>
  <c r="AI134" i="12"/>
  <c r="P135" i="1"/>
  <c r="O133" i="12"/>
  <c r="O200" i="1"/>
  <c r="P200" i="1"/>
  <c r="O216" i="12"/>
  <c r="AB200" i="1"/>
  <c r="AF200" i="1" s="1"/>
  <c r="AI216" i="12"/>
  <c r="AL216" i="12" s="1"/>
  <c r="R297" i="12"/>
  <c r="AB264" i="1"/>
  <c r="AE264" i="1" s="1"/>
  <c r="AI298" i="12"/>
  <c r="O199" i="1"/>
  <c r="L96" i="12"/>
  <c r="L98" i="12" s="1"/>
  <c r="O93" i="12"/>
  <c r="P104" i="1"/>
  <c r="S104" i="1" s="1"/>
  <c r="P168" i="1"/>
  <c r="O175" i="12"/>
  <c r="N96" i="12"/>
  <c r="N98" i="12" s="1"/>
  <c r="R298" i="12"/>
  <c r="O168" i="1"/>
  <c r="AL93" i="12"/>
  <c r="P199" i="1"/>
  <c r="O215" i="12"/>
  <c r="AB235" i="1"/>
  <c r="AE235" i="1" s="1"/>
  <c r="AI257" i="12"/>
  <c r="AB168" i="1"/>
  <c r="AE168" i="1" s="1"/>
  <c r="AI175" i="12"/>
  <c r="O135" i="1"/>
  <c r="J137" i="12"/>
  <c r="J139" i="12" s="1"/>
  <c r="L137" i="12"/>
  <c r="L139" i="12" s="1"/>
  <c r="K137" i="12"/>
  <c r="K139" i="12" s="1"/>
  <c r="N137" i="12"/>
  <c r="N139" i="12" s="1"/>
  <c r="M137" i="12"/>
  <c r="M139" i="12" s="1"/>
  <c r="R257" i="12"/>
  <c r="AA234" i="1"/>
  <c r="E168" i="1"/>
  <c r="G52" i="5"/>
  <c r="S134" i="1"/>
  <c r="I59" i="5"/>
  <c r="J32" i="5"/>
  <c r="I33" i="5"/>
  <c r="I60" i="5" s="1"/>
  <c r="I42" i="5"/>
  <c r="I50" i="5" s="1"/>
  <c r="O214" i="12" s="1"/>
  <c r="I41" i="5"/>
  <c r="I49" i="5" s="1"/>
  <c r="E214" i="12" s="1"/>
  <c r="AA167" i="1"/>
  <c r="X234" i="1"/>
  <c r="H68" i="5"/>
  <c r="H76" i="5" s="1"/>
  <c r="H69" i="5"/>
  <c r="H77" i="5" s="1"/>
  <c r="F52" i="5"/>
  <c r="S102" i="1"/>
  <c r="F189" i="7"/>
  <c r="AE102" i="1"/>
  <c r="F79" i="5"/>
  <c r="H189" i="7"/>
  <c r="G78" i="5"/>
  <c r="X134" i="1"/>
  <c r="G189" i="7"/>
  <c r="AI215" i="12" s="1"/>
  <c r="H51" i="5"/>
  <c r="E166" i="1"/>
  <c r="AA263" i="1"/>
  <c r="AA135" i="1"/>
  <c r="AA103" i="1"/>
  <c r="N178" i="12" l="1"/>
  <c r="N180" i="12" s="1"/>
  <c r="M178" i="12"/>
  <c r="M180" i="12" s="1"/>
  <c r="L178" i="12"/>
  <c r="L180" i="12" s="1"/>
  <c r="I178" i="12"/>
  <c r="I180" i="12" s="1"/>
  <c r="K178" i="12"/>
  <c r="K180" i="12" s="1"/>
  <c r="J178" i="12"/>
  <c r="J180" i="12" s="1"/>
  <c r="R92" i="12"/>
  <c r="R93" i="12"/>
  <c r="S200" i="1"/>
  <c r="AE200" i="1"/>
  <c r="R216" i="12"/>
  <c r="R175" i="12"/>
  <c r="AL215" i="12"/>
  <c r="AB234" i="1"/>
  <c r="AE234" i="1" s="1"/>
  <c r="AI256" i="12"/>
  <c r="AL256" i="12" s="1"/>
  <c r="AB167" i="1"/>
  <c r="AE167" i="1" s="1"/>
  <c r="AI174" i="12"/>
  <c r="AL174" i="12" s="1"/>
  <c r="AB263" i="1"/>
  <c r="AE263" i="1" s="1"/>
  <c r="AI297" i="12"/>
  <c r="AL297" i="12" s="1"/>
  <c r="AB103" i="1"/>
  <c r="AI92" i="12"/>
  <c r="AB135" i="1"/>
  <c r="AI133" i="12"/>
  <c r="P198" i="1"/>
  <c r="AB166" i="1"/>
  <c r="AL298" i="12"/>
  <c r="I137" i="12"/>
  <c r="I139" i="12" s="1"/>
  <c r="S168" i="1"/>
  <c r="AL175" i="12"/>
  <c r="AL257" i="12"/>
  <c r="AL134" i="12"/>
  <c r="I51" i="5"/>
  <c r="E198" i="1"/>
  <c r="J59" i="5"/>
  <c r="K32" i="5"/>
  <c r="J33" i="5"/>
  <c r="J60" i="5" s="1"/>
  <c r="J41" i="5"/>
  <c r="J49" i="5" s="1"/>
  <c r="E255" i="12" s="1"/>
  <c r="J42" i="5"/>
  <c r="J50" i="5" s="1"/>
  <c r="O255" i="12" s="1"/>
  <c r="H52" i="5"/>
  <c r="S166" i="1"/>
  <c r="I68" i="5"/>
  <c r="I76" i="5" s="1"/>
  <c r="I69" i="5"/>
  <c r="I77" i="5" s="1"/>
  <c r="G79" i="5"/>
  <c r="AE134" i="1"/>
  <c r="AB199" i="1"/>
  <c r="X166" i="1"/>
  <c r="H78" i="5"/>
  <c r="N219" i="12" l="1"/>
  <c r="N221" i="12" s="1"/>
  <c r="I219" i="12"/>
  <c r="I221" i="12" s="1"/>
  <c r="M219" i="12"/>
  <c r="M221" i="12" s="1"/>
  <c r="L219" i="12"/>
  <c r="L221" i="12" s="1"/>
  <c r="J219" i="12"/>
  <c r="J221" i="12" s="1"/>
  <c r="K219" i="12"/>
  <c r="K221" i="12" s="1"/>
  <c r="AE135" i="1"/>
  <c r="AE103" i="1"/>
  <c r="R214" i="12"/>
  <c r="AL133" i="12"/>
  <c r="AL92" i="12"/>
  <c r="AL173" i="12"/>
  <c r="AB198" i="1"/>
  <c r="P233" i="1"/>
  <c r="J51" i="5"/>
  <c r="E233" i="1"/>
  <c r="I78" i="5"/>
  <c r="X198" i="1"/>
  <c r="K59" i="5"/>
  <c r="K33" i="5"/>
  <c r="K60" i="5" s="1"/>
  <c r="K41" i="5"/>
  <c r="K49" i="5" s="1"/>
  <c r="E296" i="12" s="1"/>
  <c r="K42" i="5"/>
  <c r="K50" i="5" s="1"/>
  <c r="O296" i="12" s="1"/>
  <c r="J68" i="5"/>
  <c r="J76" i="5" s="1"/>
  <c r="J69" i="5"/>
  <c r="J77" i="5" s="1"/>
  <c r="S198" i="1"/>
  <c r="I52" i="5"/>
  <c r="AF199" i="1"/>
  <c r="AE199" i="1"/>
  <c r="H79" i="5"/>
  <c r="AE166" i="1"/>
  <c r="K260" i="12" l="1"/>
  <c r="K262" i="12" s="1"/>
  <c r="M260" i="12"/>
  <c r="M262" i="12" s="1"/>
  <c r="J260" i="12"/>
  <c r="J262" i="12" s="1"/>
  <c r="I260" i="12"/>
  <c r="I262" i="12" s="1"/>
  <c r="N260" i="12"/>
  <c r="N262" i="12" s="1"/>
  <c r="L260" i="12"/>
  <c r="L262" i="12" s="1"/>
  <c r="AL214" i="12"/>
  <c r="AB233" i="1"/>
  <c r="R255" i="12"/>
  <c r="P262" i="1"/>
  <c r="J78" i="5"/>
  <c r="X233" i="1"/>
  <c r="K51" i="5"/>
  <c r="E262" i="1"/>
  <c r="K68" i="5"/>
  <c r="K76" i="5" s="1"/>
  <c r="K69" i="5"/>
  <c r="K77" i="5" s="1"/>
  <c r="AF198" i="1"/>
  <c r="I79" i="5"/>
  <c r="AE198" i="1"/>
  <c r="J52" i="5"/>
  <c r="S233" i="1"/>
  <c r="K301" i="12" l="1"/>
  <c r="K303" i="12" s="1"/>
  <c r="J301" i="12"/>
  <c r="J303" i="12" s="1"/>
  <c r="N301" i="12"/>
  <c r="N303" i="12" s="1"/>
  <c r="L301" i="12"/>
  <c r="L303" i="12" s="1"/>
  <c r="I301" i="12"/>
  <c r="I303" i="12" s="1"/>
  <c r="M301" i="12"/>
  <c r="M303" i="12" s="1"/>
  <c r="R296" i="12"/>
  <c r="AB262" i="1"/>
  <c r="AL255" i="12"/>
  <c r="K78" i="5"/>
  <c r="X262" i="1"/>
  <c r="K52" i="5"/>
  <c r="S262" i="1"/>
  <c r="J79" i="5"/>
  <c r="AE233" i="1"/>
  <c r="AL296" i="12" l="1"/>
  <c r="K79" i="5"/>
  <c r="AE262" i="1"/>
  <c r="E172" i="7" l="1"/>
  <c r="E135" i="1" s="1"/>
  <c r="G172" i="7"/>
  <c r="E199" i="1" s="1"/>
  <c r="D173" i="7"/>
  <c r="O103" i="1" s="1"/>
  <c r="F173" i="7"/>
  <c r="H173" i="7"/>
  <c r="E133" i="12" l="1"/>
  <c r="E215" i="12"/>
  <c r="O234" i="1"/>
  <c r="R256" i="12"/>
  <c r="R215" i="12"/>
  <c r="S199" i="1"/>
  <c r="S103" i="1"/>
  <c r="S135" i="1"/>
  <c r="O167" i="1"/>
  <c r="R174" i="12"/>
  <c r="R133" i="12"/>
  <c r="S167" i="1" l="1"/>
  <c r="S234" i="1"/>
  <c r="AF108" i="1" l="1"/>
  <c r="T108" i="1"/>
  <c r="D45" i="6"/>
  <c r="D27" i="6"/>
  <c r="D47" i="6" s="1"/>
  <c r="D52" i="6" s="1"/>
  <c r="D57" i="6" s="1"/>
  <c r="E25" i="6"/>
  <c r="E45" i="6" s="1"/>
  <c r="E27" i="6" l="1"/>
  <c r="D32" i="6"/>
  <c r="D38" i="6" s="1"/>
  <c r="O101" i="1" s="1"/>
  <c r="O106" i="1" s="1"/>
  <c r="O108" i="1" s="1"/>
  <c r="AB101" i="1"/>
  <c r="AB106" i="1" s="1"/>
  <c r="AB108" i="1" s="1"/>
  <c r="AB100" i="1" s="1"/>
  <c r="AB95" i="1" s="1"/>
  <c r="AI90" i="12"/>
  <c r="AI96" i="12" s="1"/>
  <c r="AI98" i="12" s="1"/>
  <c r="AI88" i="12" s="1"/>
  <c r="AI77" i="12" s="1"/>
  <c r="D63" i="6"/>
  <c r="D59" i="6"/>
  <c r="D56" i="6"/>
  <c r="F25" i="6"/>
  <c r="AG90" i="12" l="1"/>
  <c r="AC90" i="12"/>
  <c r="AF90" i="12"/>
  <c r="AD90" i="12"/>
  <c r="AH90" i="12"/>
  <c r="AE90" i="12"/>
  <c r="AD77" i="12"/>
  <c r="AD88" i="12" s="1"/>
  <c r="W77" i="12"/>
  <c r="AH77" i="12"/>
  <c r="AH88" i="12" s="1"/>
  <c r="AE77" i="12"/>
  <c r="AE88" i="12" s="1"/>
  <c r="D35" i="6"/>
  <c r="D36" i="6" s="1"/>
  <c r="D37" i="6"/>
  <c r="D39" i="6"/>
  <c r="E47" i="6"/>
  <c r="E52" i="6" s="1"/>
  <c r="E32" i="6"/>
  <c r="E97" i="12"/>
  <c r="E107" i="1"/>
  <c r="S107" i="1" s="1"/>
  <c r="G25" i="6"/>
  <c r="F45" i="6"/>
  <c r="F27" i="6"/>
  <c r="P90" i="12"/>
  <c r="Q101" i="1"/>
  <c r="Q106" i="1" s="1"/>
  <c r="Q108" i="1" s="1"/>
  <c r="Q100" i="1" s="1"/>
  <c r="Q95" i="1" s="1"/>
  <c r="Q99" i="1" s="1"/>
  <c r="AI87" i="12"/>
  <c r="AL87" i="12" s="1"/>
  <c r="AI86" i="12"/>
  <c r="AL86" i="12" s="1"/>
  <c r="AC101" i="1"/>
  <c r="AC106" i="1" s="1"/>
  <c r="AC108" i="1" s="1"/>
  <c r="AC100" i="1" s="1"/>
  <c r="AC95" i="1" s="1"/>
  <c r="AC99" i="1" s="1"/>
  <c r="AJ90" i="12"/>
  <c r="AC96" i="12"/>
  <c r="AC98" i="12" s="1"/>
  <c r="AF96" i="12"/>
  <c r="AF98" i="12" s="1"/>
  <c r="AE96" i="12"/>
  <c r="AE98" i="12" s="1"/>
  <c r="AA101" i="1"/>
  <c r="AA106" i="1" s="1"/>
  <c r="AA108" i="1" s="1"/>
  <c r="AH96" i="12"/>
  <c r="AH98" i="12" s="1"/>
  <c r="AD96" i="12"/>
  <c r="AD98" i="12" s="1"/>
  <c r="AG96" i="12"/>
  <c r="AG98" i="12" s="1"/>
  <c r="AB98" i="1"/>
  <c r="AE98" i="1" s="1"/>
  <c r="AB99" i="1"/>
  <c r="AE99" i="1" s="1"/>
  <c r="X107" i="1"/>
  <c r="D61" i="6"/>
  <c r="AA107" i="1" s="1"/>
  <c r="Y97" i="12"/>
  <c r="P101" i="1"/>
  <c r="P106" i="1" s="1"/>
  <c r="P108" i="1" s="1"/>
  <c r="P100" i="1" s="1"/>
  <c r="P95" i="1" s="1"/>
  <c r="O90" i="12"/>
  <c r="O96" i="12" s="1"/>
  <c r="O98" i="12" s="1"/>
  <c r="O88" i="12" s="1"/>
  <c r="O77" i="12" s="1"/>
  <c r="Y90" i="12"/>
  <c r="X101" i="1"/>
  <c r="E90" i="12"/>
  <c r="E101" i="1"/>
  <c r="AE107" i="1" l="1"/>
  <c r="V95" i="1"/>
  <c r="V100" i="1" s="1"/>
  <c r="E38" i="6"/>
  <c r="O133" i="1" s="1"/>
  <c r="O138" i="1" s="1"/>
  <c r="O140" i="1" s="1"/>
  <c r="E39" i="6"/>
  <c r="E35" i="6"/>
  <c r="E37" i="6"/>
  <c r="E36" i="6"/>
  <c r="E59" i="6"/>
  <c r="E63" i="6"/>
  <c r="E62" i="6"/>
  <c r="E56" i="6"/>
  <c r="E57" i="6"/>
  <c r="AA111" i="1"/>
  <c r="AJ96" i="12"/>
  <c r="AJ98" i="12" s="1"/>
  <c r="AJ88" i="12"/>
  <c r="AJ78" i="12" s="1"/>
  <c r="P88" i="12"/>
  <c r="P78" i="12" s="1"/>
  <c r="P96" i="12"/>
  <c r="P98" i="12" s="1"/>
  <c r="AE101" i="1"/>
  <c r="AE106" i="1" s="1"/>
  <c r="AE108" i="1" s="1"/>
  <c r="X106" i="1"/>
  <c r="X108" i="1" s="1"/>
  <c r="F32" i="6"/>
  <c r="F47" i="6"/>
  <c r="F52" i="6" s="1"/>
  <c r="AL90" i="12"/>
  <c r="Y96" i="12"/>
  <c r="AL96" i="12" s="1"/>
  <c r="AE74" i="12"/>
  <c r="G45" i="6"/>
  <c r="G27" i="6"/>
  <c r="H25" i="6"/>
  <c r="M95" i="1"/>
  <c r="J95" i="1"/>
  <c r="K95" i="1"/>
  <c r="P98" i="1"/>
  <c r="S98" i="1" s="1"/>
  <c r="P99" i="1"/>
  <c r="S99" i="1" s="1"/>
  <c r="C95" i="1"/>
  <c r="S101" i="1"/>
  <c r="S106" i="1" s="1"/>
  <c r="S108" i="1" s="1"/>
  <c r="E106" i="1"/>
  <c r="E108" i="1" s="1"/>
  <c r="AL97" i="12"/>
  <c r="E96" i="12"/>
  <c r="E98" i="12" s="1"/>
  <c r="R90" i="12"/>
  <c r="J77" i="12"/>
  <c r="O86" i="12"/>
  <c r="R86" i="12" s="1"/>
  <c r="D29" i="4"/>
  <c r="N77" i="12"/>
  <c r="C77" i="12"/>
  <c r="K77" i="12"/>
  <c r="O87" i="12"/>
  <c r="AH74" i="12"/>
  <c r="AH68" i="12" s="1"/>
  <c r="R97" i="12"/>
  <c r="AG131" i="12" l="1"/>
  <c r="AD131" i="12"/>
  <c r="AF131" i="12"/>
  <c r="AE131" i="12"/>
  <c r="AC131" i="12"/>
  <c r="AH131" i="12"/>
  <c r="R98" i="12"/>
  <c r="E61" i="6"/>
  <c r="AA139" i="1" s="1"/>
  <c r="Y138" i="12"/>
  <c r="AL138" i="12" s="1"/>
  <c r="X139" i="1"/>
  <c r="AE139" i="1" s="1"/>
  <c r="P133" i="1"/>
  <c r="P138" i="1" s="1"/>
  <c r="P140" i="1" s="1"/>
  <c r="P132" i="1" s="1"/>
  <c r="P127" i="1" s="1"/>
  <c r="O131" i="12"/>
  <c r="O137" i="12" s="1"/>
  <c r="O139" i="12" s="1"/>
  <c r="O129" i="12" s="1"/>
  <c r="O118" i="12" s="1"/>
  <c r="E139" i="1"/>
  <c r="S139" i="1" s="1"/>
  <c r="E138" i="12"/>
  <c r="R138" i="12" s="1"/>
  <c r="E133" i="1"/>
  <c r="E131" i="12"/>
  <c r="P131" i="12"/>
  <c r="Q133" i="1"/>
  <c r="Q138" i="1" s="1"/>
  <c r="Q140" i="1" s="1"/>
  <c r="Q132" i="1" s="1"/>
  <c r="Q127" i="1" s="1"/>
  <c r="Q131" i="1" s="1"/>
  <c r="AB133" i="1"/>
  <c r="AB138" i="1" s="1"/>
  <c r="AB140" i="1" s="1"/>
  <c r="AB132" i="1" s="1"/>
  <c r="AB127" i="1" s="1"/>
  <c r="AI131" i="12"/>
  <c r="AI137" i="12" s="1"/>
  <c r="AI139" i="12" s="1"/>
  <c r="AI129" i="12" s="1"/>
  <c r="AI118" i="12" s="1"/>
  <c r="Y131" i="12"/>
  <c r="X133" i="1"/>
  <c r="AC133" i="1"/>
  <c r="AC138" i="1" s="1"/>
  <c r="AC140" i="1" s="1"/>
  <c r="AC132" i="1" s="1"/>
  <c r="AC127" i="1" s="1"/>
  <c r="AC131" i="1" s="1"/>
  <c r="AJ131" i="12"/>
  <c r="Y98" i="12"/>
  <c r="AL98" i="12" s="1"/>
  <c r="AG137" i="12"/>
  <c r="AG139" i="12" s="1"/>
  <c r="AE137" i="12"/>
  <c r="AE139" i="12" s="1"/>
  <c r="AH137" i="12"/>
  <c r="AH139" i="12" s="1"/>
  <c r="AC137" i="12"/>
  <c r="AC139" i="12" s="1"/>
  <c r="AF137" i="12"/>
  <c r="AF139" i="12" s="1"/>
  <c r="AD137" i="12"/>
  <c r="AD139" i="12" s="1"/>
  <c r="AA133" i="1"/>
  <c r="AA138" i="1" s="1"/>
  <c r="AA140" i="1" s="1"/>
  <c r="C100" i="1"/>
  <c r="G47" i="6"/>
  <c r="G52" i="6" s="1"/>
  <c r="G32" i="6"/>
  <c r="J78" i="12"/>
  <c r="J88" i="12" s="1"/>
  <c r="J74" i="12" s="1"/>
  <c r="J68" i="12" s="1"/>
  <c r="N78" i="12"/>
  <c r="N88" i="12" s="1"/>
  <c r="N74" i="12" s="1"/>
  <c r="N68" i="12" s="1"/>
  <c r="L78" i="12"/>
  <c r="K78" i="12"/>
  <c r="K88" i="12" s="1"/>
  <c r="K74" i="12" s="1"/>
  <c r="K69" i="12" s="1"/>
  <c r="P87" i="12"/>
  <c r="R87" i="12" s="1"/>
  <c r="M78" i="12"/>
  <c r="M88" i="12" s="1"/>
  <c r="I78" i="12"/>
  <c r="AC78" i="12"/>
  <c r="AJ87" i="12"/>
  <c r="AF78" i="12"/>
  <c r="AE78" i="12"/>
  <c r="AH78" i="12"/>
  <c r="AD78" i="12"/>
  <c r="AG78" i="12"/>
  <c r="AG88" i="12" s="1"/>
  <c r="I25" i="6"/>
  <c r="H27" i="6"/>
  <c r="H45" i="6"/>
  <c r="C88" i="12"/>
  <c r="D41" i="4"/>
  <c r="D62" i="4" s="1"/>
  <c r="AF77" i="12" s="1"/>
  <c r="AF88" i="12" s="1"/>
  <c r="AF74" i="12" s="1"/>
  <c r="AF68" i="12" s="1"/>
  <c r="D38" i="4"/>
  <c r="D59" i="4" s="1"/>
  <c r="D39" i="4"/>
  <c r="D60" i="4" s="1"/>
  <c r="D34" i="4"/>
  <c r="D55" i="4" s="1"/>
  <c r="D40" i="4"/>
  <c r="D61" i="4" s="1"/>
  <c r="Z95" i="1" s="1"/>
  <c r="Z100" i="1" s="1"/>
  <c r="F62" i="6"/>
  <c r="F59" i="6"/>
  <c r="F63" i="6"/>
  <c r="F56" i="6"/>
  <c r="F57" i="6"/>
  <c r="R96" i="12"/>
  <c r="W88" i="12"/>
  <c r="F38" i="6"/>
  <c r="O165" i="1" s="1"/>
  <c r="O170" i="1" s="1"/>
  <c r="O172" i="1" s="1"/>
  <c r="F39" i="6"/>
  <c r="F35" i="6"/>
  <c r="F37" i="6"/>
  <c r="D64" i="4" l="1"/>
  <c r="AB77" i="12"/>
  <c r="AB88" i="12" s="1"/>
  <c r="AB74" i="12" s="1"/>
  <c r="AC77" i="12"/>
  <c r="AC88" i="12" s="1"/>
  <c r="AC74" i="12" s="1"/>
  <c r="AA95" i="1"/>
  <c r="AA100" i="1" s="1"/>
  <c r="AG172" i="12"/>
  <c r="AF172" i="12"/>
  <c r="AC172" i="12"/>
  <c r="AE172" i="12"/>
  <c r="AD172" i="12"/>
  <c r="AH172" i="12"/>
  <c r="AH178" i="12" s="1"/>
  <c r="AH180" i="12" s="1"/>
  <c r="AB118" i="12"/>
  <c r="AB129" i="12" s="1"/>
  <c r="AB115" i="12" s="1"/>
  <c r="Y118" i="12"/>
  <c r="AH118" i="12"/>
  <c r="AD118" i="12"/>
  <c r="W118" i="12"/>
  <c r="W129" i="12" s="1"/>
  <c r="AE118" i="12"/>
  <c r="AE129" i="12" s="1"/>
  <c r="AE115" i="12" s="1"/>
  <c r="AC118" i="12"/>
  <c r="AC129" i="12" s="1"/>
  <c r="AC115" i="12" s="1"/>
  <c r="AF118" i="12"/>
  <c r="AF129" i="12" s="1"/>
  <c r="AF115" i="12" s="1"/>
  <c r="AF109" i="12" s="1"/>
  <c r="P129" i="12"/>
  <c r="P119" i="12" s="1"/>
  <c r="P137" i="12"/>
  <c r="P139" i="12" s="1"/>
  <c r="V127" i="1"/>
  <c r="X127" i="1"/>
  <c r="X132" i="1" s="1"/>
  <c r="AA127" i="1"/>
  <c r="AA132" i="1" s="1"/>
  <c r="AB130" i="1"/>
  <c r="AE130" i="1" s="1"/>
  <c r="AB131" i="1"/>
  <c r="AE131" i="1" s="1"/>
  <c r="Z127" i="1"/>
  <c r="Z132" i="1" s="1"/>
  <c r="E137" i="12"/>
  <c r="R131" i="12"/>
  <c r="E138" i="1"/>
  <c r="E140" i="1" s="1"/>
  <c r="T140" i="1" s="1"/>
  <c r="S133" i="1"/>
  <c r="S138" i="1" s="1"/>
  <c r="S140" i="1" s="1"/>
  <c r="AJ137" i="12"/>
  <c r="AJ139" i="12" s="1"/>
  <c r="AJ129" i="12"/>
  <c r="AJ119" i="12" s="1"/>
  <c r="E29" i="4"/>
  <c r="E39" i="4" s="1"/>
  <c r="O127" i="12"/>
  <c r="R127" i="12" s="1"/>
  <c r="K118" i="12"/>
  <c r="J118" i="12"/>
  <c r="N118" i="12"/>
  <c r="C118" i="12"/>
  <c r="C129" i="12" s="1"/>
  <c r="O128" i="12"/>
  <c r="P131" i="1"/>
  <c r="S131" i="1" s="1"/>
  <c r="P130" i="1"/>
  <c r="S130" i="1" s="1"/>
  <c r="C127" i="1"/>
  <c r="C132" i="1" s="1"/>
  <c r="AE133" i="1"/>
  <c r="AE138" i="1" s="1"/>
  <c r="AE140" i="1" s="1"/>
  <c r="X138" i="1"/>
  <c r="X140" i="1" s="1"/>
  <c r="AF140" i="1" s="1"/>
  <c r="AL131" i="12"/>
  <c r="Y137" i="12"/>
  <c r="AH129" i="12"/>
  <c r="AH115" i="12" s="1"/>
  <c r="AH109" i="12" s="1"/>
  <c r="AD129" i="12"/>
  <c r="AI128" i="12"/>
  <c r="AL128" i="12" s="1"/>
  <c r="AI127" i="12"/>
  <c r="AL127" i="12" s="1"/>
  <c r="E50" i="4"/>
  <c r="L77" i="12"/>
  <c r="L88" i="12" s="1"/>
  <c r="L74" i="12" s="1"/>
  <c r="L68" i="12" s="1"/>
  <c r="I95" i="1"/>
  <c r="AI172" i="12"/>
  <c r="AI178" i="12" s="1"/>
  <c r="AI180" i="12" s="1"/>
  <c r="AI170" i="12" s="1"/>
  <c r="AI159" i="12" s="1"/>
  <c r="AB165" i="1"/>
  <c r="AB170" i="1" s="1"/>
  <c r="AB172" i="1" s="1"/>
  <c r="AB164" i="1" s="1"/>
  <c r="AB159" i="1" s="1"/>
  <c r="Y179" i="12"/>
  <c r="F61" i="6"/>
  <c r="AA171" i="1" s="1"/>
  <c r="X171" i="1"/>
  <c r="Q165" i="1"/>
  <c r="Q170" i="1" s="1"/>
  <c r="Q172" i="1" s="1"/>
  <c r="Q164" i="1" s="1"/>
  <c r="Q159" i="1" s="1"/>
  <c r="Q163" i="1" s="1"/>
  <c r="P172" i="12"/>
  <c r="G37" i="6"/>
  <c r="G39" i="6"/>
  <c r="G38" i="6"/>
  <c r="G35" i="6"/>
  <c r="X165" i="1"/>
  <c r="Y172" i="12"/>
  <c r="G57" i="6"/>
  <c r="G62" i="6"/>
  <c r="G56" i="6"/>
  <c r="G63" i="6"/>
  <c r="G59" i="6"/>
  <c r="E172" i="12"/>
  <c r="E165" i="1"/>
  <c r="AC165" i="1"/>
  <c r="AC170" i="1" s="1"/>
  <c r="AC172" i="1" s="1"/>
  <c r="AC164" i="1" s="1"/>
  <c r="AC159" i="1" s="1"/>
  <c r="AC163" i="1" s="1"/>
  <c r="AJ172" i="12"/>
  <c r="G95" i="1"/>
  <c r="G100" i="1" s="1"/>
  <c r="R78" i="12"/>
  <c r="H47" i="6"/>
  <c r="H52" i="6" s="1"/>
  <c r="H32" i="6"/>
  <c r="AL78" i="12"/>
  <c r="AG178" i="12"/>
  <c r="AG180" i="12" s="1"/>
  <c r="AD178" i="12"/>
  <c r="AD180" i="12" s="1"/>
  <c r="AA165" i="1"/>
  <c r="AA170" i="1" s="1"/>
  <c r="AA172" i="1" s="1"/>
  <c r="AF178" i="12"/>
  <c r="AF180" i="12" s="1"/>
  <c r="AE178" i="12"/>
  <c r="AE180" i="12" s="1"/>
  <c r="AC178" i="12"/>
  <c r="AC180" i="12" s="1"/>
  <c r="D33" i="4"/>
  <c r="D54" i="4" s="1"/>
  <c r="D43" i="4"/>
  <c r="H77" i="12"/>
  <c r="H88" i="12" s="1"/>
  <c r="H74" i="12" s="1"/>
  <c r="H68" i="12" s="1"/>
  <c r="R68" i="12" s="1"/>
  <c r="F36" i="6"/>
  <c r="I45" i="6"/>
  <c r="I27" i="6"/>
  <c r="E179" i="12"/>
  <c r="E171" i="1"/>
  <c r="S171" i="1" s="1"/>
  <c r="O95" i="1"/>
  <c r="H95" i="1"/>
  <c r="I77" i="12"/>
  <c r="I88" i="12" s="1"/>
  <c r="I74" i="12" s="1"/>
  <c r="I69" i="12" s="1"/>
  <c r="E41" i="4" l="1"/>
  <c r="L118" i="12" s="1"/>
  <c r="E38" i="4"/>
  <c r="D63" i="4"/>
  <c r="Y77" i="12"/>
  <c r="X95" i="1"/>
  <c r="E34" i="4"/>
  <c r="E33" i="4" s="1"/>
  <c r="E40" i="4"/>
  <c r="G127" i="1" s="1"/>
  <c r="G132" i="1" s="1"/>
  <c r="AG213" i="12"/>
  <c r="AD213" i="12"/>
  <c r="AC213" i="12"/>
  <c r="AC219" i="12" s="1"/>
  <c r="AC221" i="12" s="1"/>
  <c r="AF213" i="12"/>
  <c r="AE213" i="12"/>
  <c r="AE219" i="12" s="1"/>
  <c r="AE221" i="12" s="1"/>
  <c r="AH213" i="12"/>
  <c r="Y129" i="12"/>
  <c r="AL118" i="12"/>
  <c r="R137" i="12"/>
  <c r="E139" i="12"/>
  <c r="R139" i="12" s="1"/>
  <c r="AL137" i="12"/>
  <c r="Y139" i="12"/>
  <c r="AL139" i="12" s="1"/>
  <c r="V132" i="1"/>
  <c r="AE132" i="1" s="1"/>
  <c r="AE127" i="1"/>
  <c r="AJ128" i="12"/>
  <c r="AE119" i="12"/>
  <c r="AG119" i="12"/>
  <c r="AG129" i="12" s="1"/>
  <c r="AH119" i="12"/>
  <c r="AF119" i="12"/>
  <c r="AD119" i="12"/>
  <c r="AC119" i="12"/>
  <c r="AE171" i="1"/>
  <c r="I119" i="12"/>
  <c r="K119" i="12"/>
  <c r="K129" i="12" s="1"/>
  <c r="K115" i="12" s="1"/>
  <c r="K110" i="12" s="1"/>
  <c r="L119" i="12"/>
  <c r="L129" i="12" s="1"/>
  <c r="L115" i="12" s="1"/>
  <c r="L109" i="12" s="1"/>
  <c r="J119" i="12"/>
  <c r="J129" i="12" s="1"/>
  <c r="J115" i="12" s="1"/>
  <c r="J109" i="12" s="1"/>
  <c r="N119" i="12"/>
  <c r="N129" i="12" s="1"/>
  <c r="N115" i="12" s="1"/>
  <c r="N109" i="12" s="1"/>
  <c r="P128" i="12"/>
  <c r="R128" i="12" s="1"/>
  <c r="M119" i="12"/>
  <c r="M129" i="12" s="1"/>
  <c r="H35" i="6"/>
  <c r="H36" i="6" s="1"/>
  <c r="H37" i="6"/>
  <c r="H38" i="6"/>
  <c r="H39" i="6"/>
  <c r="E170" i="1"/>
  <c r="E172" i="1" s="1"/>
  <c r="AB162" i="1"/>
  <c r="AE162" i="1" s="1"/>
  <c r="AB163" i="1"/>
  <c r="AE163" i="1" s="1"/>
  <c r="AI169" i="12"/>
  <c r="AL169" i="12" s="1"/>
  <c r="AI168" i="12"/>
  <c r="AL168" i="12" s="1"/>
  <c r="F50" i="4"/>
  <c r="D42" i="4"/>
  <c r="E95" i="1"/>
  <c r="E77" i="12"/>
  <c r="P213" i="12"/>
  <c r="Q197" i="1"/>
  <c r="Q202" i="1" s="1"/>
  <c r="Q204" i="1" s="1"/>
  <c r="Q196" i="1" s="1"/>
  <c r="Q191" i="1" s="1"/>
  <c r="Q195" i="1" s="1"/>
  <c r="AJ213" i="12"/>
  <c r="AC197" i="1"/>
  <c r="AC202" i="1" s="1"/>
  <c r="AC204" i="1" s="1"/>
  <c r="AC196" i="1" s="1"/>
  <c r="AC191" i="1" s="1"/>
  <c r="AC195" i="1" s="1"/>
  <c r="E220" i="12"/>
  <c r="E203" i="1"/>
  <c r="S203" i="1" s="1"/>
  <c r="E197" i="1"/>
  <c r="E213" i="12"/>
  <c r="X203" i="1"/>
  <c r="Y220" i="12"/>
  <c r="G61" i="6"/>
  <c r="AA203" i="1" s="1"/>
  <c r="X197" i="1"/>
  <c r="Y213" i="12"/>
  <c r="P178" i="12"/>
  <c r="P180" i="12" s="1"/>
  <c r="P170" i="12"/>
  <c r="P160" i="12" s="1"/>
  <c r="P165" i="1"/>
  <c r="P170" i="1" s="1"/>
  <c r="P172" i="1" s="1"/>
  <c r="P164" i="1" s="1"/>
  <c r="P159" i="1" s="1"/>
  <c r="O172" i="12"/>
  <c r="O178" i="12" s="1"/>
  <c r="O180" i="12" s="1"/>
  <c r="O170" i="12" s="1"/>
  <c r="O159" i="12" s="1"/>
  <c r="AI213" i="12"/>
  <c r="AI219" i="12" s="1"/>
  <c r="AI221" i="12" s="1"/>
  <c r="AI211" i="12" s="1"/>
  <c r="AI200" i="12" s="1"/>
  <c r="AB197" i="1"/>
  <c r="AB202" i="1" s="1"/>
  <c r="AB204" i="1" s="1"/>
  <c r="AB196" i="1" s="1"/>
  <c r="AB191" i="1" s="1"/>
  <c r="H63" i="6"/>
  <c r="H59" i="6"/>
  <c r="H62" i="6"/>
  <c r="H57" i="6"/>
  <c r="H56" i="6"/>
  <c r="I118" i="12"/>
  <c r="I129" i="12" s="1"/>
  <c r="I115" i="12" s="1"/>
  <c r="I110" i="12" s="1"/>
  <c r="O127" i="1"/>
  <c r="O132" i="1" s="1"/>
  <c r="E178" i="12"/>
  <c r="I47" i="6"/>
  <c r="I52" i="6" s="1"/>
  <c r="I32" i="6"/>
  <c r="Y178" i="12"/>
  <c r="AL178" i="12" s="1"/>
  <c r="AL172" i="12"/>
  <c r="AL179" i="12"/>
  <c r="G36" i="6"/>
  <c r="AD219" i="12"/>
  <c r="AD221" i="12" s="1"/>
  <c r="AF219" i="12"/>
  <c r="AF221" i="12" s="1"/>
  <c r="AH219" i="12"/>
  <c r="AH221" i="12" s="1"/>
  <c r="AA197" i="1"/>
  <c r="AA202" i="1" s="1"/>
  <c r="AA204" i="1" s="1"/>
  <c r="AG219" i="12"/>
  <c r="AG221" i="12" s="1"/>
  <c r="R179" i="12"/>
  <c r="AJ170" i="12"/>
  <c r="AJ160" i="12" s="1"/>
  <c r="AJ178" i="12"/>
  <c r="AJ180" i="12" s="1"/>
  <c r="AE165" i="1"/>
  <c r="AE170" i="1" s="1"/>
  <c r="AE172" i="1" s="1"/>
  <c r="X170" i="1"/>
  <c r="X172" i="1" s="1"/>
  <c r="AF172" i="1" s="1"/>
  <c r="E43" i="4" l="1"/>
  <c r="H118" i="12"/>
  <c r="H129" i="12" s="1"/>
  <c r="H115" i="12" s="1"/>
  <c r="H109" i="12" s="1"/>
  <c r="X100" i="1"/>
  <c r="AE100" i="1" s="1"/>
  <c r="AE95" i="1"/>
  <c r="Y88" i="12"/>
  <c r="AL77" i="12"/>
  <c r="AG254" i="12"/>
  <c r="AH254" i="12"/>
  <c r="AF254" i="12"/>
  <c r="AD254" i="12"/>
  <c r="AE254" i="12"/>
  <c r="AC254" i="12"/>
  <c r="AC260" i="12" s="1"/>
  <c r="AC262" i="12" s="1"/>
  <c r="R119" i="12"/>
  <c r="R178" i="12"/>
  <c r="AL119" i="12"/>
  <c r="AE203" i="1"/>
  <c r="R172" i="12"/>
  <c r="R109" i="12"/>
  <c r="Y115" i="12"/>
  <c r="AL129" i="12"/>
  <c r="AF260" i="12"/>
  <c r="AF262" i="12" s="1"/>
  <c r="AA232" i="1"/>
  <c r="AA237" i="1" s="1"/>
  <c r="AA239" i="1" s="1"/>
  <c r="AD260" i="12"/>
  <c r="AD262" i="12" s="1"/>
  <c r="AG260" i="12"/>
  <c r="AG262" i="12" s="1"/>
  <c r="AE260" i="12"/>
  <c r="AE262" i="12" s="1"/>
  <c r="AH260" i="12"/>
  <c r="AH262" i="12" s="1"/>
  <c r="H61" i="6"/>
  <c r="AA238" i="1" s="1"/>
  <c r="X238" i="1"/>
  <c r="Y261" i="12"/>
  <c r="AB194" i="1"/>
  <c r="AE194" i="1" s="1"/>
  <c r="AB195" i="1"/>
  <c r="AE195" i="1" s="1"/>
  <c r="E202" i="1"/>
  <c r="E204" i="1" s="1"/>
  <c r="I56" i="6"/>
  <c r="I63" i="6"/>
  <c r="I59" i="6"/>
  <c r="I62" i="6"/>
  <c r="I57" i="6"/>
  <c r="I39" i="6"/>
  <c r="I35" i="6"/>
  <c r="I37" i="6"/>
  <c r="I38" i="6"/>
  <c r="O261" i="1" s="1"/>
  <c r="O266" i="1" s="1"/>
  <c r="O268" i="1" s="1"/>
  <c r="I36" i="6"/>
  <c r="C159" i="12"/>
  <c r="O168" i="12"/>
  <c r="R168" i="12" s="1"/>
  <c r="O169" i="12"/>
  <c r="N159" i="12"/>
  <c r="K159" i="12"/>
  <c r="J159" i="12"/>
  <c r="F29" i="4"/>
  <c r="R220" i="12"/>
  <c r="S165" i="1"/>
  <c r="S170" i="1" s="1"/>
  <c r="S172" i="1" s="1"/>
  <c r="AJ254" i="12"/>
  <c r="AC232" i="1"/>
  <c r="AC237" i="1" s="1"/>
  <c r="AC239" i="1" s="1"/>
  <c r="AC231" i="1" s="1"/>
  <c r="AC226" i="1" s="1"/>
  <c r="AC230" i="1" s="1"/>
  <c r="T172" i="1"/>
  <c r="I160" i="12"/>
  <c r="L160" i="12"/>
  <c r="K160" i="12"/>
  <c r="J160" i="12"/>
  <c r="N160" i="12"/>
  <c r="P169" i="12"/>
  <c r="M160" i="12"/>
  <c r="M170" i="12" s="1"/>
  <c r="AJ211" i="12"/>
  <c r="AJ201" i="12" s="1"/>
  <c r="AJ219" i="12"/>
  <c r="AJ221" i="12" s="1"/>
  <c r="O254" i="12"/>
  <c r="O260" i="12" s="1"/>
  <c r="O262" i="12" s="1"/>
  <c r="O252" i="12" s="1"/>
  <c r="O241" i="12" s="1"/>
  <c r="P232" i="1"/>
  <c r="P237" i="1" s="1"/>
  <c r="P239" i="1" s="1"/>
  <c r="P231" i="1" s="1"/>
  <c r="P226" i="1" s="1"/>
  <c r="G50" i="4"/>
  <c r="AI210" i="12"/>
  <c r="AL210" i="12" s="1"/>
  <c r="AI209" i="12"/>
  <c r="AL209" i="12" s="1"/>
  <c r="P254" i="12"/>
  <c r="Q232" i="1"/>
  <c r="Q237" i="1" s="1"/>
  <c r="Q239" i="1" s="1"/>
  <c r="Q231" i="1" s="1"/>
  <c r="Q226" i="1" s="1"/>
  <c r="Q230" i="1" s="1"/>
  <c r="AL220" i="12"/>
  <c r="C159" i="1"/>
  <c r="P163" i="1"/>
  <c r="S163" i="1" s="1"/>
  <c r="P162" i="1"/>
  <c r="S162" i="1" s="1"/>
  <c r="Y180" i="12"/>
  <c r="AL180" i="12" s="1"/>
  <c r="P219" i="12"/>
  <c r="P221" i="12" s="1"/>
  <c r="P211" i="12"/>
  <c r="P201" i="12" s="1"/>
  <c r="O197" i="1"/>
  <c r="O202" i="1" s="1"/>
  <c r="O204" i="1" s="1"/>
  <c r="O232" i="1"/>
  <c r="O237" i="1" s="1"/>
  <c r="O239" i="1" s="1"/>
  <c r="E219" i="12"/>
  <c r="E221" i="12" s="1"/>
  <c r="E42" i="4"/>
  <c r="E127" i="1"/>
  <c r="E118" i="12"/>
  <c r="P197" i="1"/>
  <c r="P202" i="1" s="1"/>
  <c r="P204" i="1" s="1"/>
  <c r="P196" i="1" s="1"/>
  <c r="P191" i="1" s="1"/>
  <c r="O213" i="12"/>
  <c r="O219" i="12" s="1"/>
  <c r="O221" i="12" s="1"/>
  <c r="O211" i="12" s="1"/>
  <c r="O200" i="12" s="1"/>
  <c r="AC160" i="12"/>
  <c r="AD160" i="12"/>
  <c r="AE160" i="12"/>
  <c r="AH160" i="12"/>
  <c r="AJ169" i="12"/>
  <c r="AF160" i="12"/>
  <c r="AG160" i="12"/>
  <c r="AG170" i="12" s="1"/>
  <c r="Y254" i="12"/>
  <c r="X232" i="1"/>
  <c r="X202" i="1"/>
  <c r="AF197" i="1"/>
  <c r="AF203" i="1" s="1"/>
  <c r="AE197" i="1"/>
  <c r="AE202" i="1" s="1"/>
  <c r="AE204" i="1" s="1"/>
  <c r="E88" i="12"/>
  <c r="R77" i="12"/>
  <c r="E261" i="12"/>
  <c r="E238" i="1"/>
  <c r="S238" i="1" s="1"/>
  <c r="AL213" i="12"/>
  <c r="Y219" i="12"/>
  <c r="AL219" i="12" s="1"/>
  <c r="E180" i="12"/>
  <c r="R180" i="12" s="1"/>
  <c r="AI254" i="12"/>
  <c r="AI260" i="12" s="1"/>
  <c r="AI262" i="12" s="1"/>
  <c r="AI252" i="12" s="1"/>
  <c r="AI241" i="12" s="1"/>
  <c r="AB232" i="1"/>
  <c r="AB237" i="1" s="1"/>
  <c r="AB239" i="1" s="1"/>
  <c r="AB231" i="1" s="1"/>
  <c r="AB226" i="1" s="1"/>
  <c r="E100" i="1"/>
  <c r="S100" i="1" s="1"/>
  <c r="S95" i="1"/>
  <c r="E232" i="1"/>
  <c r="E254" i="12"/>
  <c r="AL88" i="12" l="1"/>
  <c r="Y74" i="12"/>
  <c r="AG295" i="12"/>
  <c r="AF295" i="12"/>
  <c r="AH295" i="12"/>
  <c r="AE295" i="12"/>
  <c r="AD295" i="12"/>
  <c r="AC295" i="12"/>
  <c r="AE238" i="1"/>
  <c r="Y221" i="12"/>
  <c r="AL221" i="12" s="1"/>
  <c r="AL110" i="12"/>
  <c r="J170" i="12"/>
  <c r="J156" i="12" s="1"/>
  <c r="J150" i="12" s="1"/>
  <c r="K170" i="12"/>
  <c r="K156" i="12" s="1"/>
  <c r="K151" i="12" s="1"/>
  <c r="R169" i="12"/>
  <c r="R160" i="12"/>
  <c r="AF301" i="12"/>
  <c r="AF303" i="12" s="1"/>
  <c r="AA261" i="1"/>
  <c r="AA266" i="1" s="1"/>
  <c r="AA268" i="1" s="1"/>
  <c r="AG301" i="12"/>
  <c r="AG303" i="12" s="1"/>
  <c r="AH301" i="12"/>
  <c r="AH303" i="12" s="1"/>
  <c r="AE301" i="12"/>
  <c r="AE303" i="12" s="1"/>
  <c r="AC301" i="12"/>
  <c r="AC303" i="12" s="1"/>
  <c r="AD301" i="12"/>
  <c r="AD303" i="12" s="1"/>
  <c r="AL261" i="12"/>
  <c r="AI295" i="12"/>
  <c r="AI301" i="12" s="1"/>
  <c r="AI303" i="12" s="1"/>
  <c r="AI293" i="12" s="1"/>
  <c r="AI282" i="12" s="1"/>
  <c r="AB261" i="1"/>
  <c r="AB266" i="1" s="1"/>
  <c r="AB268" i="1" s="1"/>
  <c r="AB260" i="1" s="1"/>
  <c r="AB255" i="1" s="1"/>
  <c r="E74" i="12"/>
  <c r="R88" i="12"/>
  <c r="S92" i="12" s="1"/>
  <c r="N241" i="12"/>
  <c r="J241" i="12"/>
  <c r="H29" i="4"/>
  <c r="O251" i="12"/>
  <c r="C241" i="12"/>
  <c r="K241" i="12"/>
  <c r="O250" i="12"/>
  <c r="R250" i="12" s="1"/>
  <c r="AJ260" i="12"/>
  <c r="AJ262" i="12" s="1"/>
  <c r="AJ252" i="12"/>
  <c r="AJ242" i="12" s="1"/>
  <c r="I61" i="6"/>
  <c r="AA267" i="1" s="1"/>
  <c r="Y302" i="12"/>
  <c r="X267" i="1"/>
  <c r="C200" i="12"/>
  <c r="O210" i="12"/>
  <c r="G29" i="4"/>
  <c r="J200" i="12"/>
  <c r="O209" i="12"/>
  <c r="R209" i="12" s="1"/>
  <c r="N200" i="12"/>
  <c r="K200" i="12"/>
  <c r="AC261" i="1"/>
  <c r="AC266" i="1" s="1"/>
  <c r="AC268" i="1" s="1"/>
  <c r="AC260" i="1" s="1"/>
  <c r="AC255" i="1" s="1"/>
  <c r="AC259" i="1" s="1"/>
  <c r="AJ295" i="12"/>
  <c r="E237" i="1"/>
  <c r="E239" i="1" s="1"/>
  <c r="T239" i="1" s="1"/>
  <c r="S232" i="1"/>
  <c r="S237" i="1" s="1"/>
  <c r="S239" i="1" s="1"/>
  <c r="AL160" i="12"/>
  <c r="P195" i="1"/>
  <c r="S195" i="1" s="1"/>
  <c r="C191" i="1"/>
  <c r="P194" i="1"/>
  <c r="S194" i="1" s="1"/>
  <c r="AF201" i="12"/>
  <c r="AC201" i="12"/>
  <c r="AG201" i="12"/>
  <c r="AG211" i="12" s="1"/>
  <c r="AE201" i="12"/>
  <c r="AJ210" i="12"/>
  <c r="AD201" i="12"/>
  <c r="AH201" i="12"/>
  <c r="C170" i="12"/>
  <c r="X261" i="1"/>
  <c r="Y295" i="12"/>
  <c r="M201" i="12"/>
  <c r="M211" i="12" s="1"/>
  <c r="N201" i="12"/>
  <c r="I201" i="12"/>
  <c r="J201" i="12"/>
  <c r="P210" i="12"/>
  <c r="K201" i="12"/>
  <c r="L201" i="12"/>
  <c r="R221" i="12"/>
  <c r="P261" i="1"/>
  <c r="P266" i="1" s="1"/>
  <c r="P268" i="1" s="1"/>
  <c r="P260" i="1" s="1"/>
  <c r="P255" i="1" s="1"/>
  <c r="O295" i="12"/>
  <c r="O301" i="12" s="1"/>
  <c r="O303" i="12" s="1"/>
  <c r="O293" i="12" s="1"/>
  <c r="O282" i="12" s="1"/>
  <c r="T204" i="1"/>
  <c r="AB230" i="1"/>
  <c r="AE230" i="1" s="1"/>
  <c r="AB229" i="1"/>
  <c r="AE229" i="1" s="1"/>
  <c r="X204" i="1"/>
  <c r="AF204" i="1" s="1"/>
  <c r="AF202" i="1"/>
  <c r="E132" i="1"/>
  <c r="S132" i="1" s="1"/>
  <c r="S127" i="1"/>
  <c r="F40" i="4"/>
  <c r="G159" i="1" s="1"/>
  <c r="G164" i="1" s="1"/>
  <c r="F41" i="4"/>
  <c r="L159" i="12" s="1"/>
  <c r="L170" i="12" s="1"/>
  <c r="L156" i="12" s="1"/>
  <c r="L150" i="12" s="1"/>
  <c r="F38" i="4"/>
  <c r="F34" i="4"/>
  <c r="F39" i="4"/>
  <c r="S197" i="1"/>
  <c r="S202" i="1" s="1"/>
  <c r="S204" i="1" s="1"/>
  <c r="P260" i="12"/>
  <c r="P262" i="12" s="1"/>
  <c r="P252" i="12"/>
  <c r="P242" i="12" s="1"/>
  <c r="E267" i="1"/>
  <c r="S267" i="1" s="1"/>
  <c r="E302" i="12"/>
  <c r="E261" i="1"/>
  <c r="E295" i="12"/>
  <c r="R261" i="12"/>
  <c r="C226" i="1"/>
  <c r="P229" i="1"/>
  <c r="S229" i="1" s="1"/>
  <c r="P230" i="1"/>
  <c r="S230" i="1" s="1"/>
  <c r="C164" i="1"/>
  <c r="R219" i="12"/>
  <c r="R213" i="12"/>
  <c r="N170" i="12"/>
  <c r="N156" i="12" s="1"/>
  <c r="N150" i="12" s="1"/>
  <c r="Q261" i="1"/>
  <c r="Q266" i="1" s="1"/>
  <c r="Q268" i="1" s="1"/>
  <c r="Q260" i="1" s="1"/>
  <c r="Q255" i="1" s="1"/>
  <c r="Q259" i="1" s="1"/>
  <c r="P295" i="12"/>
  <c r="AI251" i="12"/>
  <c r="AL251" i="12" s="1"/>
  <c r="H50" i="4"/>
  <c r="AI250" i="12"/>
  <c r="AL250" i="12" s="1"/>
  <c r="E129" i="12"/>
  <c r="R118" i="12"/>
  <c r="AE232" i="1"/>
  <c r="AE237" i="1" s="1"/>
  <c r="AE239" i="1" s="1"/>
  <c r="X237" i="1"/>
  <c r="X239" i="1" s="1"/>
  <c r="AF239" i="1" s="1"/>
  <c r="Y260" i="12"/>
  <c r="AL260" i="12" s="1"/>
  <c r="AL254" i="12"/>
  <c r="R254" i="12"/>
  <c r="E260" i="12"/>
  <c r="AL69" i="12" l="1"/>
  <c r="AF282" i="12"/>
  <c r="AE282" i="12"/>
  <c r="AD282" i="12"/>
  <c r="AC282" i="12"/>
  <c r="AH282" i="12"/>
  <c r="AB282" i="12"/>
  <c r="Y282" i="12"/>
  <c r="W282" i="12"/>
  <c r="W293" i="12" s="1"/>
  <c r="R260" i="12"/>
  <c r="AE267" i="1"/>
  <c r="K211" i="12"/>
  <c r="K197" i="12" s="1"/>
  <c r="K192" i="12" s="1"/>
  <c r="Y262" i="12"/>
  <c r="AL262" i="12" s="1"/>
  <c r="R210" i="12"/>
  <c r="R201" i="12"/>
  <c r="AL201" i="12"/>
  <c r="C211" i="12"/>
  <c r="G34" i="4"/>
  <c r="G38" i="4"/>
  <c r="G41" i="4"/>
  <c r="L200" i="12" s="1"/>
  <c r="L211" i="12" s="1"/>
  <c r="L197" i="12" s="1"/>
  <c r="L191" i="12" s="1"/>
  <c r="G40" i="4"/>
  <c r="G191" i="1" s="1"/>
  <c r="G196" i="1" s="1"/>
  <c r="G39" i="4"/>
  <c r="F43" i="4"/>
  <c r="F33" i="4"/>
  <c r="H159" i="12"/>
  <c r="H170" i="12" s="1"/>
  <c r="H156" i="12" s="1"/>
  <c r="H150" i="12" s="1"/>
  <c r="R150" i="12" s="1"/>
  <c r="H34" i="4"/>
  <c r="H38" i="4"/>
  <c r="H41" i="4"/>
  <c r="L241" i="12" s="1"/>
  <c r="H40" i="4"/>
  <c r="G226" i="1" s="1"/>
  <c r="G231" i="1" s="1"/>
  <c r="H39" i="4"/>
  <c r="AJ301" i="12"/>
  <c r="AJ303" i="12" s="1"/>
  <c r="AJ293" i="12"/>
  <c r="AJ283" i="12" s="1"/>
  <c r="I159" i="12"/>
  <c r="I170" i="12" s="1"/>
  <c r="I156" i="12" s="1"/>
  <c r="I151" i="12" s="1"/>
  <c r="O159" i="1"/>
  <c r="O164" i="1" s="1"/>
  <c r="Y301" i="12"/>
  <c r="AL301" i="12" s="1"/>
  <c r="AL295" i="12"/>
  <c r="AL302" i="12"/>
  <c r="R295" i="12"/>
  <c r="E301" i="12"/>
  <c r="X266" i="1"/>
  <c r="X268" i="1" s="1"/>
  <c r="AF268" i="1" s="1"/>
  <c r="AE261" i="1"/>
  <c r="AE266" i="1" s="1"/>
  <c r="AE268" i="1" s="1"/>
  <c r="C196" i="1"/>
  <c r="N211" i="12"/>
  <c r="N197" i="12" s="1"/>
  <c r="N191" i="12" s="1"/>
  <c r="S261" i="1"/>
  <c r="S266" i="1" s="1"/>
  <c r="S268" i="1" s="1"/>
  <c r="E266" i="1"/>
  <c r="E268" i="1" s="1"/>
  <c r="T268" i="1" s="1"/>
  <c r="O292" i="12"/>
  <c r="N282" i="12"/>
  <c r="I29" i="4"/>
  <c r="J282" i="12"/>
  <c r="C282" i="12"/>
  <c r="K282" i="12"/>
  <c r="O291" i="12"/>
  <c r="R291" i="12" s="1"/>
  <c r="AF242" i="12"/>
  <c r="AG242" i="12"/>
  <c r="AG252" i="12" s="1"/>
  <c r="AE242" i="12"/>
  <c r="AC242" i="12"/>
  <c r="AD242" i="12"/>
  <c r="AJ251" i="12"/>
  <c r="AH242" i="12"/>
  <c r="R302" i="12"/>
  <c r="P259" i="1"/>
  <c r="S259" i="1" s="1"/>
  <c r="C255" i="1"/>
  <c r="P258" i="1"/>
  <c r="S258" i="1" s="1"/>
  <c r="R74" i="12"/>
  <c r="E69" i="12"/>
  <c r="R69" i="12" s="1"/>
  <c r="C231" i="1"/>
  <c r="J211" i="12"/>
  <c r="J197" i="12" s="1"/>
  <c r="J191" i="12" s="1"/>
  <c r="AB259" i="1"/>
  <c r="AE259" i="1" s="1"/>
  <c r="AB258" i="1"/>
  <c r="AE258" i="1" s="1"/>
  <c r="V255" i="1"/>
  <c r="X255" i="1"/>
  <c r="X260" i="1" s="1"/>
  <c r="E262" i="12"/>
  <c r="R262" i="12" s="1"/>
  <c r="P293" i="12"/>
  <c r="P283" i="12" s="1"/>
  <c r="P301" i="12"/>
  <c r="P303" i="12" s="1"/>
  <c r="AI291" i="12"/>
  <c r="AL291" i="12" s="1"/>
  <c r="I50" i="4"/>
  <c r="H59" i="4" s="1"/>
  <c r="AC241" i="12" s="1"/>
  <c r="AI292" i="12"/>
  <c r="AL292" i="12" s="1"/>
  <c r="P251" i="12"/>
  <c r="R251" i="12" s="1"/>
  <c r="N242" i="12"/>
  <c r="N252" i="12" s="1"/>
  <c r="N238" i="12" s="1"/>
  <c r="N232" i="12" s="1"/>
  <c r="I242" i="12"/>
  <c r="K242" i="12"/>
  <c r="K252" i="12" s="1"/>
  <c r="K238" i="12" s="1"/>
  <c r="K233" i="12" s="1"/>
  <c r="L242" i="12"/>
  <c r="J242" i="12"/>
  <c r="J252" i="12" s="1"/>
  <c r="J238" i="12" s="1"/>
  <c r="J232" i="12" s="1"/>
  <c r="M242" i="12"/>
  <c r="M252" i="12" s="1"/>
  <c r="E115" i="12"/>
  <c r="R129" i="12"/>
  <c r="S134" i="12" s="1"/>
  <c r="C252" i="12"/>
  <c r="H54" i="4" l="1"/>
  <c r="H53" i="4"/>
  <c r="V226" i="1" s="1"/>
  <c r="V231" i="1" s="1"/>
  <c r="H52" i="4"/>
  <c r="H56" i="4"/>
  <c r="AH241" i="12" s="1"/>
  <c r="AH252" i="12" s="1"/>
  <c r="AH238" i="12" s="1"/>
  <c r="AH232" i="12" s="1"/>
  <c r="Y241" i="12"/>
  <c r="Y252" i="12" s="1"/>
  <c r="Y238" i="12" s="1"/>
  <c r="X226" i="1"/>
  <c r="X231" i="1" s="1"/>
  <c r="H55" i="4"/>
  <c r="H62" i="4"/>
  <c r="AF241" i="12" s="1"/>
  <c r="AF252" i="12" s="1"/>
  <c r="AF238" i="12" s="1"/>
  <c r="AF232" i="12" s="1"/>
  <c r="H61" i="4"/>
  <c r="Z226" i="1" s="1"/>
  <c r="Y303" i="12"/>
  <c r="AL303" i="12" s="1"/>
  <c r="H60" i="4"/>
  <c r="W241" i="12"/>
  <c r="W252" i="12" s="1"/>
  <c r="F60" i="4"/>
  <c r="F55" i="4"/>
  <c r="F61" i="4"/>
  <c r="Z159" i="1" s="1"/>
  <c r="Z164" i="1" s="1"/>
  <c r="F62" i="4"/>
  <c r="AF159" i="12" s="1"/>
  <c r="AF170" i="12" s="1"/>
  <c r="AF156" i="12" s="1"/>
  <c r="AF150" i="12" s="1"/>
  <c r="F52" i="4"/>
  <c r="F53" i="4"/>
  <c r="F54" i="4"/>
  <c r="F56" i="4"/>
  <c r="AH159" i="12" s="1"/>
  <c r="AH170" i="12" s="1"/>
  <c r="AH156" i="12" s="1"/>
  <c r="AH150" i="12" s="1"/>
  <c r="F57" i="4"/>
  <c r="AD159" i="12" s="1"/>
  <c r="AD170" i="12" s="1"/>
  <c r="AD156" i="12" s="1"/>
  <c r="F59" i="4"/>
  <c r="G61" i="4"/>
  <c r="Z191" i="1" s="1"/>
  <c r="Z196" i="1" s="1"/>
  <c r="G62" i="4"/>
  <c r="AF200" i="12" s="1"/>
  <c r="AF211" i="12" s="1"/>
  <c r="AF197" i="12" s="1"/>
  <c r="AF191" i="12" s="1"/>
  <c r="G52" i="4"/>
  <c r="G53" i="4"/>
  <c r="G54" i="4"/>
  <c r="G55" i="4"/>
  <c r="G60" i="4"/>
  <c r="G59" i="4"/>
  <c r="AC200" i="12" s="1"/>
  <c r="AC211" i="12" s="1"/>
  <c r="AC197" i="12" s="1"/>
  <c r="G56" i="4"/>
  <c r="AH200" i="12" s="1"/>
  <c r="AH211" i="12" s="1"/>
  <c r="AH197" i="12" s="1"/>
  <c r="AH191" i="12" s="1"/>
  <c r="G57" i="4"/>
  <c r="AD200" i="12" s="1"/>
  <c r="AD211" i="12" s="1"/>
  <c r="AD197" i="12" s="1"/>
  <c r="H57" i="4"/>
  <c r="AD241" i="12" s="1"/>
  <c r="AD252" i="12" s="1"/>
  <c r="AD238" i="12" s="1"/>
  <c r="R301" i="12"/>
  <c r="E303" i="12"/>
  <c r="R303" i="12" s="1"/>
  <c r="AF283" i="12"/>
  <c r="AJ292" i="12"/>
  <c r="AH283" i="12"/>
  <c r="AH293" i="12" s="1"/>
  <c r="AH279" i="12" s="1"/>
  <c r="AH273" i="12" s="1"/>
  <c r="AG283" i="12"/>
  <c r="AG293" i="12" s="1"/>
  <c r="AC283" i="12"/>
  <c r="AE283" i="12"/>
  <c r="AD283" i="12"/>
  <c r="C293" i="12"/>
  <c r="I40" i="4"/>
  <c r="G255" i="1" s="1"/>
  <c r="G260" i="1" s="1"/>
  <c r="I41" i="4"/>
  <c r="L282" i="12" s="1"/>
  <c r="I34" i="4"/>
  <c r="I39" i="4"/>
  <c r="I38" i="4"/>
  <c r="L252" i="12"/>
  <c r="L238" i="12" s="1"/>
  <c r="L232" i="12" s="1"/>
  <c r="I200" i="12"/>
  <c r="I211" i="12" s="1"/>
  <c r="I197" i="12" s="1"/>
  <c r="I192" i="12" s="1"/>
  <c r="O191" i="1"/>
  <c r="O196" i="1" s="1"/>
  <c r="Y293" i="12"/>
  <c r="AL242" i="12"/>
  <c r="O226" i="1"/>
  <c r="O231" i="1" s="1"/>
  <c r="I241" i="12"/>
  <c r="I252" i="12" s="1"/>
  <c r="I238" i="12" s="1"/>
  <c r="I233" i="12" s="1"/>
  <c r="G43" i="4"/>
  <c r="G33" i="4"/>
  <c r="H200" i="12"/>
  <c r="H211" i="12" s="1"/>
  <c r="H197" i="12" s="1"/>
  <c r="H191" i="12" s="1"/>
  <c r="R191" i="12" s="1"/>
  <c r="H43" i="4"/>
  <c r="H33" i="4"/>
  <c r="H241" i="12"/>
  <c r="H252" i="12" s="1"/>
  <c r="H238" i="12" s="1"/>
  <c r="H232" i="12" s="1"/>
  <c r="R115" i="12"/>
  <c r="E110" i="12"/>
  <c r="R110" i="12" s="1"/>
  <c r="C260" i="1"/>
  <c r="R242" i="12"/>
  <c r="AA191" i="1"/>
  <c r="AA196" i="1" s="1"/>
  <c r="F42" i="4"/>
  <c r="E159" i="1"/>
  <c r="E159" i="12"/>
  <c r="AD293" i="12"/>
  <c r="AD279" i="12" s="1"/>
  <c r="AF293" i="12"/>
  <c r="AF279" i="12" s="1"/>
  <c r="AF273" i="12" s="1"/>
  <c r="V260" i="1"/>
  <c r="L283" i="12"/>
  <c r="K283" i="12"/>
  <c r="K293" i="12" s="1"/>
  <c r="K279" i="12" s="1"/>
  <c r="K274" i="12" s="1"/>
  <c r="N283" i="12"/>
  <c r="N293" i="12" s="1"/>
  <c r="N279" i="12" s="1"/>
  <c r="N273" i="12" s="1"/>
  <c r="P292" i="12"/>
  <c r="R292" i="12" s="1"/>
  <c r="I283" i="12"/>
  <c r="J283" i="12"/>
  <c r="J293" i="12" s="1"/>
  <c r="J279" i="12" s="1"/>
  <c r="J273" i="12" s="1"/>
  <c r="M283" i="12"/>
  <c r="M293" i="12" s="1"/>
  <c r="G58" i="4" l="1"/>
  <c r="AE200" i="12" s="1"/>
  <c r="AE211" i="12" s="1"/>
  <c r="AE197" i="12" s="1"/>
  <c r="Y159" i="12"/>
  <c r="Y170" i="12" s="1"/>
  <c r="Y156" i="12" s="1"/>
  <c r="X159" i="1"/>
  <c r="X164" i="1" s="1"/>
  <c r="V159" i="1"/>
  <c r="W159" i="12"/>
  <c r="AB241" i="12"/>
  <c r="AB252" i="12" s="1"/>
  <c r="F58" i="4"/>
  <c r="AE159" i="12" s="1"/>
  <c r="AE170" i="12" s="1"/>
  <c r="AE156" i="12" s="1"/>
  <c r="H63" i="4"/>
  <c r="AC159" i="12"/>
  <c r="AC170" i="12" s="1"/>
  <c r="AC156" i="12" s="1"/>
  <c r="AA159" i="1"/>
  <c r="AA164" i="1" s="1"/>
  <c r="X191" i="1"/>
  <c r="X196" i="1" s="1"/>
  <c r="Y200" i="12"/>
  <c r="Y211" i="12" s="1"/>
  <c r="Y197" i="12" s="1"/>
  <c r="AB200" i="12"/>
  <c r="AB211" i="12" s="1"/>
  <c r="AB197" i="12" s="1"/>
  <c r="H58" i="4"/>
  <c r="AE241" i="12" s="1"/>
  <c r="AE252" i="12" s="1"/>
  <c r="AE238" i="12" s="1"/>
  <c r="W200" i="12"/>
  <c r="W211" i="12" s="1"/>
  <c r="V191" i="1"/>
  <c r="V196" i="1" s="1"/>
  <c r="AB159" i="12"/>
  <c r="AB170" i="12" s="1"/>
  <c r="AB156" i="12" s="1"/>
  <c r="Z231" i="1"/>
  <c r="Z255" i="1"/>
  <c r="Y279" i="12"/>
  <c r="AL283" i="12"/>
  <c r="E170" i="12"/>
  <c r="R159" i="12"/>
  <c r="I282" i="12"/>
  <c r="I293" i="12" s="1"/>
  <c r="I279" i="12" s="1"/>
  <c r="I274" i="12" s="1"/>
  <c r="O255" i="1"/>
  <c r="O260" i="1" s="1"/>
  <c r="G42" i="4"/>
  <c r="E200" i="12"/>
  <c r="E191" i="1"/>
  <c r="E164" i="1"/>
  <c r="S164" i="1" s="1"/>
  <c r="S159" i="1"/>
  <c r="I33" i="4"/>
  <c r="I43" i="4"/>
  <c r="H282" i="12"/>
  <c r="H293" i="12" s="1"/>
  <c r="H279" i="12" s="1"/>
  <c r="H273" i="12" s="1"/>
  <c r="R232" i="12"/>
  <c r="L293" i="12"/>
  <c r="L279" i="12" s="1"/>
  <c r="L273" i="12" s="1"/>
  <c r="R283" i="12"/>
  <c r="AC252" i="12"/>
  <c r="AC238" i="12" s="1"/>
  <c r="AA226" i="1"/>
  <c r="AA231" i="1" s="1"/>
  <c r="H42" i="4"/>
  <c r="E226" i="1"/>
  <c r="E241" i="12"/>
  <c r="AE293" i="12"/>
  <c r="AE279" i="12" s="1"/>
  <c r="G64" i="4" l="1"/>
  <c r="AL211" i="12"/>
  <c r="AL151" i="12"/>
  <c r="AL150" i="12"/>
  <c r="AL192" i="12"/>
  <c r="AE196" i="1"/>
  <c r="F64" i="4"/>
  <c r="F63" i="4"/>
  <c r="H64" i="4"/>
  <c r="AE191" i="1"/>
  <c r="W170" i="12"/>
  <c r="AL170" i="12" s="1"/>
  <c r="AL159" i="12"/>
  <c r="V164" i="1"/>
  <c r="AE164" i="1" s="1"/>
  <c r="AE159" i="1"/>
  <c r="AL200" i="12"/>
  <c r="G63" i="4"/>
  <c r="AL156" i="12"/>
  <c r="AE226" i="1"/>
  <c r="AE231" i="1"/>
  <c r="AL197" i="12"/>
  <c r="Z260" i="1"/>
  <c r="AL241" i="12"/>
  <c r="AL233" i="12"/>
  <c r="AB293" i="12"/>
  <c r="AB238" i="12"/>
  <c r="AL252" i="12"/>
  <c r="E211" i="12"/>
  <c r="R200" i="12"/>
  <c r="E252" i="12"/>
  <c r="R241" i="12"/>
  <c r="E156" i="12"/>
  <c r="R170" i="12"/>
  <c r="S172" i="12" s="1"/>
  <c r="AC293" i="12"/>
  <c r="AC279" i="12" s="1"/>
  <c r="AA255" i="1"/>
  <c r="AA260" i="1" s="1"/>
  <c r="E231" i="1"/>
  <c r="S231" i="1" s="1"/>
  <c r="S226" i="1"/>
  <c r="R273" i="12"/>
  <c r="I42" i="4"/>
  <c r="E282" i="12"/>
  <c r="E255" i="1"/>
  <c r="E196" i="1"/>
  <c r="S196" i="1" s="1"/>
  <c r="S191" i="1"/>
  <c r="AL191" i="12" l="1"/>
  <c r="AB279" i="12"/>
  <c r="AL293" i="12"/>
  <c r="AL232" i="12"/>
  <c r="AL238" i="12"/>
  <c r="AL282" i="12"/>
  <c r="AL274" i="12"/>
  <c r="AE260" i="1"/>
  <c r="AE255" i="1"/>
  <c r="R156" i="12"/>
  <c r="E151" i="12"/>
  <c r="R151" i="12" s="1"/>
  <c r="E260" i="1"/>
  <c r="S260" i="1" s="1"/>
  <c r="S255" i="1"/>
  <c r="E293" i="12"/>
  <c r="R282" i="12"/>
  <c r="E238" i="12"/>
  <c r="R252" i="12"/>
  <c r="S252" i="12" s="1"/>
  <c r="E197" i="12"/>
  <c r="R211" i="12"/>
  <c r="S215" i="12" s="1"/>
  <c r="AL273" i="12" l="1"/>
  <c r="AL279" i="12"/>
  <c r="E192" i="12"/>
  <c r="R192" i="12" s="1"/>
  <c r="R197" i="12"/>
  <c r="R238" i="12"/>
  <c r="E233" i="12"/>
  <c r="R233" i="12" s="1"/>
  <c r="E279" i="12"/>
  <c r="R293" i="12"/>
  <c r="S293" i="12" s="1"/>
  <c r="R279" i="12" l="1"/>
  <c r="E274" i="12"/>
  <c r="R274" i="12" s="1"/>
  <c r="AL74" i="12" l="1"/>
  <c r="AD68" i="12"/>
  <c r="AL68" i="12" s="1"/>
  <c r="AL115" i="12"/>
  <c r="AD109" i="12"/>
  <c r="AL109" i="12" s="1"/>
</calcChain>
</file>

<file path=xl/comments1.xml><?xml version="1.0" encoding="utf-8"?>
<comments xmlns="http://schemas.openxmlformats.org/spreadsheetml/2006/main">
  <authors>
    <author>CHAIGNEAU Yanis</author>
  </authors>
  <commentList>
    <comment ref="V17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Sorte d'hypothèse de cogé</t>
        </r>
      </text>
    </comment>
    <comment ref="K69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Dans l'AME, on suppose une importation de 100% de la biomasse liqiude ? Pourrait être un paramètre exogène</t>
        </r>
      </text>
    </comment>
    <comment ref="AE69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Dans l'AME, on suppose une importation de 100% de la biomasse liqiude ? Pourrait être un paramètre exogène</t>
        </r>
      </text>
    </comment>
    <comment ref="K110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Dans l'AME, on suppose une importation de 100% de la biomasse liqiude ? Pourrait être un paramètre exogène</t>
        </r>
      </text>
    </comment>
    <comment ref="AE110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Dans l'AME, on suppose une importation de 100% de la biomasse liqiude ? Pourrait être un paramètre exogène</t>
        </r>
      </text>
    </comment>
    <comment ref="K151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Dans l'AME, on suppose une importation de 100% de la biomasse liqiude ? Pourrait être un paramètre exogène</t>
        </r>
      </text>
    </comment>
    <comment ref="AE151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Dans l'AME, on suppose une importation de 100% de la biomasse liqiude ? Pourrait être un paramètre exogène</t>
        </r>
      </text>
    </comment>
    <comment ref="K192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Dans l'AME, on suppose une importation de 100% de la biomasse liqiude ? Pourrait être un paramètre exogène</t>
        </r>
      </text>
    </comment>
    <comment ref="AE192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Dans l'AME, on suppose une importation de 100% de la biomasse liqiude ? Pourrait être un paramètre exogène</t>
        </r>
      </text>
    </comment>
    <comment ref="K233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Dans l'AME, on suppose une importation de 100% de la biomasse liqiude ? Pourrait être un paramètre exogène</t>
        </r>
      </text>
    </comment>
    <comment ref="AE233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Dans l'AME, on suppose une importation de 100% de la biomasse liqiude ? Pourrait être un paramètre exogène</t>
        </r>
      </text>
    </comment>
    <comment ref="K274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Dans l'AME, on suppose une importation de 100% de la biomasse liqiude ? Pourrait être un paramètre exogène</t>
        </r>
      </text>
    </comment>
    <comment ref="AE274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Dans l'AME, on suppose une importation de 100% de la biomasse liqiude ? Pourrait être un paramètre exogène</t>
        </r>
      </text>
    </comment>
  </commentList>
</comments>
</file>

<file path=xl/comments2.xml><?xml version="1.0" encoding="utf-8"?>
<comments xmlns="http://schemas.openxmlformats.org/spreadsheetml/2006/main">
  <authors>
    <author>CHAIGNEAU Yanis</author>
  </authors>
  <commentList>
    <comment ref="A30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Voir page 100 - 101</t>
        </r>
      </text>
    </comment>
    <comment ref="D40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J'inclus énergies marines</t>
        </r>
      </text>
    </comment>
    <comment ref="I43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On fait une régression sur le taux d'ENR en essayant de fitter, mais ne devrait-on pas se baser sur la ppe ?</t>
        </r>
      </text>
    </comment>
    <comment ref="D61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J'inclus énergies marines</t>
        </r>
      </text>
    </comment>
  </commentList>
</comments>
</file>

<file path=xl/comments3.xml><?xml version="1.0" encoding="utf-8"?>
<comments xmlns="http://schemas.openxmlformats.org/spreadsheetml/2006/main">
  <authors>
    <author>CHAIGNEAU Yanis</author>
  </authors>
  <commentList>
    <comment ref="I31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Basé sur 2020 non 2019</t>
        </r>
      </text>
    </comment>
  </commentList>
</comments>
</file>

<file path=xl/sharedStrings.xml><?xml version="1.0" encoding="utf-8"?>
<sst xmlns="http://schemas.openxmlformats.org/spreadsheetml/2006/main" count="2854" uniqueCount="614">
  <si>
    <t>Emissions non-énergétiques</t>
  </si>
  <si>
    <t>AME</t>
  </si>
  <si>
    <t>AMS</t>
  </si>
  <si>
    <t>ktCO2eq</t>
  </si>
  <si>
    <t>Agriculture</t>
  </si>
  <si>
    <t>Dont N2O</t>
  </si>
  <si>
    <t>Dont CH4</t>
  </si>
  <si>
    <t>Déchets</t>
  </si>
  <si>
    <t>LULUCF</t>
  </si>
  <si>
    <t>Bilans énergétiques</t>
  </si>
  <si>
    <t>AME 2023</t>
  </si>
  <si>
    <t>AMS 2023</t>
  </si>
  <si>
    <t>GWh</t>
  </si>
  <si>
    <t>observé SDES</t>
  </si>
  <si>
    <t>Charbon</t>
  </si>
  <si>
    <t>Pétrole brut</t>
  </si>
  <si>
    <t>Produits pétroliers raffinés</t>
  </si>
  <si>
    <t>Gaz naturel</t>
  </si>
  <si>
    <t>EnR électriques</t>
  </si>
  <si>
    <t>EnR thermiques et déchets</t>
  </si>
  <si>
    <t>Electricité</t>
  </si>
  <si>
    <t>Chaleur vendue</t>
  </si>
  <si>
    <t>H2</t>
  </si>
  <si>
    <t>Total</t>
  </si>
  <si>
    <t>Production d'énergie primaire</t>
  </si>
  <si>
    <t>Hydraulique</t>
  </si>
  <si>
    <t>Eolien</t>
  </si>
  <si>
    <t>Photovoltaïque</t>
  </si>
  <si>
    <t>Importations</t>
  </si>
  <si>
    <t>Exportations</t>
  </si>
  <si>
    <t>Soutes maritimes internationales</t>
  </si>
  <si>
    <t>Soutes aériennes internationales</t>
  </si>
  <si>
    <t>Variations de stocks (+ = déstockage, - = stockage)</t>
  </si>
  <si>
    <t>Consommation primaire</t>
  </si>
  <si>
    <t>Ecart statistique</t>
  </si>
  <si>
    <t>Production d'électricité et de chaleur</t>
  </si>
  <si>
    <t>Raffinage de pétrole</t>
  </si>
  <si>
    <t>Autres transformations, transferts</t>
  </si>
  <si>
    <t>Usages internes de la branche énergie</t>
  </si>
  <si>
    <t>Pertes de transport et de distribution</t>
  </si>
  <si>
    <t>Consommation nette de la branche énergie</t>
  </si>
  <si>
    <t>Industrie</t>
  </si>
  <si>
    <t>Transport</t>
  </si>
  <si>
    <t>Résidentiel</t>
  </si>
  <si>
    <t>Tertiaire</t>
  </si>
  <si>
    <t>Consommation finale énergétique</t>
  </si>
  <si>
    <t>Consommation finale non énergétique</t>
  </si>
  <si>
    <t>Consommation finale</t>
  </si>
  <si>
    <t>UI/prod</t>
  </si>
  <si>
    <t>pertes/prod</t>
  </si>
  <si>
    <t>Chaleur</t>
  </si>
  <si>
    <t>ELEC</t>
  </si>
  <si>
    <t>Rendement transfo elec</t>
  </si>
  <si>
    <t>Moy</t>
  </si>
  <si>
    <t>Modélisé</t>
  </si>
  <si>
    <t xml:space="preserve">1. Historique </t>
  </si>
  <si>
    <t>Année</t>
  </si>
  <si>
    <t>Population (2010-2021 ; hab.)</t>
  </si>
  <si>
    <r>
      <rPr>
        <sz val="11"/>
        <color rgb="FF000000"/>
        <rFont val="Calibri"/>
        <family val="2"/>
        <charset val="1"/>
      </rPr>
      <t>PIB (millions d</t>
    </r>
    <r>
      <rPr>
        <sz val="11"/>
        <color rgb="FFFF0000"/>
        <rFont val="Calibri"/>
        <family val="2"/>
        <charset val="1"/>
      </rPr>
      <t>'euros base 2014</t>
    </r>
    <r>
      <rPr>
        <sz val="11"/>
        <color rgb="FF000000"/>
        <rFont val="Calibri"/>
        <family val="2"/>
        <charset val="1"/>
      </rPr>
      <t>)</t>
    </r>
  </si>
  <si>
    <t xml:space="preserve">en valeur ; INSEE 1999-2015 ; 2015-2018 INSEE ; 2019 IEDOM </t>
  </si>
  <si>
    <r>
      <rPr>
        <sz val="11"/>
        <color rgb="FF000000"/>
        <rFont val="Calibri"/>
        <family val="2"/>
        <charset val="1"/>
      </rPr>
      <t>PIB/hab. (e/hab.</t>
    </r>
    <r>
      <rPr>
        <sz val="11"/>
        <color rgb="FFFF0000"/>
        <rFont val="Calibri"/>
        <family val="2"/>
        <charset val="1"/>
      </rPr>
      <t>base 2014</t>
    </r>
    <r>
      <rPr>
        <sz val="11"/>
        <color rgb="FF000000"/>
        <rFont val="Calibri"/>
        <family val="2"/>
        <charset val="1"/>
      </rPr>
      <t>)</t>
    </r>
  </si>
  <si>
    <t>IEDOM</t>
  </si>
  <si>
    <t>2. AMS - AME 2023</t>
  </si>
  <si>
    <t xml:space="preserve">Réunion </t>
  </si>
  <si>
    <t>DOM</t>
  </si>
  <si>
    <t>Population (en millions)</t>
  </si>
  <si>
    <t>PIB ( en millions d’euros 2014)</t>
  </si>
  <si>
    <t>PIB/habitant  (€/hab.)</t>
  </si>
  <si>
    <t xml:space="preserve">3. AME 2021 </t>
  </si>
  <si>
    <t>France</t>
  </si>
  <si>
    <t>Population (2014)</t>
  </si>
  <si>
    <t>844 886</t>
  </si>
  <si>
    <t>2 104 556</t>
  </si>
  <si>
    <t>66 290 596</t>
  </si>
  <si>
    <t>PIB (2014, en millions d’euros 2010)</t>
  </si>
  <si>
    <t>16 533</t>
  </si>
  <si>
    <t>39 198</t>
  </si>
  <si>
    <t>2 068 624</t>
  </si>
  <si>
    <t>PIB/habitant (2014, €/hab.)</t>
  </si>
  <si>
    <t>19 831</t>
  </si>
  <si>
    <t>18 625</t>
  </si>
  <si>
    <t>31 205</t>
  </si>
  <si>
    <t>Taux de croissance annuel moyen</t>
  </si>
  <si>
    <t>Population (1994-2004)</t>
  </si>
  <si>
    <t>Population (2004-2014)</t>
  </si>
  <si>
    <t xml:space="preserve">4. AMS 2018 </t>
  </si>
  <si>
    <t xml:space="preserve">II. Totale des gaz à effets de serre  </t>
  </si>
  <si>
    <t>Récapitulatif des émissions par grand secteur</t>
  </si>
  <si>
    <r>
      <rPr>
        <b/>
        <i/>
        <sz val="9"/>
        <rFont val="Trebuchet MS"/>
        <family val="2"/>
        <charset val="1"/>
      </rPr>
      <t>Emissions de CO</t>
    </r>
    <r>
      <rPr>
        <b/>
        <i/>
        <vertAlign val="subscript"/>
        <sz val="9"/>
        <rFont val="Trebuchet MS"/>
        <family val="2"/>
        <charset val="1"/>
      </rPr>
      <t>2</t>
    </r>
    <r>
      <rPr>
        <b/>
        <i/>
        <sz val="9"/>
        <rFont val="Trebuchet MS"/>
        <family val="2"/>
        <charset val="1"/>
      </rPr>
      <t>e (ktCO</t>
    </r>
    <r>
      <rPr>
        <b/>
        <i/>
        <vertAlign val="subscript"/>
        <sz val="9"/>
        <rFont val="Trebuchet MS"/>
        <family val="2"/>
        <charset val="1"/>
      </rPr>
      <t>2</t>
    </r>
    <r>
      <rPr>
        <b/>
        <i/>
        <sz val="9"/>
        <rFont val="Trebuchet MS"/>
        <family val="2"/>
        <charset val="1"/>
      </rPr>
      <t>e/an)
Périmètre : La Réunion</t>
    </r>
  </si>
  <si>
    <r>
      <rPr>
        <sz val="9"/>
        <color rgb="FF000000"/>
        <rFont val="Trebuchet MS"/>
        <family val="2"/>
        <charset val="1"/>
      </rPr>
      <t>CO</t>
    </r>
    <r>
      <rPr>
        <vertAlign val="subscript"/>
        <sz val="9"/>
        <color rgb="FF000000"/>
        <rFont val="Trebuchet MS"/>
        <family val="2"/>
        <charset val="1"/>
      </rPr>
      <t>2</t>
    </r>
    <r>
      <rPr>
        <sz val="9"/>
        <color rgb="FF000000"/>
        <rFont val="Trebuchet MS"/>
        <family val="2"/>
        <charset val="1"/>
      </rPr>
      <t>e</t>
    </r>
  </si>
  <si>
    <t>1990-2019</t>
  </si>
  <si>
    <t>2018-2019</t>
  </si>
  <si>
    <t>Industrie de l'énergie</t>
  </si>
  <si>
    <t>Industrie manufacturière et construction</t>
  </si>
  <si>
    <t>Traitement centralisé des déchets</t>
  </si>
  <si>
    <t>Usage des bâtiments et activités résidentiels/tertiaires</t>
  </si>
  <si>
    <t>Résidentiel / tertiaire</t>
  </si>
  <si>
    <t>Transports</t>
  </si>
  <si>
    <t>Transport hors total</t>
  </si>
  <si>
    <t>TOTAL national hors UTCATF</t>
  </si>
  <si>
    <t>UTCATF</t>
  </si>
  <si>
    <t>UTCATF Hors total</t>
  </si>
  <si>
    <t>Emissions naturelles hors total</t>
  </si>
  <si>
    <t>TOTAL national avec UTCATF</t>
  </si>
  <si>
    <t>Hors total</t>
  </si>
  <si>
    <t>Emissions dans l'air - Source Citepa édition 2021 - inventaire national d'émissions de gaz à effet de serre et de polluants atmosphériques en Outre-mer - citepa.org</t>
  </si>
  <si>
    <t>Méthodologie d'estimation : citepa.org/ominea</t>
  </si>
  <si>
    <t>Valeurs des PRG dans l'inventaire</t>
  </si>
  <si>
    <t>Pouvoir de réchauffement global à 100 ans</t>
  </si>
  <si>
    <t>Gaz à effet de serre</t>
  </si>
  <si>
    <r>
      <rPr>
        <sz val="9"/>
        <color rgb="FF7F7F7F"/>
        <rFont val="Trebuchet MS"/>
        <family val="2"/>
        <charset val="1"/>
      </rPr>
      <t>D’après le 1</t>
    </r>
    <r>
      <rPr>
        <vertAlign val="superscript"/>
        <sz val="9"/>
        <color rgb="FF7F7F7F"/>
        <rFont val="Trebuchet MS"/>
        <family val="2"/>
        <charset val="1"/>
      </rPr>
      <t>er</t>
    </r>
    <r>
      <rPr>
        <sz val="9"/>
        <color rgb="FF7F7F7F"/>
        <rFont val="Trebuchet MS"/>
        <family val="2"/>
        <charset val="1"/>
      </rPr>
      <t xml:space="preserve"> rapport (« FAR ») </t>
    </r>
  </si>
  <si>
    <r>
      <rPr>
        <sz val="9"/>
        <color rgb="FF7F7F7F"/>
        <rFont val="Trebuchet MS"/>
        <family val="2"/>
        <charset val="1"/>
      </rPr>
      <t>D’après le 2</t>
    </r>
    <r>
      <rPr>
        <vertAlign val="superscript"/>
        <sz val="9"/>
        <color rgb="FF7F7F7F"/>
        <rFont val="Trebuchet MS"/>
        <family val="2"/>
        <charset val="1"/>
      </rPr>
      <t>e</t>
    </r>
    <r>
      <rPr>
        <sz val="9"/>
        <color rgb="FF7F7F7F"/>
        <rFont val="Trebuchet MS"/>
        <family val="2"/>
        <charset val="1"/>
      </rPr>
      <t xml:space="preserve"> rapport (« SAR »)</t>
    </r>
  </si>
  <si>
    <r>
      <rPr>
        <sz val="9"/>
        <color rgb="FF7F7F7F"/>
        <rFont val="Trebuchet MS"/>
        <family val="2"/>
        <charset val="1"/>
      </rPr>
      <t>D’après le 3</t>
    </r>
    <r>
      <rPr>
        <vertAlign val="superscript"/>
        <sz val="9"/>
        <color rgb="FF7F7F7F"/>
        <rFont val="Trebuchet MS"/>
        <family val="2"/>
        <charset val="1"/>
      </rPr>
      <t>e</t>
    </r>
    <r>
      <rPr>
        <sz val="9"/>
        <color rgb="FF7F7F7F"/>
        <rFont val="Trebuchet MS"/>
        <family val="2"/>
        <charset val="1"/>
      </rPr>
      <t xml:space="preserve"> rapport (« TAR ») </t>
    </r>
  </si>
  <si>
    <r>
      <rPr>
        <sz val="9"/>
        <color rgb="FF000000"/>
        <rFont val="Trebuchet MS"/>
        <family val="2"/>
        <charset val="1"/>
      </rPr>
      <t>D’après le 4</t>
    </r>
    <r>
      <rPr>
        <vertAlign val="superscript"/>
        <sz val="9"/>
        <color rgb="FF000000"/>
        <rFont val="Trebuchet MS"/>
        <family val="2"/>
        <charset val="1"/>
      </rPr>
      <t>e</t>
    </r>
    <r>
      <rPr>
        <sz val="9"/>
        <color rgb="FF000000"/>
        <rFont val="Trebuchet MS"/>
        <family val="2"/>
        <charset val="1"/>
      </rPr>
      <t xml:space="preserve"> rapport (« AR4 ») </t>
    </r>
  </si>
  <si>
    <r>
      <rPr>
        <sz val="9"/>
        <color rgb="FF7F7F7F"/>
        <rFont val="Trebuchet MS"/>
        <family val="2"/>
        <charset val="1"/>
      </rPr>
      <t>D’après le 5</t>
    </r>
    <r>
      <rPr>
        <vertAlign val="superscript"/>
        <sz val="9"/>
        <color rgb="FF7F7F7F"/>
        <rFont val="Trebuchet MS"/>
        <family val="2"/>
        <charset val="1"/>
      </rPr>
      <t>e</t>
    </r>
    <r>
      <rPr>
        <sz val="9"/>
        <color rgb="FF7F7F7F"/>
        <rFont val="Trebuchet MS"/>
        <family val="2"/>
        <charset val="1"/>
      </rPr>
      <t xml:space="preserve"> rapport (« AR5 ») </t>
    </r>
  </si>
  <si>
    <r>
      <rPr>
        <sz val="9"/>
        <color rgb="FF7F7F7F"/>
        <rFont val="Trebuchet MS"/>
        <family val="2"/>
        <charset val="1"/>
      </rPr>
      <t>D’après le 5</t>
    </r>
    <r>
      <rPr>
        <vertAlign val="superscript"/>
        <sz val="9"/>
        <color rgb="FF7F7F7F"/>
        <rFont val="Trebuchet MS"/>
        <family val="2"/>
        <charset val="1"/>
      </rPr>
      <t>e</t>
    </r>
    <r>
      <rPr>
        <sz val="9"/>
        <color rgb="FF7F7F7F"/>
        <rFont val="Trebuchet MS"/>
        <family val="2"/>
        <charset val="1"/>
      </rPr>
      <t xml:space="preserve"> rapport (« AR6 ») </t>
    </r>
  </si>
  <si>
    <t>de 1990</t>
  </si>
  <si>
    <t>de 1995</t>
  </si>
  <si>
    <t>de 2001</t>
  </si>
  <si>
    <t>de 2007</t>
  </si>
  <si>
    <t>de 2014</t>
  </si>
  <si>
    <t>de 2021</t>
  </si>
  <si>
    <r>
      <rPr>
        <sz val="8"/>
        <color rgb="FF000000"/>
        <rFont val="Trebuchet MS"/>
        <family val="2"/>
        <charset val="1"/>
      </rPr>
      <t>CO</t>
    </r>
    <r>
      <rPr>
        <vertAlign val="subscript"/>
        <sz val="8"/>
        <color rgb="FF000000"/>
        <rFont val="Trebuchet MS"/>
        <family val="2"/>
        <charset val="1"/>
      </rPr>
      <t>2</t>
    </r>
  </si>
  <si>
    <r>
      <rPr>
        <sz val="8"/>
        <color rgb="FF000000"/>
        <rFont val="Trebuchet MS"/>
        <family val="2"/>
        <charset val="1"/>
      </rPr>
      <t>CH</t>
    </r>
    <r>
      <rPr>
        <vertAlign val="subscript"/>
        <sz val="8"/>
        <color rgb="FF000000"/>
        <rFont val="Trebuchet MS"/>
        <family val="2"/>
        <charset val="1"/>
      </rPr>
      <t>4</t>
    </r>
  </si>
  <si>
    <t>En cours de définition</t>
  </si>
  <si>
    <r>
      <rPr>
        <sz val="8"/>
        <color rgb="FF000000"/>
        <rFont val="Trebuchet MS"/>
        <family val="2"/>
        <charset val="1"/>
      </rPr>
      <t>N</t>
    </r>
    <r>
      <rPr>
        <vertAlign val="subscript"/>
        <sz val="8"/>
        <color rgb="FF000000"/>
        <rFont val="Trebuchet MS"/>
        <family val="2"/>
        <charset val="1"/>
      </rPr>
      <t>2</t>
    </r>
    <r>
      <rPr>
        <sz val="8"/>
        <color rgb="FF000000"/>
        <rFont val="Trebuchet MS"/>
        <family val="2"/>
        <charset val="1"/>
      </rPr>
      <t>O</t>
    </r>
  </si>
  <si>
    <t>HFC*</t>
  </si>
  <si>
    <t>140 à 2 900</t>
  </si>
  <si>
    <t>140 à 11 700*</t>
  </si>
  <si>
    <t>12 à 12 000*</t>
  </si>
  <si>
    <t>124 à 14 800*</t>
  </si>
  <si>
    <t>&lt;1 à 12 400*</t>
  </si>
  <si>
    <t>PFC*</t>
  </si>
  <si>
    <t>n.e.</t>
  </si>
  <si>
    <t>6 500 à 9 200*</t>
  </si>
  <si>
    <t>5 700 à 11 900*</t>
  </si>
  <si>
    <t>7 390 à 12 200*</t>
  </si>
  <si>
    <t>&lt;1 à 11 100*</t>
  </si>
  <si>
    <r>
      <rPr>
        <sz val="8"/>
        <color rgb="FF000000"/>
        <rFont val="Trebuchet MS"/>
        <family val="2"/>
        <charset val="1"/>
      </rPr>
      <t>SF</t>
    </r>
    <r>
      <rPr>
        <vertAlign val="subscript"/>
        <sz val="8"/>
        <color rgb="FF000000"/>
        <rFont val="Trebuchet MS"/>
        <family val="2"/>
        <charset val="1"/>
      </rPr>
      <t>6</t>
    </r>
  </si>
  <si>
    <t>23 500</t>
  </si>
  <si>
    <r>
      <rPr>
        <sz val="8"/>
        <color rgb="FF000000"/>
        <rFont val="Trebuchet MS"/>
        <family val="2"/>
        <charset val="1"/>
      </rPr>
      <t>NF</t>
    </r>
    <r>
      <rPr>
        <vertAlign val="subscript"/>
        <sz val="8"/>
        <color rgb="FF000000"/>
        <rFont val="Trebuchet MS"/>
        <family val="2"/>
        <charset val="1"/>
      </rPr>
      <t>3</t>
    </r>
  </si>
  <si>
    <t>16 100</t>
  </si>
  <si>
    <t>Utilisation dans l’inventaire</t>
  </si>
  <si>
    <t>Jamais</t>
  </si>
  <si>
    <t>Référence obligatoire dans les inventaires publiés jusqu’en 2015</t>
  </si>
  <si>
    <t>Obligatoire / valeurs de référence actuelles</t>
  </si>
  <si>
    <t>Utilisation prévue pour la réalisation de l’inventaire 2021</t>
  </si>
  <si>
    <t>Mix électrique  (en %)</t>
  </si>
  <si>
    <t>Pétrole</t>
  </si>
  <si>
    <t>Géothermie</t>
  </si>
  <si>
    <t>Biogaz</t>
  </si>
  <si>
    <t>ENR</t>
  </si>
  <si>
    <t>2. AME 2023</t>
  </si>
  <si>
    <t>4. AME 2021</t>
  </si>
  <si>
    <t>Mix électrique (en %)</t>
  </si>
  <si>
    <t>Source : Iedom 2019, EDF</t>
  </si>
  <si>
    <t>https://energies-reunion.com/nos-actions/observation/ber-2019-edition-2020/</t>
  </si>
  <si>
    <t>Hypothèse: part ENR identique à PPE 2028 et sortie du charbon [AME18 : PPE 2023 72 %EnR]</t>
  </si>
  <si>
    <t>3. AMS 2023</t>
  </si>
  <si>
    <t>5. AMS 2018</t>
  </si>
  <si>
    <t>40 188</t>
  </si>
  <si>
    <t>1 220</t>
  </si>
  <si>
    <t>1 120</t>
  </si>
  <si>
    <t>Historique des parcs</t>
  </si>
  <si>
    <t>2007</t>
  </si>
  <si>
    <t>2014</t>
  </si>
  <si>
    <t>2015</t>
  </si>
  <si>
    <t>2016</t>
  </si>
  <si>
    <t>2017</t>
  </si>
  <si>
    <t>TR04Voitures particulières et commerciales</t>
  </si>
  <si>
    <t>dont essence</t>
  </si>
  <si>
    <t>dont diesel</t>
  </si>
  <si>
    <t>TR04Autocars et autobus</t>
  </si>
  <si>
    <t>TR04Camions, camionnettes et véhicules automoteurs spécialisés</t>
  </si>
  <si>
    <t>TR04Tracteurs routiers</t>
  </si>
  <si>
    <t>Historique des bilans de l'énergie</t>
  </si>
  <si>
    <t>Consommations carburants (m³) - estimations antérieures</t>
  </si>
  <si>
    <t>Ajustement</t>
  </si>
  <si>
    <t>2014 - ajusté</t>
  </si>
  <si>
    <t>% VP et CC dans les consos</t>
  </si>
  <si>
    <t>Essence</t>
  </si>
  <si>
    <t>VP moy (kWh/véh)</t>
  </si>
  <si>
    <t>Gazole</t>
  </si>
  <si>
    <t>CC moy (kWh/véh)</t>
  </si>
  <si>
    <t>Estimation conso annuelle VP essence (m³/véhicule)</t>
  </si>
  <si>
    <t>VP - conso en GWh</t>
  </si>
  <si>
    <t>Estimation conso annuelle VP diesel (m³/véhicule)</t>
  </si>
  <si>
    <t>CC - conso en GWh</t>
  </si>
  <si>
    <t>Estimation conso annuelle CC (m³/véhicule)</t>
  </si>
  <si>
    <t>Consos (GWh)</t>
  </si>
  <si>
    <t>Conso unitaire diesel</t>
  </si>
  <si>
    <t>Projections parc AME</t>
  </si>
  <si>
    <t>Population (rappel)</t>
  </si>
  <si>
    <t>Taux d’équipement (VP/hab.)</t>
  </si>
  <si>
    <t>Voitures particulières et commerciales</t>
  </si>
  <si>
    <t>Camions, camionnettes et véhicules automoteurs spécialisés</t>
  </si>
  <si>
    <t>Projections consommation AME</t>
  </si>
  <si>
    <t>Evolution du km moyen par voiture</t>
  </si>
  <si>
    <t>% VP électriques</t>
  </si>
  <si>
    <t>Indice d'efficacité VP thermique</t>
  </si>
  <si>
    <t>Indice d'efficacité VP électrique</t>
  </si>
  <si>
    <t>Consommation des VP thermiques</t>
  </si>
  <si>
    <t>Consommation des VP électriques</t>
  </si>
  <si>
    <t>Evolution du km moyen parcouru par camion</t>
  </si>
  <si>
    <t>% PL électriques</t>
  </si>
  <si>
    <t>Indice d'efficacité PL thermiques</t>
  </si>
  <si>
    <t>Indice d'efficacité PL électriques</t>
  </si>
  <si>
    <t>Consommation des PL thermiques</t>
  </si>
  <si>
    <t>Consommation des PL électriques</t>
  </si>
  <si>
    <t>Consommation thermique totale (GWh)</t>
  </si>
  <si>
    <t>Consommation électrique totale (GWh)</t>
  </si>
  <si>
    <t>Consommation totale (GWh)</t>
  </si>
  <si>
    <t>Evolution consommation totale</t>
  </si>
  <si>
    <t>Projections parc AMS</t>
  </si>
  <si>
    <t>Projections consommation AMS</t>
  </si>
  <si>
    <t>Part VA Indus</t>
  </si>
  <si>
    <t>VA Indus (millions d'€)</t>
  </si>
  <si>
    <t>Part VA BTP</t>
  </si>
  <si>
    <t>VA BTP (millions d'€)</t>
  </si>
  <si>
    <t>VA Indus totale</t>
  </si>
  <si>
    <t>EE Indus</t>
  </si>
  <si>
    <t>Électrification des besoins fossiles 2015</t>
  </si>
  <si>
    <t>Demande fossile éner industrie (GWh)</t>
  </si>
  <si>
    <t xml:space="preserve">Bilan de l'énergie - SDES </t>
  </si>
  <si>
    <t>Electricité (GWh)</t>
  </si>
  <si>
    <t xml:space="preserve">Bilan de l'énergie - SDES  </t>
  </si>
  <si>
    <t>Émissions industrielles (KtCO2eq)</t>
  </si>
  <si>
    <t xml:space="preserve">Citepa </t>
  </si>
  <si>
    <t>Conso PPR non énergétique (Gwh)</t>
  </si>
  <si>
    <t>Conso EnRt (GWh)</t>
  </si>
  <si>
    <t xml:space="preserve">Bilan de l'énergie - SDES - que EnR thermique et déchets </t>
  </si>
  <si>
    <t>Conso chaleur vendue (GWh)</t>
  </si>
  <si>
    <t xml:space="preserve">Stabilité </t>
  </si>
  <si>
    <t xml:space="preserve">Cadrage macro </t>
  </si>
  <si>
    <t>PIB (millions d’euros 2010)</t>
  </si>
  <si>
    <t>16 949</t>
  </si>
  <si>
    <t>VA Indus</t>
  </si>
  <si>
    <t>VA BTP</t>
  </si>
  <si>
    <t>1 000</t>
  </si>
  <si>
    <t>1 704</t>
  </si>
  <si>
    <t>1 909</t>
  </si>
  <si>
    <t>4 139</t>
  </si>
  <si>
    <t>Demande fossile éner industrie (ktep)</t>
  </si>
  <si>
    <t xml:space="preserve">Calcul AME 21 </t>
  </si>
  <si>
    <t>Calcul AME 22</t>
  </si>
  <si>
    <t>Conso PPR non énergétique</t>
  </si>
  <si>
    <t>Conso EnRt</t>
  </si>
  <si>
    <t>Conso chaleur vendue</t>
  </si>
  <si>
    <t>Source : IEDOM – Rapport Guadeloupe 2016</t>
  </si>
  <si>
    <t>Substitution de la conso en combustibles fossile par les EnRt</t>
  </si>
  <si>
    <t>dont substitution EnRt</t>
  </si>
  <si>
    <t>Conso EnRt non énergétique</t>
  </si>
  <si>
    <t>Augmente avec la VA + substitution du fossile</t>
  </si>
  <si>
    <t xml:space="preserve">Augmente avec la VA </t>
  </si>
  <si>
    <t>Population</t>
  </si>
  <si>
    <t>Personnes par ménages</t>
  </si>
  <si>
    <t>Nombre ménages</t>
  </si>
  <si>
    <t>Taux d’équipement clim</t>
  </si>
  <si>
    <t xml:space="preserve">Reprise AME 2021 : https://www.insee.fr/fr/statistiques/4295744, INSEE 2017 </t>
  </si>
  <si>
    <t>Performance frigorifique</t>
  </si>
  <si>
    <t>AME21</t>
  </si>
  <si>
    <t>Besoin clim</t>
  </si>
  <si>
    <t>Émissions HFC (KtCO2eq)</t>
  </si>
  <si>
    <t>Émissions CO2 (ktCO2)</t>
  </si>
  <si>
    <t>Consommations électriques résidentiel (GWh)</t>
  </si>
  <si>
    <t>Bilan énergétique</t>
  </si>
  <si>
    <t>PIB (millions d'euros)</t>
  </si>
  <si>
    <t>Conso PPR rési (GWh)</t>
  </si>
  <si>
    <t xml:space="preserve">Bilan de l'énergie </t>
  </si>
  <si>
    <t>Conso EnRt rési (GWh)</t>
  </si>
  <si>
    <t xml:space="preserve">Cadrage marco </t>
  </si>
  <si>
    <t xml:space="preserve">Prévision linéaire </t>
  </si>
  <si>
    <t>AME2020</t>
  </si>
  <si>
    <t>AME2021</t>
  </si>
  <si>
    <t>Calcul AME 2021</t>
  </si>
  <si>
    <t>Émissions CO2</t>
  </si>
  <si>
    <t>PIB</t>
  </si>
  <si>
    <t>18 530</t>
  </si>
  <si>
    <t>AMS 2018</t>
  </si>
  <si>
    <t>II. Parc résidentiel (Hors climatisation)</t>
  </si>
  <si>
    <t>OREC</t>
  </si>
  <si>
    <t>Hors clim</t>
  </si>
  <si>
    <t>Usage</t>
  </si>
  <si>
    <t>Éclairage</t>
  </si>
  <si>
    <t>ECS</t>
  </si>
  <si>
    <t>Blanc</t>
  </si>
  <si>
    <t>Autres (électroménager, ventilation, etc.)</t>
  </si>
  <si>
    <t>Cuissons</t>
  </si>
  <si>
    <t xml:space="preserve">Climatisation </t>
  </si>
  <si>
    <t>Total hors clim</t>
  </si>
  <si>
    <t>Efficacité</t>
  </si>
  <si>
    <t>Besoin</t>
  </si>
  <si>
    <t>Bruns</t>
  </si>
  <si>
    <t>1 281</t>
  </si>
  <si>
    <t>Idem métropole</t>
  </si>
  <si>
    <t>Index communs métropole (logement, pop…) + variation tx équipement</t>
  </si>
  <si>
    <t>ECS solaire</t>
  </si>
  <si>
    <t>III. Tertiaire (Hors climatisation)</t>
  </si>
  <si>
    <t>(OREC) 2018</t>
  </si>
  <si>
    <t>Avec clim</t>
  </si>
  <si>
    <t>Froid</t>
  </si>
  <si>
    <t>Équipements divers</t>
  </si>
  <si>
    <t>TOTAL</t>
  </si>
  <si>
    <t>1 536</t>
  </si>
  <si>
    <t>Ajusté hausse climatisation</t>
  </si>
  <si>
    <t>Idem résidentiel</t>
  </si>
  <si>
    <t>Indexé PIB</t>
  </si>
  <si>
    <t>Insee, enquête budgets de famille 2011</t>
  </si>
  <si>
    <t xml:space="preserve">V. Climatisation (MICO - ADEME) - Résidentiel et Tertiaire </t>
  </si>
  <si>
    <t xml:space="preserve">1. Résidentiel </t>
  </si>
  <si>
    <t>1. AME 2023</t>
  </si>
  <si>
    <t>3. AME 2021</t>
  </si>
  <si>
    <t>Gwh</t>
  </si>
  <si>
    <t xml:space="preserve">Eclairage </t>
  </si>
  <si>
    <t>2. AMS 2023</t>
  </si>
  <si>
    <t>4. AMS 2018</t>
  </si>
  <si>
    <t xml:space="preserve">2. Tertiaire </t>
  </si>
  <si>
    <t xml:space="preserve">V. Total Résidentiel et Tertiaire </t>
  </si>
  <si>
    <t>Total résidentiel</t>
  </si>
  <si>
    <t>dont PPR</t>
  </si>
  <si>
    <t>Part constante dans la conso / 2020</t>
  </si>
  <si>
    <t>dont EnRt</t>
  </si>
  <si>
    <t>Dont elec</t>
  </si>
  <si>
    <t>Total tertiaire</t>
  </si>
  <si>
    <t>Baisse à zéro en 2050</t>
  </si>
  <si>
    <t>Prend un tiers du PPR</t>
  </si>
  <si>
    <t>Prend le reste</t>
  </si>
  <si>
    <t>Émissions (KtCO2e)</t>
  </si>
  <si>
    <t>N20 (ktCO2eq)</t>
  </si>
  <si>
    <t>Citepa (tN2O)</t>
  </si>
  <si>
    <t>CH4 (ktCO2eq)</t>
  </si>
  <si>
    <t>Citepa (tCH4)</t>
  </si>
  <si>
    <t>Total (ktCO2)</t>
  </si>
  <si>
    <t xml:space="preserve">Reprendre calculs de AMS 2018 </t>
  </si>
  <si>
    <t>Total dont CO2 (ktCO2)</t>
  </si>
  <si>
    <t xml:space="preserve">Production (millions d'€) -VA </t>
  </si>
  <si>
    <t>Intensité d'émissions  (ktCO2eq/millions€)</t>
  </si>
  <si>
    <t>Emission/production (VA)</t>
  </si>
  <si>
    <t>Consommation PPR (GWh)</t>
  </si>
  <si>
    <t>Consommation électricité (GWh)</t>
  </si>
  <si>
    <t xml:space="preserve">Production </t>
  </si>
  <si>
    <t xml:space="preserve">Intensité d'émissions </t>
  </si>
  <si>
    <t xml:space="preserve">Emissions </t>
  </si>
  <si>
    <t xml:space="preserve">Consommation énergétique </t>
  </si>
  <si>
    <t xml:space="preserve">Gains énergétiques  </t>
  </si>
  <si>
    <t xml:space="preserve">Consommation </t>
  </si>
  <si>
    <t>Conso PPR</t>
  </si>
  <si>
    <t>Conso élec</t>
  </si>
  <si>
    <t>Taux de substitution</t>
  </si>
  <si>
    <t>Consommation (GWh)</t>
  </si>
  <si>
    <t xml:space="preserve">Conso PPR </t>
  </si>
  <si>
    <t xml:space="preserve">Conso biocarburant </t>
  </si>
  <si>
    <t>N2O</t>
  </si>
  <si>
    <t>CH4</t>
  </si>
  <si>
    <t>Total dont CO2</t>
  </si>
  <si>
    <t>Développement autonomie alimentaire</t>
  </si>
  <si>
    <t>Semblable métropole</t>
  </si>
  <si>
    <t>Citepa</t>
  </si>
  <si>
    <t>Intensité émissions (indice 2015)</t>
  </si>
  <si>
    <t>Population (indice 2015)</t>
  </si>
  <si>
    <t>Quantité de déchets (kt)</t>
  </si>
  <si>
    <t>OMR</t>
  </si>
  <si>
    <t>Émissions (ktCH4)</t>
  </si>
  <si>
    <t>Émissions CH4 (ktCO2eq)</t>
  </si>
  <si>
    <t>Emissions déchets total (ktCO2eq)</t>
  </si>
  <si>
    <t xml:space="preserve">reprise AME 2021 </t>
  </si>
  <si>
    <t xml:space="preserve">Indice pop 2050*indice émissions 2050 *émissions 2015 </t>
  </si>
  <si>
    <t>Emissions déchets total</t>
  </si>
  <si>
    <t>Quantité déchets (kt)</t>
  </si>
  <si>
    <t>Déchets par habitants (indice 2019)</t>
  </si>
  <si>
    <t>Bilans physiques, toutes énergies confondues (données réelles)</t>
  </si>
  <si>
    <t>Biomasse solide</t>
  </si>
  <si>
    <t>Biocarburants</t>
  </si>
  <si>
    <t>Solaire thermique</t>
  </si>
  <si>
    <t>Pompes à chaleur</t>
  </si>
  <si>
    <t>Cadrage</t>
  </si>
  <si>
    <t>Moyenne</t>
  </si>
  <si>
    <t>Rendement Transformation</t>
  </si>
  <si>
    <t>Usage interne / production</t>
  </si>
  <si>
    <t>Elec</t>
  </si>
  <si>
    <t>Pertes / production</t>
  </si>
  <si>
    <t>Elec+chaleur</t>
  </si>
  <si>
    <t>Nucléaire</t>
  </si>
  <si>
    <t>Électricité</t>
  </si>
  <si>
    <t>Hydrogène</t>
  </si>
  <si>
    <t>Gaz renouvelable</t>
  </si>
  <si>
    <t>Chaleur de l'environnement</t>
  </si>
  <si>
    <t>Solaire thermique et géothermie</t>
  </si>
  <si>
    <t>Total approvisionnement / consommation primaire</t>
  </si>
  <si>
    <t>Écart statistique</t>
  </si>
  <si>
    <t>Production d'électricité</t>
  </si>
  <si>
    <t>Production de chaleur</t>
  </si>
  <si>
    <t>Production de gaz renouvelable</t>
  </si>
  <si>
    <t>Production de gaz de synthèse</t>
  </si>
  <si>
    <t>Production de biocarburants</t>
  </si>
  <si>
    <t>Production d'e-fuels</t>
  </si>
  <si>
    <t>Production d'hydrogène</t>
  </si>
  <si>
    <t>Puits technologiques</t>
  </si>
  <si>
    <t>Gaz Renouvelable</t>
  </si>
  <si>
    <t>Source: Observatoire énergie réunion, Bilan énergétique de la réunion</t>
  </si>
  <si>
    <t>Biomasse</t>
  </si>
  <si>
    <t>iocarburants</t>
  </si>
  <si>
    <t>Mix/chaleur</t>
  </si>
  <si>
    <t>Hypothèse: taux d'équipement constant au niveau de 2019</t>
  </si>
  <si>
    <t>1. Historique</t>
  </si>
  <si>
    <t>Sources</t>
  </si>
  <si>
    <t>Cadrage macroéconomique</t>
  </si>
  <si>
    <t>IEDOM 2020 + regression linéaire</t>
  </si>
  <si>
    <t>Agrégation Indus + BTP</t>
  </si>
  <si>
    <t>Données de cadrage industriel</t>
  </si>
  <si>
    <t>Croissance avec PIB</t>
  </si>
  <si>
    <t>Hypothèse</t>
  </si>
  <si>
    <t xml:space="preserve">Hypothèse AME 21 </t>
  </si>
  <si>
    <t>Hypothèse d'émissions nulles</t>
  </si>
  <si>
    <t>Hypothèse de substitution 50% en 2050</t>
  </si>
  <si>
    <t>Anciennes modélisations</t>
  </si>
  <si>
    <t>I. Cadrage macroéconomique</t>
  </si>
  <si>
    <t>Hypothèses: émissions dépendante du niveau de production et de l'intensité d'émission. 95% d'intensité par rapport à 2019, 15% de rendements supplémentaires en 2050</t>
  </si>
  <si>
    <t>Hypothèses: 10% de gains énergétiques par rapport à 2019 en 2050</t>
  </si>
  <si>
    <t>Hypothèses: émissions dépendante du niveau de production et de l'intensité d'émission. 95% d'intensité par rapport à 2019 CH4, 62% N2O (engrais), 15% de rendements supplémentaires en 2050</t>
  </si>
  <si>
    <t>Hypothèses: substitution PPR en biocarburants, 90% biocarburants 10% elec en 2050.</t>
  </si>
  <si>
    <t>Multiplié par les émissions autre méthane (moyenne 2010-2019)</t>
  </si>
  <si>
    <t>Part total / méthane</t>
  </si>
  <si>
    <t>2020: moyenne 2010-2019</t>
  </si>
  <si>
    <t>Croissance avec population et intensité</t>
  </si>
  <si>
    <t>Hypothèses: Baisse de 15% de l'intensité des émissions déchets en 2050 par rapport à 2015</t>
  </si>
  <si>
    <t>Hypothèses: intensité des émissions de 50% par rapport à 2015. Réduction de 20% de la quantité de déchets par habitant</t>
  </si>
  <si>
    <t xml:space="preserve"> </t>
  </si>
  <si>
    <t xml:space="preserve">  </t>
  </si>
  <si>
    <t>Hypothèses: Annulation des émissions UTCATF en 2050.</t>
  </si>
  <si>
    <t>Bilans énergie SDES</t>
  </si>
  <si>
    <t>Hypothèses: 50% d'équipements clim en 2050. Performance frigorifique 5 en 2050.</t>
  </si>
  <si>
    <t>Hypothèses: Besoin en 2050 déterminé par la hausse de la population. Mais hypothèses demande sur ECS (-20%), blanc (+20%), bruns (+10%). Efficacité en 2050 éclairage (-75%) ECS (-10%) Blanc (-60%) Bruns(-0,5%) Cuissons (-20%)</t>
  </si>
  <si>
    <t>Hypothèses: Identique à l'AME pour le tertiaire</t>
  </si>
  <si>
    <t>Calculé avec MICO</t>
  </si>
  <si>
    <t>Source</t>
  </si>
  <si>
    <t>Résidentiel + climatisation</t>
  </si>
  <si>
    <t>Part constante dans la conso / 2019</t>
  </si>
  <si>
    <t>Hypothèses: Part constante dans la consommation des produits pétroliers, EnRt et elec</t>
  </si>
  <si>
    <t>Hypothèses: Diminution linéaire des produits pétroliers tertiaire et résidentiel jusqu'à 0 en 2050. Les EnRt remplacent 1/3 des PPr, elec 2/3.</t>
  </si>
  <si>
    <t>Hypothèses: Stabilité de la part VA Indus + BTP dans le PIB.90% d'EE indus en 2050.</t>
  </si>
  <si>
    <r>
      <t>PIB (millions d</t>
    </r>
    <r>
      <rPr>
        <sz val="11"/>
        <color theme="1"/>
        <rFont val="Calibri"/>
        <family val="2"/>
      </rPr>
      <t>'euros base 2014)</t>
    </r>
  </si>
  <si>
    <t>PIB (millions d'euros base 2014)</t>
  </si>
  <si>
    <t>Données historiques</t>
  </si>
  <si>
    <t xml:space="preserve">Fioul lourd </t>
  </si>
  <si>
    <t>PV</t>
  </si>
  <si>
    <t>Bagasse</t>
  </si>
  <si>
    <t>Eolien, PV</t>
  </si>
  <si>
    <t>2. AME 2023 run 2</t>
  </si>
  <si>
    <t>3. AMS 2023 run 2</t>
  </si>
  <si>
    <t>Eolien &amp; PV</t>
  </si>
  <si>
    <t>2. AME 2023 run 1</t>
  </si>
  <si>
    <t>3. AMS 2023 run 1</t>
  </si>
  <si>
    <t xml:space="preserve">I. Mix électrique </t>
  </si>
  <si>
    <t>I. Modélisations passées</t>
  </si>
  <si>
    <t>Cadrage Macroéconomique</t>
  </si>
  <si>
    <t>Production d'énergie</t>
  </si>
  <si>
    <t>Hypothèses MDE</t>
  </si>
  <si>
    <t>% économie d'énergie</t>
  </si>
  <si>
    <t>% économie</t>
  </si>
  <si>
    <t>Isolation</t>
  </si>
  <si>
    <t>Climatisation</t>
  </si>
  <si>
    <t>Eclairage public</t>
  </si>
  <si>
    <t>Eclairage performant</t>
  </si>
  <si>
    <t>Autres</t>
  </si>
  <si>
    <t>Méthode MDE</t>
  </si>
  <si>
    <t>Economie d'energie / 2019 (GWh)</t>
  </si>
  <si>
    <t>Total (GWh)</t>
  </si>
  <si>
    <t>Codes couleurs</t>
  </si>
  <si>
    <t>Résumé des hypothèses prises (à faire)</t>
  </si>
  <si>
    <t>Modélisation statique sectorielle de la Réunion AME / AMS</t>
  </si>
  <si>
    <t>Le résultat de la modélisation est sous la forme d'un bilan d'énergie tous les 5 ans à horizon 2050.</t>
  </si>
  <si>
    <t>Demande électrique (GWh)</t>
  </si>
  <si>
    <t>Résultats de modélisation sectorielles</t>
  </si>
  <si>
    <t>Modélisations sectorielles</t>
  </si>
  <si>
    <t>Les hypothèses se situent dans les feuilles de modélisations sectorielles, et sont résumées dans la feuille hypothèse.</t>
  </si>
  <si>
    <t>Dans le run 2, on se base sur les hypothèses des comités MDE. Hypothèses: Scénario Azur BP EDF 2022, décalé de 2 ans puis projeté sur 2045 - 2050. Les économies d'énergie sont projetées par rapport à 2019. La hausse des besoins est modélisée par les variations de ménages par rapport à 2019</t>
  </si>
  <si>
    <t>Dans le run 2, on se base sur les hypothèses des comités MDE. Hypothèses: Scénario Azur BP EDF 2022, décalé de 2 ans puis projeté sur 2045 - 2050. Les économies d'énergie sont projetées par rapport à 2019</t>
  </si>
  <si>
    <t>Population (indice 2019)</t>
  </si>
  <si>
    <t>Intensité émissions (ktCO2eq/ kt)</t>
  </si>
  <si>
    <t>Intensité émissions / 2019</t>
  </si>
  <si>
    <t>Intensité émissions (ktCO2eq/kt)</t>
  </si>
  <si>
    <t>NB: pour la biomasse solide et liquide, on considère que la consommation supplémentaire par rapport à 2019 est totalement importée</t>
  </si>
  <si>
    <t>Source: CRE</t>
  </si>
  <si>
    <t>Wallis</t>
  </si>
  <si>
    <t>STWF, UN à partir de 2019</t>
  </si>
  <si>
    <t>1 voiture</t>
  </si>
  <si>
    <t>1 pick-up</t>
  </si>
  <si>
    <t>1 voiture + 1 pick-up</t>
  </si>
  <si>
    <t>1 deux-roues</t>
  </si>
  <si>
    <t>En 2018</t>
  </si>
  <si>
    <t>Source recensement INSEE Premiere</t>
  </si>
  <si>
    <t>En intégrant les nombre de véhicules nous donne par ménages</t>
  </si>
  <si>
    <t>voiture</t>
  </si>
  <si>
    <t>pick/up</t>
  </si>
  <si>
    <t>En pourcentage des ménages</t>
  </si>
  <si>
    <t>Manque véhicules entreprises</t>
  </si>
  <si>
    <t>AME 2018</t>
  </si>
  <si>
    <t>Chiffres Polynésie + AME2018</t>
  </si>
  <si>
    <t>HFC</t>
  </si>
  <si>
    <t>Hydrofluorocarbures</t>
  </si>
  <si>
    <r>
      <t>Emissions dans l'air - Source Citepa édition 2021</t>
    </r>
    <r>
      <rPr>
        <sz val="10"/>
        <rFont val="Trebuchet MS"/>
        <family val="2"/>
      </rPr>
      <t xml:space="preserve"> - inventaire national d'émissions de gaz à effet de serre et de polluants atmosphériques en Outre-mer - citepa.org</t>
    </r>
  </si>
  <si>
    <r>
      <t>Emissions de HFC (tCO</t>
    </r>
    <r>
      <rPr>
        <b/>
        <i/>
        <vertAlign val="subscript"/>
        <sz val="9"/>
        <rFont val="Trebuchet MS"/>
        <family val="2"/>
      </rPr>
      <t>2</t>
    </r>
    <r>
      <rPr>
        <b/>
        <i/>
        <sz val="9"/>
        <rFont val="Trebuchet MS"/>
        <family val="2"/>
      </rPr>
      <t>e/an)
Périmètre : Wallis-et-Futuna</t>
    </r>
  </si>
  <si>
    <t>Evolution des émissions dans l'air de HFC depuis 1990 à Wallis-et-Futuna</t>
  </si>
  <si>
    <t>Répartition</t>
  </si>
  <si>
    <r>
      <t>CO</t>
    </r>
    <r>
      <rPr>
        <b/>
        <vertAlign val="subscript"/>
        <sz val="20"/>
        <rFont val="Trebuchet MS"/>
        <family val="2"/>
      </rPr>
      <t>2</t>
    </r>
  </si>
  <si>
    <t>Dioxyde de carbone</t>
  </si>
  <si>
    <r>
      <rPr>
        <b/>
        <sz val="10"/>
        <rFont val="Trebuchet MS"/>
        <family val="2"/>
      </rPr>
      <t>Emissions dans l'air - Source Citepa édition 2021</t>
    </r>
    <r>
      <rPr>
        <sz val="10"/>
        <rFont val="Trebuchet MS"/>
        <family val="2"/>
      </rPr>
      <t xml:space="preserve"> - inventaire national d'émissions de gaz à effet de serre et de polluants atmosphériques en Outre-mer - citepa.org</t>
    </r>
  </si>
  <si>
    <r>
      <t>Emissions de CO</t>
    </r>
    <r>
      <rPr>
        <b/>
        <i/>
        <vertAlign val="subscript"/>
        <sz val="9"/>
        <rFont val="Trebuchet MS"/>
        <family val="2"/>
      </rPr>
      <t>2</t>
    </r>
    <r>
      <rPr>
        <b/>
        <i/>
        <sz val="9"/>
        <rFont val="Trebuchet MS"/>
        <family val="2"/>
      </rPr>
      <t xml:space="preserve"> (kt/an)
Périmètre : Wallis-et-Futuna</t>
    </r>
  </si>
  <si>
    <r>
      <t>CO</t>
    </r>
    <r>
      <rPr>
        <vertAlign val="subscript"/>
        <sz val="9"/>
        <color theme="1"/>
        <rFont val="Trebuchet MS"/>
        <family val="2"/>
      </rPr>
      <t>2</t>
    </r>
  </si>
  <si>
    <r>
      <t>Evolution des émissions dans l'air de CO</t>
    </r>
    <r>
      <rPr>
        <b/>
        <vertAlign val="subscript"/>
        <sz val="10"/>
        <color rgb="FF233F85"/>
        <rFont val="Trebuchet MS"/>
        <family val="2"/>
      </rPr>
      <t>2</t>
    </r>
    <r>
      <rPr>
        <b/>
        <sz val="10"/>
        <color rgb="FF233F85"/>
        <rFont val="Trebuchet MS"/>
        <family val="2"/>
      </rPr>
      <t xml:space="preserve"> depuis 1990 à Wallis-et-Futuna</t>
    </r>
  </si>
  <si>
    <t>Répartition avec UTCATF</t>
  </si>
  <si>
    <t>Hypothèses: Reprise hypothèses AME2018. Besoin en 2050 déterminé par la hausse de la population. Mais hypothèses demande sur ECS (-20%), blanc (+20%), bruns (+10%). Efficacité en 2050 pour l'éclairage 60% par rapport à 2019.</t>
  </si>
  <si>
    <t>Hypothèses: Reprise AME2018.Besoin en 2050 déterminé par la hausse du PIB. Efficacité en 2050 éclairage (-75%) ECS (-10%) Froid (-60%) Equipements divers (-50%)</t>
  </si>
  <si>
    <r>
      <t>CH</t>
    </r>
    <r>
      <rPr>
        <b/>
        <vertAlign val="subscript"/>
        <sz val="20"/>
        <rFont val="Trebuchet MS"/>
        <family val="2"/>
      </rPr>
      <t>4</t>
    </r>
  </si>
  <si>
    <t>Méthane</t>
  </si>
  <si>
    <r>
      <t>Emissions de CH</t>
    </r>
    <r>
      <rPr>
        <b/>
        <i/>
        <vertAlign val="subscript"/>
        <sz val="9"/>
        <rFont val="Trebuchet MS"/>
        <family val="2"/>
      </rPr>
      <t>4</t>
    </r>
    <r>
      <rPr>
        <b/>
        <i/>
        <sz val="9"/>
        <rFont val="Trebuchet MS"/>
        <family val="2"/>
      </rPr>
      <t xml:space="preserve"> (t/an)
Périmètre : Wallis-et-Futuna</t>
    </r>
  </si>
  <si>
    <r>
      <t>CH</t>
    </r>
    <r>
      <rPr>
        <vertAlign val="subscript"/>
        <sz val="9"/>
        <color theme="1"/>
        <rFont val="Trebuchet MS"/>
        <family val="2"/>
      </rPr>
      <t>4</t>
    </r>
  </si>
  <si>
    <r>
      <t>Evolution des émissions dans l'air de CH</t>
    </r>
    <r>
      <rPr>
        <b/>
        <vertAlign val="subscript"/>
        <sz val="10"/>
        <color rgb="FF233F85"/>
        <rFont val="Trebuchet MS"/>
        <family val="2"/>
      </rPr>
      <t>4</t>
    </r>
    <r>
      <rPr>
        <b/>
        <sz val="10"/>
        <color rgb="FF233F85"/>
        <rFont val="Trebuchet MS"/>
        <family val="2"/>
      </rPr>
      <t xml:space="preserve"> depuis 1990 à Wallis-et-Futuna</t>
    </r>
  </si>
  <si>
    <r>
      <t>N</t>
    </r>
    <r>
      <rPr>
        <b/>
        <vertAlign val="subscript"/>
        <sz val="20"/>
        <rFont val="Trebuchet MS"/>
        <family val="2"/>
      </rPr>
      <t>2</t>
    </r>
    <r>
      <rPr>
        <b/>
        <sz val="20"/>
        <rFont val="Trebuchet MS"/>
        <family val="2"/>
      </rPr>
      <t>O</t>
    </r>
  </si>
  <si>
    <t>Protoxyde d'azote</t>
  </si>
  <si>
    <r>
      <t>Emissions de N</t>
    </r>
    <r>
      <rPr>
        <b/>
        <i/>
        <vertAlign val="subscript"/>
        <sz val="9"/>
        <rFont val="Trebuchet MS"/>
        <family val="2"/>
      </rPr>
      <t>2</t>
    </r>
    <r>
      <rPr>
        <b/>
        <i/>
        <sz val="9"/>
        <rFont val="Trebuchet MS"/>
        <family val="2"/>
      </rPr>
      <t>O (t/an)
Périmètre : Wallis-et-Futuna</t>
    </r>
  </si>
  <si>
    <r>
      <t>N</t>
    </r>
    <r>
      <rPr>
        <vertAlign val="subscript"/>
        <sz val="9"/>
        <color theme="1"/>
        <rFont val="Trebuchet MS"/>
        <family val="2"/>
      </rPr>
      <t>2</t>
    </r>
    <r>
      <rPr>
        <sz val="9"/>
        <color theme="1"/>
        <rFont val="Trebuchet MS"/>
        <family val="2"/>
      </rPr>
      <t>O</t>
    </r>
  </si>
  <si>
    <r>
      <t>Evolution des émissions dans l'air de N</t>
    </r>
    <r>
      <rPr>
        <b/>
        <vertAlign val="subscript"/>
        <sz val="10"/>
        <color rgb="FF233F85"/>
        <rFont val="Trebuchet MS"/>
        <family val="2"/>
      </rPr>
      <t>2</t>
    </r>
    <r>
      <rPr>
        <b/>
        <sz val="10"/>
        <color rgb="FF233F85"/>
        <rFont val="Trebuchet MS"/>
        <family val="2"/>
      </rPr>
      <t>O depuis 1990 à Wallis-et-Futuna</t>
    </r>
  </si>
  <si>
    <t>EnR élec</t>
  </si>
  <si>
    <t>Biocard</t>
  </si>
  <si>
    <t>Gaz r</t>
  </si>
  <si>
    <t>Rendements métropolitains</t>
  </si>
  <si>
    <t>PIB IEOM (2005). PIB 2015 estimé par le SCOPPD dans le SDDWF.</t>
  </si>
  <si>
    <t>Sources: Croissance du PIB/hab de 1,1% (Stratégie de développement durable de Wallis et Futuna, deuxième scénario et troisième scénario pour calculer le TCAM du PIB/hab). Hypothèses population: UN</t>
  </si>
  <si>
    <t>SDDWF page 25 / 26</t>
  </si>
  <si>
    <t>Maritime</t>
  </si>
  <si>
    <t>National</t>
  </si>
  <si>
    <t>International</t>
  </si>
  <si>
    <t>Stabilité</t>
  </si>
  <si>
    <t>Consommation Maritime</t>
  </si>
  <si>
    <t>Evolution trafic fluvial</t>
  </si>
  <si>
    <t>Indice d'efficacité énergétique</t>
  </si>
  <si>
    <t>Essence maritime plaisance</t>
  </si>
  <si>
    <t>Electricité maritime plaisance</t>
  </si>
  <si>
    <t>Tendance dépendante de la population</t>
  </si>
  <si>
    <t>Consommation Maritime National (GWh)</t>
  </si>
  <si>
    <t>dont électrique (GWh)</t>
  </si>
  <si>
    <t>dont essence (GWh)</t>
  </si>
  <si>
    <t>Soutes Internationales</t>
  </si>
  <si>
    <t>Croissance du trafic</t>
  </si>
  <si>
    <t>Indicateur d'efficacité énergétique</t>
  </si>
  <si>
    <t>Gaz naturel liquéfié</t>
  </si>
  <si>
    <t>dont GNL bio</t>
  </si>
  <si>
    <t>dont GNL fossile</t>
  </si>
  <si>
    <t>Fioul (ou autres carburants liquides yc biocarb)</t>
  </si>
  <si>
    <t>dont bio</t>
  </si>
  <si>
    <t>dont fossile</t>
  </si>
  <si>
    <t>Consommation d'énergie dans les soutes maritimes avec ventilation selon le mix (Mtep)</t>
  </si>
  <si>
    <t xml:space="preserve">Soutes maritimes internationales   </t>
  </si>
  <si>
    <t>GNL bio</t>
  </si>
  <si>
    <t>GNL fossile</t>
  </si>
  <si>
    <t>Fioul fossile</t>
  </si>
  <si>
    <t>Hypothèses: reprise des hypothèses métropoles AME 2023 run 2</t>
  </si>
  <si>
    <t xml:space="preserve">Hypothèses: </t>
  </si>
  <si>
    <t>Hypothèse: croissance avec la population</t>
  </si>
  <si>
    <t>Hypothèses: reprise métropole AME2023 run 2</t>
  </si>
  <si>
    <t>Transport maritime national</t>
  </si>
  <si>
    <t>Aérien</t>
  </si>
  <si>
    <t>Consommations historiques</t>
  </si>
  <si>
    <t>Internationaux</t>
  </si>
  <si>
    <t>2018</t>
  </si>
  <si>
    <t>2019</t>
  </si>
  <si>
    <t>2020</t>
  </si>
  <si>
    <t>2021</t>
  </si>
  <si>
    <t>Intra-Wallis</t>
  </si>
  <si>
    <t>Trafics Dom-Com</t>
  </si>
  <si>
    <t>Trafic / 2019</t>
  </si>
  <si>
    <t>Hypothèses trafics DOM-COM reprises AME2023 run 2</t>
  </si>
  <si>
    <t>Métropole-OM &amp; intra OM</t>
  </si>
  <si>
    <t>Evolution trafic</t>
  </si>
  <si>
    <t>Consos unitaires</t>
  </si>
  <si>
    <t>Trafics internationaux</t>
  </si>
  <si>
    <t>1. AME</t>
  </si>
  <si>
    <t>Intra-Wallis (tonnes)</t>
  </si>
  <si>
    <t>Internationaux (tonnes)</t>
  </si>
  <si>
    <t>Intra-Wallis (GWh)</t>
  </si>
  <si>
    <t>Internationaux (GWh)</t>
  </si>
  <si>
    <t>On considère qu'il n'y a pas d'introduction de biocarburants (négligeable)</t>
  </si>
  <si>
    <t>Données CITEPA converties en GWH avec PCI 44GJ/t (carburéacteur)</t>
  </si>
  <si>
    <t>Bilan SDES</t>
  </si>
  <si>
    <t xml:space="preserve">Pas de données, mais pas d'industrie  et très peu de construction. </t>
  </si>
  <si>
    <t>Chiffres non importants</t>
  </si>
  <si>
    <t>Calculs du TCAM</t>
  </si>
  <si>
    <t xml:space="preserve">Hypothèses: Objectif PPE 2023 pour 2025 en volume, on complète avec le fioul. </t>
  </si>
  <si>
    <t>Comparaison conso carburants vs bilans SDES. Hypothèses Réunion</t>
  </si>
  <si>
    <t>Hypothèses: évolution du kilométrage moyen par voiture de +10% (hypothèse métropole. Trajectoires de déploiement flotte électrique basée sur la Polynésie, pareil pour l'efficacité</t>
  </si>
  <si>
    <t>Hypothèses: 3,5p/ménages en 2050. Taux d'équipement en clim 84% en 2050 (Polynésie)avec amélioration COP</t>
  </si>
  <si>
    <t>Mix / biomasse</t>
  </si>
  <si>
    <t>En l'absence de disponibilité historique, on considère le mix de la réunion</t>
  </si>
  <si>
    <t>Hypothèses: PPE MDE sur l'éclairage public sur 2019-2023.Puis dépendant du PIB</t>
  </si>
  <si>
    <t>Hypothèses: On reprend la trajectoire de développement de VE polynésienne. En l'absence de scénarisation, on ne retient pas d'hypothèses sur l'évolution du kilométrage moyen.</t>
  </si>
  <si>
    <t>Hypothèses: Reprise des hypothèses polynésiennes</t>
  </si>
  <si>
    <t>Hypothèses: Objectifs PPE 2023 en 2025. Installation de panneaux solaires supplémentaires à horizon 2035, et remplacement des groupes fiouls par des biocarburants en 2035, progressivement substitués par une montée en puissance des autres EnR.</t>
  </si>
  <si>
    <t>Mise en place du solaire thermique</t>
  </si>
  <si>
    <t>2. AMS</t>
  </si>
  <si>
    <t>Consommation d'énergie dans les soutes maritimes avec ventilation selon le mix (GWh)</t>
  </si>
  <si>
    <t>Intra-NC (tonnes)</t>
  </si>
  <si>
    <t>Intra-NC (GWh)</t>
  </si>
  <si>
    <t>Biocarburants (kt)</t>
  </si>
  <si>
    <t>PtL (kt)</t>
  </si>
  <si>
    <t>H2 (kt)</t>
  </si>
  <si>
    <t>kérosène fossile (kt)</t>
  </si>
  <si>
    <t>Consommation totale (kt)</t>
  </si>
  <si>
    <t>Dont biocarburants</t>
  </si>
  <si>
    <t>Dont Ptl</t>
  </si>
  <si>
    <t>Dont kérosène</t>
  </si>
  <si>
    <t>Intra-NC</t>
  </si>
  <si>
    <t>International 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</si>
</sst>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4">
    <numFmt numFmtId="41" formatCode="_-* #,##0_-;\-* #,##0_-;_-* &quot;-&quot;_-;_-@_-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#_.###_.###_.##0.0;\–_.#_.##0.0"/>
    <numFmt numFmtId="165" formatCode="#,##0.0"/>
    <numFmt numFmtId="166" formatCode="0.0"/>
    <numFmt numFmtId="167" formatCode="_-* #,##0.00_-;\-* #,##0.00_-;_-* \-??_-;_-@_-"/>
    <numFmt numFmtId="168" formatCode="0\ %"/>
    <numFmt numFmtId="169" formatCode="0.00\ %"/>
    <numFmt numFmtId="170" formatCode="#,##0_ ;\-#,##0\ "/>
    <numFmt numFmtId="171" formatCode="_-* #,##0_-;\-* #,##0_-;_-* \-??_-;_-@_-"/>
    <numFmt numFmtId="172" formatCode="#,##0.000"/>
    <numFmt numFmtId="173" formatCode="_-* #,##0.000_-;\-* #,##0.000_-;_-* \-??_-;_-@_-"/>
    <numFmt numFmtId="174" formatCode="0.0%"/>
    <numFmt numFmtId="175" formatCode="0.000"/>
    <numFmt numFmtId="176" formatCode="0.0000"/>
    <numFmt numFmtId="177" formatCode="0.000000"/>
    <numFmt numFmtId="178" formatCode="0.0000000"/>
    <numFmt numFmtId="179" formatCode="_-* #,##0.00\ _€_-;\-* #,##0.00\ _€_-;_-* &quot;-&quot;??\ _€_-;_-@_-"/>
    <numFmt numFmtId="180" formatCode="\$#,##0\ ;\(\$#,##0\)"/>
    <numFmt numFmtId="181" formatCode="_(&quot;$&quot;* #,##0_);_(&quot;$&quot;* \(#,##0\);_(&quot;$&quot;* &quot;-&quot;_);_(@_)"/>
    <numFmt numFmtId="182" formatCode="_-* #,##0.00\ &quot;F&quot;_-;\-* #,##0.00\ &quot;F&quot;_-;_-* &quot;-&quot;??\ &quot;F&quot;_-;_-@_-"/>
    <numFmt numFmtId="183" formatCode="_-* #,##0.00\ _F_-;\-* #,##0.00\ _F_-;_-* &quot;-&quot;??\ _F_-;_-@_-"/>
    <numFmt numFmtId="184" formatCode="#,##0.0000"/>
    <numFmt numFmtId="185" formatCode="#_.###_.###_.##0;&quot;–&quot;_.0"/>
    <numFmt numFmtId="186" formatCode="#_.###_.###_.##0_.&quot;**&quot;;\–_.#_.###_.###_.##0_.&quot;**&quot;"/>
    <numFmt numFmtId="187" formatCode="#_.###_.###_.##0_._*_*;\–_.#_.###_.###_.##0_._*_*"/>
    <numFmt numFmtId="188" formatCode="#_.###_.###_.##0.0;\–_.0.0"/>
    <numFmt numFmtId="189" formatCode="_-* #,##0.00\ [$€-1]_-;\-* #,##0.00\ [$€-1]_-;_-* &quot;-&quot;??\ [$€-1]_-"/>
    <numFmt numFmtId="190" formatCode="_-* #,##0.00\ [$€]_-;\-* #,##0.00\ [$€]_-;_-* &quot;-&quot;??\ [$€]_-;_-@_-"/>
    <numFmt numFmtId="191" formatCode="#,##0.00&quot; F&quot;;[Red]\-#,##0.00&quot; F&quot;"/>
    <numFmt numFmtId="192" formatCode="&quot; &quot;#,##0.0&quot; &quot;;&quot;-&quot;#,##0.0&quot; &quot;;&quot; -&quot;00&quot; &quot;;&quot; &quot;@&quot; &quot;"/>
    <numFmt numFmtId="193" formatCode="_-* #,##0\ _€_-;\-* #,##0\ _€_-;_-* &quot;-&quot;???\ _€_-;_-@_-"/>
    <numFmt numFmtId="194" formatCode="_-* #,##0_-;\-* #,##0_-;_-* &quot;-&quot;??_-;_-@_-"/>
  </numFmts>
  <fonts count="185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i/>
      <sz val="1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5B9BD5"/>
      <name val="Calibri"/>
      <family val="2"/>
      <charset val="1"/>
    </font>
    <font>
      <sz val="11"/>
      <color rgb="FF4472C4"/>
      <name val="Calibri"/>
      <family val="2"/>
      <charset val="1"/>
    </font>
    <font>
      <b/>
      <sz val="14"/>
      <color rgb="FFFFFFFF"/>
      <name val="Trebuchet MS"/>
      <family val="2"/>
      <charset val="1"/>
    </font>
    <font>
      <sz val="14"/>
      <color rgb="FFFFFFFF"/>
      <name val="Trebuchet MS"/>
      <family val="2"/>
      <charset val="1"/>
    </font>
    <font>
      <b/>
      <i/>
      <sz val="9"/>
      <name val="Trebuchet MS"/>
      <family val="2"/>
      <charset val="1"/>
    </font>
    <font>
      <b/>
      <i/>
      <vertAlign val="subscript"/>
      <sz val="9"/>
      <name val="Trebuchet MS"/>
      <family val="2"/>
      <charset val="1"/>
    </font>
    <font>
      <b/>
      <sz val="9"/>
      <name val="Trebuchet MS"/>
      <family val="2"/>
      <charset val="1"/>
    </font>
    <font>
      <b/>
      <sz val="9"/>
      <color rgb="FF000000"/>
      <name val="Trebuchet MS"/>
      <family val="2"/>
      <charset val="1"/>
    </font>
    <font>
      <sz val="9"/>
      <color rgb="FF000000"/>
      <name val="Trebuchet MS"/>
      <family val="2"/>
      <charset val="1"/>
    </font>
    <font>
      <vertAlign val="subscript"/>
      <sz val="9"/>
      <color rgb="FF000000"/>
      <name val="Trebuchet MS"/>
      <family val="2"/>
      <charset val="1"/>
    </font>
    <font>
      <b/>
      <sz val="8"/>
      <color rgb="FF000000"/>
      <name val="Trebuchet MS"/>
      <family val="2"/>
      <charset val="1"/>
    </font>
    <font>
      <b/>
      <sz val="8"/>
      <name val="Trebuchet MS"/>
      <family val="2"/>
      <charset val="1"/>
    </font>
    <font>
      <sz val="8"/>
      <color rgb="FF000000"/>
      <name val="Trebuchet MS"/>
      <family val="2"/>
      <charset val="1"/>
    </font>
    <font>
      <b/>
      <i/>
      <sz val="8"/>
      <name val="Trebuchet MS"/>
      <family val="2"/>
      <charset val="1"/>
    </font>
    <font>
      <i/>
      <sz val="11"/>
      <color rgb="FF000000"/>
      <name val="Calibri"/>
      <family val="2"/>
      <charset val="1"/>
    </font>
    <font>
      <b/>
      <sz val="14"/>
      <color rgb="FF000000"/>
      <name val="Trebuchet MS"/>
      <family val="2"/>
      <charset val="1"/>
    </font>
    <font>
      <sz val="10"/>
      <color rgb="FF000000"/>
      <name val="Trebuchet MS"/>
      <family val="2"/>
      <charset val="1"/>
    </font>
    <font>
      <sz val="11"/>
      <color rgb="FF000000"/>
      <name val="Trebuchet MS"/>
      <family val="2"/>
      <charset val="1"/>
    </font>
    <font>
      <sz val="9"/>
      <color rgb="FF7F7F7F"/>
      <name val="Trebuchet MS"/>
      <family val="2"/>
      <charset val="1"/>
    </font>
    <font>
      <vertAlign val="superscript"/>
      <sz val="9"/>
      <color rgb="FF7F7F7F"/>
      <name val="Trebuchet MS"/>
      <family val="2"/>
      <charset val="1"/>
    </font>
    <font>
      <vertAlign val="superscript"/>
      <sz val="9"/>
      <color rgb="FF000000"/>
      <name val="Trebuchet MS"/>
      <family val="2"/>
      <charset val="1"/>
    </font>
    <font>
      <vertAlign val="subscript"/>
      <sz val="8"/>
      <color rgb="FF000000"/>
      <name val="Trebuchet MS"/>
      <family val="2"/>
      <charset val="1"/>
    </font>
    <font>
      <sz val="8"/>
      <color rgb="FF7F7F7F"/>
      <name val="Trebuchet MS"/>
      <family val="2"/>
      <charset val="1"/>
    </font>
    <font>
      <i/>
      <sz val="8"/>
      <color rgb="FF7F7F7F"/>
      <name val="Trebuchet MS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sz val="10"/>
      <color rgb="FFFFFFFF"/>
      <name val="Calibri1"/>
      <charset val="1"/>
    </font>
    <font>
      <sz val="10"/>
      <color rgb="FFFFFFFF"/>
      <name val="Calibri"/>
      <family val="2"/>
      <charset val="1"/>
    </font>
    <font>
      <sz val="10"/>
      <color rgb="FF000000"/>
      <name val="Calibri1"/>
      <charset val="1"/>
    </font>
    <font>
      <i/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0"/>
      <name val="Verdana"/>
      <family val="2"/>
      <charset val="1"/>
    </font>
    <font>
      <b/>
      <sz val="10"/>
      <color rgb="FF000000"/>
      <name val="Verdana"/>
      <family val="2"/>
      <charset val="1"/>
    </font>
    <font>
      <b/>
      <sz val="9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sz val="10"/>
      <name val="Verdana"/>
      <family val="2"/>
      <charset val="1"/>
    </font>
    <font>
      <i/>
      <sz val="11"/>
      <color rgb="FF000000"/>
      <name val="Calibri"/>
      <family val="2"/>
    </font>
    <font>
      <sz val="11"/>
      <color theme="1"/>
      <name val="Calibri"/>
      <family val="2"/>
      <charset val="1"/>
    </font>
    <font>
      <i/>
      <sz val="10"/>
      <color rgb="FF000000"/>
      <name val="Calibri"/>
      <family val="2"/>
    </font>
    <font>
      <i/>
      <sz val="9"/>
      <color rgb="FF000000"/>
      <name val="Calibri"/>
      <family val="2"/>
    </font>
    <font>
      <i/>
      <sz val="8"/>
      <color rgb="FF000000"/>
      <name val="Calibri"/>
      <family val="2"/>
    </font>
    <font>
      <sz val="8"/>
      <color rgb="FF000000"/>
      <name val="Calibri"/>
      <family val="2"/>
      <charset val="1"/>
    </font>
    <font>
      <b/>
      <sz val="16"/>
      <color rgb="FF00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charset val="1"/>
    </font>
    <font>
      <sz val="11"/>
      <color theme="1"/>
      <name val="Calibri"/>
      <family val="2"/>
    </font>
    <font>
      <u/>
      <sz val="8"/>
      <color rgb="FF0563C1"/>
      <name val="Calibri"/>
      <family val="2"/>
      <charset val="1"/>
    </font>
    <font>
      <b/>
      <sz val="20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sz val="12"/>
      <color indexed="24"/>
      <name val="Arial"/>
      <family val="2"/>
    </font>
    <font>
      <sz val="18"/>
      <color indexed="24"/>
      <name val="Arial"/>
      <family val="2"/>
    </font>
    <font>
      <sz val="8"/>
      <color indexed="24"/>
      <name val="Arial"/>
      <family val="2"/>
    </font>
    <font>
      <b/>
      <sz val="8"/>
      <name val="Trebuchet MS"/>
      <family val="2"/>
    </font>
    <font>
      <sz val="8"/>
      <name val="Trebuchet MS"/>
      <family val="2"/>
    </font>
    <font>
      <i/>
      <sz val="8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1"/>
      <color theme="1"/>
      <name val="Trebuchet MS"/>
      <family val="2"/>
    </font>
    <font>
      <sz val="10"/>
      <color theme="0" tint="-0.499984740745262"/>
      <name val="Trebuchet MS"/>
      <family val="2"/>
    </font>
    <font>
      <i/>
      <sz val="9"/>
      <color theme="1"/>
      <name val="Trebuchet MS"/>
      <family val="2"/>
    </font>
    <font>
      <b/>
      <sz val="9"/>
      <name val="Trebuchet MS"/>
      <family val="2"/>
    </font>
    <font>
      <sz val="9"/>
      <color theme="1"/>
      <name val="Trebuchet MS"/>
      <family val="2"/>
    </font>
    <font>
      <vertAlign val="subscript"/>
      <sz val="9"/>
      <color theme="1"/>
      <name val="Trebuchet MS"/>
      <family val="2"/>
    </font>
    <font>
      <sz val="11"/>
      <color indexed="8"/>
      <name val="Calibri"/>
      <family val="2"/>
    </font>
    <font>
      <sz val="14"/>
      <name val="Trebuchet MS"/>
      <family val="2"/>
    </font>
    <font>
      <b/>
      <sz val="20"/>
      <name val="Trebuchet MS"/>
      <family val="2"/>
    </font>
    <font>
      <b/>
      <vertAlign val="subscript"/>
      <sz val="20"/>
      <name val="Trebuchet MS"/>
      <family val="2"/>
    </font>
    <font>
      <b/>
      <sz val="14"/>
      <name val="Trebuchet MS"/>
      <family val="2"/>
    </font>
    <font>
      <sz val="14"/>
      <color theme="1"/>
      <name val="Trebuchet MS"/>
      <family val="2"/>
    </font>
    <font>
      <i/>
      <sz val="10"/>
      <name val="Trebuchet MS"/>
      <family val="2"/>
    </font>
    <font>
      <b/>
      <sz val="16"/>
      <name val="Trebuchet MS"/>
      <family val="2"/>
    </font>
    <font>
      <sz val="14"/>
      <color theme="0"/>
      <name val="Trebuchet MS"/>
      <family val="2"/>
    </font>
    <font>
      <b/>
      <sz val="14"/>
      <color theme="0"/>
      <name val="Trebuchet MS"/>
      <family val="2"/>
    </font>
    <font>
      <b/>
      <sz val="9"/>
      <color theme="1"/>
      <name val="Trebuchet MS"/>
      <family val="2"/>
    </font>
    <font>
      <b/>
      <i/>
      <sz val="9"/>
      <name val="Trebuchet MS"/>
      <family val="2"/>
    </font>
    <font>
      <b/>
      <i/>
      <vertAlign val="subscript"/>
      <sz val="9"/>
      <name val="Trebuchet MS"/>
      <family val="2"/>
    </font>
    <font>
      <b/>
      <sz val="8"/>
      <color theme="1"/>
      <name val="Trebuchet MS"/>
      <family val="2"/>
    </font>
    <font>
      <sz val="8"/>
      <color theme="1"/>
      <name val="Trebuchet MS"/>
      <family val="2"/>
    </font>
    <font>
      <sz val="8"/>
      <color theme="0"/>
      <name val="Trebuchet MS"/>
      <family val="2"/>
    </font>
    <font>
      <i/>
      <sz val="8"/>
      <color theme="1"/>
      <name val="Trebuchet MS"/>
      <family val="2"/>
    </font>
    <font>
      <b/>
      <i/>
      <sz val="8"/>
      <name val="Trebuchet MS"/>
      <family val="2"/>
    </font>
    <font>
      <b/>
      <sz val="8"/>
      <color theme="0"/>
      <name val="Trebuchet MS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rgb="FF233F85"/>
      <name val="Trebuchet MS"/>
      <family val="2"/>
    </font>
    <font>
      <b/>
      <vertAlign val="subscript"/>
      <sz val="10"/>
      <color rgb="FF233F85"/>
      <name val="Trebuchet MS"/>
      <family val="2"/>
    </font>
    <font>
      <u/>
      <sz val="11"/>
      <color theme="10"/>
      <name val="Calibri"/>
      <family val="2"/>
      <scheme val="minor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2"/>
      <name val="Arial"/>
      <family val="2"/>
    </font>
    <font>
      <u/>
      <sz val="6"/>
      <color indexed="12"/>
      <name val="Arial"/>
      <family val="2"/>
    </font>
    <font>
      <b/>
      <i/>
      <sz val="12"/>
      <color indexed="8"/>
      <name val="Arial"/>
      <family val="2"/>
    </font>
    <font>
      <sz val="9"/>
      <name val="Arial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color indexed="10"/>
      <name val="Calibri"/>
      <family val="2"/>
    </font>
    <font>
      <b/>
      <sz val="12"/>
      <name val="Times New Roman"/>
      <family val="1"/>
    </font>
    <font>
      <u/>
      <sz val="9"/>
      <color indexed="12"/>
      <name val="Arial"/>
      <family val="2"/>
    </font>
    <font>
      <u/>
      <sz val="10"/>
      <color indexed="12"/>
      <name val="Arial"/>
      <family val="2"/>
    </font>
    <font>
      <sz val="11"/>
      <color indexed="19"/>
      <name val="Calibri"/>
      <family val="2"/>
    </font>
    <font>
      <sz val="8"/>
      <name val="Helvetica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8"/>
      <name val="Calibri"/>
      <family val="2"/>
    </font>
    <font>
      <sz val="12"/>
      <color indexed="8"/>
      <name val="Arial MT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b/>
      <sz val="11"/>
      <color indexed="52"/>
      <name val="Calibri"/>
      <family val="2"/>
    </font>
    <font>
      <b/>
      <sz val="11"/>
      <color indexed="10"/>
      <name val="Calibri"/>
      <family val="2"/>
      <scheme val="minor"/>
    </font>
    <font>
      <sz val="10"/>
      <color indexed="12"/>
      <name val="Arial"/>
      <family val="2"/>
    </font>
    <font>
      <sz val="11"/>
      <color indexed="52"/>
      <name val="Calibri"/>
      <family val="2"/>
    </font>
    <font>
      <b/>
      <sz val="8"/>
      <name val="Helv"/>
    </font>
    <font>
      <b/>
      <sz val="12"/>
      <color indexed="8"/>
      <name val="Times New Roman"/>
      <family val="1"/>
    </font>
    <font>
      <u/>
      <sz val="12"/>
      <color indexed="12"/>
      <name val="Arial"/>
      <family val="2"/>
    </font>
    <font>
      <u/>
      <sz val="8.5"/>
      <color indexed="12"/>
      <name val="Arial"/>
      <family val="2"/>
    </font>
    <font>
      <u/>
      <sz val="10"/>
      <color theme="10"/>
      <name val="Arial"/>
      <family val="2"/>
    </font>
    <font>
      <sz val="11"/>
      <color indexed="60"/>
      <name val="Calibri"/>
      <family val="2"/>
    </font>
    <font>
      <sz val="10"/>
      <name val="Courier"/>
      <family val="3"/>
    </font>
    <font>
      <sz val="10"/>
      <name val="Helv"/>
    </font>
    <font>
      <i/>
      <sz val="10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8"/>
      <name val="Tahoma"/>
      <family val="2"/>
    </font>
    <font>
      <b/>
      <sz val="9"/>
      <name val="Tahoma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  <font>
      <b/>
      <i/>
      <sz val="16"/>
      <color rgb="FF000000"/>
      <name val="Calibri"/>
      <family val="2"/>
    </font>
    <font>
      <sz val="11"/>
      <color rgb="FF000000"/>
      <name val="Calibri1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</fonts>
  <fills count="150">
    <fill>
      <patternFill patternType="none"/>
    </fill>
    <fill>
      <patternFill patternType="gray125"/>
    </fill>
    <fill>
      <patternFill patternType="solid">
        <fgColor rgb="FF98CCFF"/>
        <bgColor rgb="FFBDD7EE"/>
      </patternFill>
    </fill>
    <fill>
      <patternFill patternType="solid">
        <fgColor rgb="FFFFFFFF"/>
        <bgColor rgb="FFF2F2F2"/>
      </patternFill>
    </fill>
    <fill>
      <patternFill patternType="solid">
        <fgColor rgb="FFCCCCFF"/>
        <bgColor rgb="FFBDD7EE"/>
      </patternFill>
    </fill>
    <fill>
      <patternFill patternType="solid">
        <fgColor rgb="FFFF8080"/>
        <bgColor rgb="FFED7D31"/>
      </patternFill>
    </fill>
    <fill>
      <patternFill patternType="solid">
        <fgColor rgb="FFFF99CC"/>
        <bgColor rgb="FFFF8080"/>
      </patternFill>
    </fill>
    <fill>
      <patternFill patternType="solid">
        <fgColor rgb="FFFFFF99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8CBAD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DBE4F3"/>
        <bgColor rgb="FFDDEAF7"/>
      </patternFill>
    </fill>
    <fill>
      <patternFill patternType="solid">
        <fgColor rgb="FFDBE4F3"/>
        <bgColor rgb="FFDDEAF7"/>
      </patternFill>
    </fill>
    <fill>
      <patternFill patternType="solid">
        <fgColor rgb="FFC0C0C0"/>
        <bgColor rgb="FFBFBFBF"/>
      </patternFill>
    </fill>
    <fill>
      <patternFill patternType="solid">
        <fgColor rgb="FFF8CBAD"/>
        <bgColor rgb="FFFFCC99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C000"/>
      </patternFill>
    </fill>
    <fill>
      <patternFill patternType="solid">
        <fgColor rgb="FF0066CA"/>
        <bgColor rgb="FF0070C0"/>
      </patternFill>
    </fill>
    <fill>
      <patternFill patternType="solid">
        <fgColor rgb="FF33CCCC"/>
        <bgColor rgb="FF00B9F8"/>
      </patternFill>
    </fill>
    <fill>
      <patternFill patternType="solid">
        <fgColor rgb="FFFF6600"/>
        <bgColor rgb="FFFF8000"/>
      </patternFill>
    </fill>
    <fill>
      <patternFill patternType="solid">
        <fgColor rgb="FF840045"/>
        <bgColor rgb="FF393396"/>
      </patternFill>
    </fill>
    <fill>
      <patternFill patternType="solid">
        <fgColor rgb="FFFF9900"/>
        <bgColor rgb="FFFF8000"/>
      </patternFill>
    </fill>
    <fill>
      <patternFill patternType="solid">
        <fgColor rgb="FF003366"/>
        <bgColor rgb="FF10523D"/>
      </patternFill>
    </fill>
    <fill>
      <patternFill patternType="mediumGray">
        <fgColor rgb="FF393396"/>
        <bgColor rgb="FF333399"/>
      </patternFill>
    </fill>
    <fill>
      <patternFill patternType="solid">
        <fgColor rgb="FF333399"/>
        <bgColor rgb="FF393396"/>
      </patternFill>
    </fill>
    <fill>
      <patternFill patternType="solid">
        <fgColor rgb="FF969696"/>
        <bgColor rgb="FFA7A6A8"/>
      </patternFill>
    </fill>
    <fill>
      <patternFill patternType="solid">
        <fgColor rgb="FFFF0000"/>
        <bgColor rgb="FF840045"/>
      </patternFill>
    </fill>
    <fill>
      <patternFill patternType="solid">
        <fgColor rgb="FF309B80"/>
        <bgColor rgb="FF2A9A65"/>
      </patternFill>
    </fill>
    <fill>
      <patternFill patternType="darkGray">
        <fgColor rgb="FF2A9A65"/>
        <bgColor rgb="FF309B80"/>
      </patternFill>
    </fill>
    <fill>
      <patternFill patternType="solid">
        <fgColor rgb="FF666695"/>
        <bgColor rgb="FF7F7F7F"/>
      </patternFill>
    </fill>
    <fill>
      <patternFill patternType="darkGray">
        <fgColor rgb="FF497BCA"/>
        <bgColor rgb="FF666695"/>
      </patternFill>
    </fill>
    <fill>
      <patternFill patternType="solid">
        <fgColor rgb="FFFF8000"/>
        <bgColor rgb="FFED7D31"/>
      </patternFill>
    </fill>
    <fill>
      <patternFill patternType="solid">
        <fgColor rgb="FF0070C0"/>
        <bgColor rgb="FF0066CA"/>
      </patternFill>
    </fill>
    <fill>
      <patternFill patternType="solid">
        <fgColor rgb="FF0066CA"/>
        <bgColor rgb="FF0070C0"/>
      </patternFill>
    </fill>
    <fill>
      <patternFill patternType="solid">
        <fgColor rgb="FF00B9F8"/>
        <bgColor rgb="FF33CCCC"/>
      </patternFill>
    </fill>
    <fill>
      <patternFill patternType="darkGray">
        <fgColor rgb="FF00B9F8"/>
        <bgColor rgb="FF33CCCC"/>
      </patternFill>
    </fill>
    <fill>
      <patternFill patternType="solid">
        <fgColor rgb="FFED7D31"/>
        <bgColor rgb="FFFF8000"/>
      </patternFill>
    </fill>
    <fill>
      <patternFill patternType="solid">
        <fgColor rgb="FFFFC000"/>
        <bgColor rgb="FFFFCC00"/>
      </patternFill>
    </fill>
    <fill>
      <patternFill patternType="solid">
        <fgColor rgb="FFA7A6A8"/>
        <bgColor rgb="FF969696"/>
      </patternFill>
    </fill>
    <fill>
      <patternFill patternType="mediumGray">
        <fgColor rgb="FF10523D"/>
        <bgColor rgb="FF333399"/>
      </patternFill>
    </fill>
    <fill>
      <patternFill patternType="solid">
        <fgColor rgb="FFD9D9DB"/>
        <bgColor rgb="FFD8D7D7"/>
      </patternFill>
    </fill>
    <fill>
      <patternFill patternType="solid">
        <fgColor rgb="FFF2F2F2"/>
        <bgColor rgb="FFE7E6E6"/>
      </patternFill>
    </fill>
    <fill>
      <patternFill patternType="solid">
        <fgColor rgb="FFBDD7EE"/>
        <bgColor rgb="FFCCCCFF"/>
      </patternFill>
    </fill>
    <fill>
      <patternFill patternType="solid">
        <fgColor rgb="FFFFFF00"/>
        <bgColor rgb="FFFFCC00"/>
      </patternFill>
    </fill>
    <fill>
      <patternFill patternType="solid">
        <fgColor rgb="FFBFBFBF"/>
        <bgColor rgb="FFC0C0C0"/>
      </patternFill>
    </fill>
    <fill>
      <patternFill patternType="solid">
        <fgColor rgb="FF6666FF"/>
        <bgColor rgb="FF497BCA"/>
      </patternFill>
    </fill>
    <fill>
      <patternFill patternType="solid">
        <fgColor rgb="FFE7E6E6"/>
        <bgColor rgb="FFDBE4F3"/>
      </patternFill>
    </fill>
    <fill>
      <patternFill patternType="solid">
        <fgColor rgb="FFD6E3B4"/>
        <bgColor rgb="FFD8D7D7"/>
      </patternFill>
    </fill>
    <fill>
      <patternFill patternType="solid">
        <fgColor rgb="FFA7A6A8"/>
        <bgColor rgb="FF969696"/>
      </patternFill>
    </fill>
    <fill>
      <patternFill patternType="solid">
        <fgColor rgb="FFD9D9DB"/>
        <bgColor rgb="FFD8D7D7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rgb="FFFFC000"/>
      </patternFill>
    </fill>
    <fill>
      <patternFill patternType="solid">
        <fgColor rgb="FFFFFFFF"/>
        <bgColor rgb="FFFFFFCC"/>
      </patternFill>
    </fill>
    <fill>
      <patternFill patternType="solid">
        <fgColor rgb="FF7ADDF6"/>
        <bgColor rgb="FFC0C0C0"/>
      </patternFill>
    </fill>
    <fill>
      <patternFill patternType="solid">
        <fgColor theme="0"/>
        <bgColor rgb="FFFFCC00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FF8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A5A5A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BDC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E0E5B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49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9"/>
      </patternFill>
    </fill>
    <fill>
      <patternFill patternType="darkTrellis"/>
    </fill>
    <fill>
      <patternFill patternType="solid">
        <fgColor indexed="55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31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57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2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2"/>
      </patternFill>
    </fill>
    <fill>
      <patternFill patternType="solid">
        <fgColor indexed="13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D8D7D7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758F"/>
        <bgColor rgb="FF00758F"/>
      </patternFill>
    </fill>
    <fill>
      <patternFill patternType="solid">
        <fgColor theme="0"/>
        <bgColor indexed="28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rgb="FFFFFF99"/>
      </patternFill>
    </fill>
    <fill>
      <patternFill patternType="solid">
        <fgColor theme="0"/>
        <bgColor rgb="FFCCCCFF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1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</borders>
  <cellStyleXfs count="12132">
    <xf numFmtId="0" fontId="0" fillId="0" borderId="0"/>
    <xf numFmtId="167" fontId="43" fillId="0" borderId="0" applyBorder="0" applyProtection="0"/>
    <xf numFmtId="168" fontId="43" fillId="0" borderId="0" applyBorder="0" applyProtection="0"/>
    <xf numFmtId="0" fontId="7" fillId="0" borderId="0" applyBorder="0" applyProtection="0"/>
    <xf numFmtId="164" fontId="43" fillId="0" borderId="0" applyBorder="0" applyProtection="0"/>
    <xf numFmtId="164" fontId="43" fillId="0" borderId="0" applyBorder="0" applyProtection="0"/>
    <xf numFmtId="0" fontId="43" fillId="2" borderId="0" applyBorder="0" applyProtection="0"/>
    <xf numFmtId="0" fontId="2" fillId="3" borderId="0" applyBorder="0" applyProtection="0"/>
    <xf numFmtId="0" fontId="43" fillId="4" borderId="0" applyBorder="0" applyProtection="0"/>
    <xf numFmtId="0" fontId="43" fillId="4" borderId="0" applyBorder="0" applyProtection="0"/>
    <xf numFmtId="0" fontId="2" fillId="3" borderId="0" applyBorder="0" applyProtection="0"/>
    <xf numFmtId="0" fontId="43" fillId="4" borderId="0" applyBorder="0" applyProtection="0"/>
    <xf numFmtId="0" fontId="2" fillId="3" borderId="0" applyBorder="0" applyProtection="0"/>
    <xf numFmtId="0" fontId="43" fillId="2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4" borderId="0" applyBorder="0" applyProtection="0"/>
    <xf numFmtId="0" fontId="43" fillId="4" borderId="0" applyBorder="0" applyProtection="0"/>
    <xf numFmtId="0" fontId="2" fillId="3" borderId="0" applyBorder="0" applyProtection="0"/>
    <xf numFmtId="0" fontId="43" fillId="2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2" borderId="0" applyBorder="0" applyProtection="0"/>
    <xf numFmtId="0" fontId="43" fillId="3" borderId="0" applyBorder="0" applyProtection="0"/>
    <xf numFmtId="0" fontId="43" fillId="3" borderId="0" applyBorder="0" applyProtection="0"/>
    <xf numFmtId="0" fontId="43" fillId="2" borderId="0" applyBorder="0" applyProtection="0"/>
    <xf numFmtId="0" fontId="43" fillId="3" borderId="0" applyBorder="0" applyProtection="0"/>
    <xf numFmtId="0" fontId="43" fillId="3" borderId="0" applyBorder="0" applyProtection="0"/>
    <xf numFmtId="0" fontId="43" fillId="2" borderId="0" applyBorder="0" applyProtection="0"/>
    <xf numFmtId="0" fontId="43" fillId="3" borderId="0" applyBorder="0" applyProtection="0"/>
    <xf numFmtId="0" fontId="43" fillId="3" borderId="0" applyBorder="0" applyProtection="0"/>
    <xf numFmtId="0" fontId="43" fillId="2" borderId="0" applyBorder="0" applyProtection="0"/>
    <xf numFmtId="0" fontId="43" fillId="2" borderId="0" applyBorder="0" applyProtection="0"/>
    <xf numFmtId="0" fontId="2" fillId="3" borderId="0" applyBorder="0" applyProtection="0"/>
    <xf numFmtId="0" fontId="43" fillId="2" borderId="0" applyBorder="0" applyProtection="0"/>
    <xf numFmtId="0" fontId="2" fillId="3" borderId="0" applyBorder="0" applyProtection="0"/>
    <xf numFmtId="0" fontId="43" fillId="2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2" borderId="0" applyBorder="0" applyProtection="0"/>
    <xf numFmtId="0" fontId="43" fillId="2" borderId="0" applyBorder="0" applyProtection="0"/>
    <xf numFmtId="0" fontId="2" fillId="3" borderId="0" applyBorder="0" applyProtection="0"/>
    <xf numFmtId="0" fontId="43" fillId="2" borderId="0" applyBorder="0" applyProtection="0"/>
    <xf numFmtId="0" fontId="2" fillId="3" borderId="0" applyBorder="0" applyProtection="0"/>
    <xf numFmtId="0" fontId="43" fillId="2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2" borderId="0" applyBorder="0" applyProtection="0"/>
    <xf numFmtId="0" fontId="43" fillId="2" borderId="0" applyBorder="0" applyProtection="0"/>
    <xf numFmtId="0" fontId="2" fillId="3" borderId="0" applyBorder="0" applyProtection="0"/>
    <xf numFmtId="0" fontId="43" fillId="2" borderId="0" applyBorder="0" applyProtection="0"/>
    <xf numFmtId="0" fontId="2" fillId="3" borderId="0" applyBorder="0" applyProtection="0"/>
    <xf numFmtId="0" fontId="43" fillId="2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2" borderId="0" applyBorder="0" applyProtection="0"/>
    <xf numFmtId="0" fontId="43" fillId="2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4" borderId="0" applyBorder="0" applyProtection="0"/>
    <xf numFmtId="0" fontId="43" fillId="2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2" borderId="0" applyBorder="0" applyProtection="0"/>
    <xf numFmtId="0" fontId="2" fillId="3" borderId="0" applyBorder="0" applyProtection="0"/>
    <xf numFmtId="0" fontId="43" fillId="2" borderId="0" applyBorder="0" applyProtection="0"/>
    <xf numFmtId="0" fontId="2" fillId="3" borderId="0" applyBorder="0" applyProtection="0"/>
    <xf numFmtId="0" fontId="43" fillId="2" borderId="0" applyBorder="0" applyProtection="0"/>
    <xf numFmtId="0" fontId="2" fillId="3" borderId="0" applyBorder="0" applyProtection="0"/>
    <xf numFmtId="0" fontId="43" fillId="5" borderId="0" applyBorder="0" applyProtection="0"/>
    <xf numFmtId="0" fontId="2" fillId="3" borderId="0" applyBorder="0" applyProtection="0"/>
    <xf numFmtId="0" fontId="43" fillId="6" borderId="0" applyBorder="0" applyProtection="0"/>
    <xf numFmtId="0" fontId="43" fillId="6" borderId="0" applyBorder="0" applyProtection="0"/>
    <xf numFmtId="0" fontId="2" fillId="3" borderId="0" applyBorder="0" applyProtection="0"/>
    <xf numFmtId="0" fontId="43" fillId="6" borderId="0" applyBorder="0" applyProtection="0"/>
    <xf numFmtId="0" fontId="2" fillId="3" borderId="0" applyBorder="0" applyProtection="0"/>
    <xf numFmtId="0" fontId="43" fillId="5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6" borderId="0" applyBorder="0" applyProtection="0"/>
    <xf numFmtId="0" fontId="43" fillId="6" borderId="0" applyBorder="0" applyProtection="0"/>
    <xf numFmtId="0" fontId="2" fillId="3" borderId="0" applyBorder="0" applyProtection="0"/>
    <xf numFmtId="0" fontId="43" fillId="5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5" borderId="0" applyBorder="0" applyProtection="0"/>
    <xf numFmtId="0" fontId="43" fillId="3" borderId="0" applyBorder="0" applyProtection="0"/>
    <xf numFmtId="0" fontId="43" fillId="3" borderId="0" applyBorder="0" applyProtection="0"/>
    <xf numFmtId="0" fontId="43" fillId="5" borderId="0" applyBorder="0" applyProtection="0"/>
    <xf numFmtId="0" fontId="43" fillId="3" borderId="0" applyBorder="0" applyProtection="0"/>
    <xf numFmtId="0" fontId="43" fillId="3" borderId="0" applyBorder="0" applyProtection="0"/>
    <xf numFmtId="0" fontId="43" fillId="5" borderId="0" applyBorder="0" applyProtection="0"/>
    <xf numFmtId="0" fontId="43" fillId="3" borderId="0" applyBorder="0" applyProtection="0"/>
    <xf numFmtId="0" fontId="43" fillId="3" borderId="0" applyBorder="0" applyProtection="0"/>
    <xf numFmtId="0" fontId="43" fillId="5" borderId="0" applyBorder="0" applyProtection="0"/>
    <xf numFmtId="0" fontId="43" fillId="5" borderId="0" applyBorder="0" applyProtection="0"/>
    <xf numFmtId="0" fontId="2" fillId="3" borderId="0" applyBorder="0" applyProtection="0"/>
    <xf numFmtId="0" fontId="43" fillId="5" borderId="0" applyBorder="0" applyProtection="0"/>
    <xf numFmtId="0" fontId="2" fillId="3" borderId="0" applyBorder="0" applyProtection="0"/>
    <xf numFmtId="0" fontId="43" fillId="5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5" borderId="0" applyBorder="0" applyProtection="0"/>
    <xf numFmtId="0" fontId="43" fillId="5" borderId="0" applyBorder="0" applyProtection="0"/>
    <xf numFmtId="0" fontId="2" fillId="3" borderId="0" applyBorder="0" applyProtection="0"/>
    <xf numFmtId="0" fontId="43" fillId="5" borderId="0" applyBorder="0" applyProtection="0"/>
    <xf numFmtId="0" fontId="2" fillId="3" borderId="0" applyBorder="0" applyProtection="0"/>
    <xf numFmtId="0" fontId="43" fillId="5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5" borderId="0" applyBorder="0" applyProtection="0"/>
    <xf numFmtId="0" fontId="43" fillId="5" borderId="0" applyBorder="0" applyProtection="0"/>
    <xf numFmtId="0" fontId="2" fillId="3" borderId="0" applyBorder="0" applyProtection="0"/>
    <xf numFmtId="0" fontId="43" fillId="5" borderId="0" applyBorder="0" applyProtection="0"/>
    <xf numFmtId="0" fontId="2" fillId="3" borderId="0" applyBorder="0" applyProtection="0"/>
    <xf numFmtId="0" fontId="43" fillId="5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5" borderId="0" applyBorder="0" applyProtection="0"/>
    <xf numFmtId="0" fontId="43" fillId="5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6" borderId="0" applyBorder="0" applyProtection="0"/>
    <xf numFmtId="0" fontId="43" fillId="5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5" borderId="0" applyBorder="0" applyProtection="0"/>
    <xf numFmtId="0" fontId="2" fillId="3" borderId="0" applyBorder="0" applyProtection="0"/>
    <xf numFmtId="0" fontId="43" fillId="5" borderId="0" applyBorder="0" applyProtection="0"/>
    <xf numFmtId="0" fontId="2" fillId="3" borderId="0" applyBorder="0" applyProtection="0"/>
    <xf numFmtId="0" fontId="43" fillId="5" borderId="0" applyBorder="0" applyProtection="0"/>
    <xf numFmtId="0" fontId="2" fillId="3" borderId="0" applyBorder="0" applyProtection="0"/>
    <xf numFmtId="0" fontId="43" fillId="7" borderId="0" applyBorder="0" applyProtection="0"/>
    <xf numFmtId="0" fontId="2" fillId="3" borderId="0" applyBorder="0" applyProtection="0"/>
    <xf numFmtId="0" fontId="43" fillId="8" borderId="0" applyBorder="0" applyProtection="0"/>
    <xf numFmtId="0" fontId="43" fillId="8" borderId="0" applyBorder="0" applyProtection="0"/>
    <xf numFmtId="0" fontId="2" fillId="3" borderId="0" applyBorder="0" applyProtection="0"/>
    <xf numFmtId="0" fontId="43" fillId="8" borderId="0" applyBorder="0" applyProtection="0"/>
    <xf numFmtId="0" fontId="2" fillId="3" borderId="0" applyBorder="0" applyProtection="0"/>
    <xf numFmtId="0" fontId="43" fillId="7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8" borderId="0" applyBorder="0" applyProtection="0"/>
    <xf numFmtId="0" fontId="43" fillId="8" borderId="0" applyBorder="0" applyProtection="0"/>
    <xf numFmtId="0" fontId="2" fillId="3" borderId="0" applyBorder="0" applyProtection="0"/>
    <xf numFmtId="0" fontId="43" fillId="7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7" borderId="0" applyBorder="0" applyProtection="0"/>
    <xf numFmtId="0" fontId="43" fillId="3" borderId="0" applyBorder="0" applyProtection="0"/>
    <xf numFmtId="0" fontId="43" fillId="3" borderId="0" applyBorder="0" applyProtection="0"/>
    <xf numFmtId="0" fontId="43" fillId="7" borderId="0" applyBorder="0" applyProtection="0"/>
    <xf numFmtId="0" fontId="43" fillId="3" borderId="0" applyBorder="0" applyProtection="0"/>
    <xf numFmtId="0" fontId="43" fillId="3" borderId="0" applyBorder="0" applyProtection="0"/>
    <xf numFmtId="0" fontId="43" fillId="7" borderId="0" applyBorder="0" applyProtection="0"/>
    <xf numFmtId="0" fontId="43" fillId="3" borderId="0" applyBorder="0" applyProtection="0"/>
    <xf numFmtId="0" fontId="43" fillId="3" borderId="0" applyBorder="0" applyProtection="0"/>
    <xf numFmtId="0" fontId="43" fillId="7" borderId="0" applyBorder="0" applyProtection="0"/>
    <xf numFmtId="0" fontId="43" fillId="7" borderId="0" applyBorder="0" applyProtection="0"/>
    <xf numFmtId="0" fontId="2" fillId="3" borderId="0" applyBorder="0" applyProtection="0"/>
    <xf numFmtId="0" fontId="43" fillId="7" borderId="0" applyBorder="0" applyProtection="0"/>
    <xf numFmtId="0" fontId="43" fillId="9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7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7" borderId="0" applyBorder="0" applyProtection="0"/>
    <xf numFmtId="0" fontId="43" fillId="7" borderId="0" applyBorder="0" applyProtection="0"/>
    <xf numFmtId="0" fontId="2" fillId="3" borderId="0" applyBorder="0" applyProtection="0"/>
    <xf numFmtId="0" fontId="43" fillId="7" borderId="0" applyBorder="0" applyProtection="0"/>
    <xf numFmtId="0" fontId="2" fillId="3" borderId="0" applyBorder="0" applyProtection="0"/>
    <xf numFmtId="0" fontId="43" fillId="7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7" borderId="0" applyBorder="0" applyProtection="0"/>
    <xf numFmtId="0" fontId="43" fillId="7" borderId="0" applyBorder="0" applyProtection="0"/>
    <xf numFmtId="0" fontId="2" fillId="3" borderId="0" applyBorder="0" applyProtection="0"/>
    <xf numFmtId="0" fontId="43" fillId="7" borderId="0" applyBorder="0" applyProtection="0"/>
    <xf numFmtId="0" fontId="2" fillId="3" borderId="0" applyBorder="0" applyProtection="0"/>
    <xf numFmtId="0" fontId="43" fillId="7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7" borderId="0" applyBorder="0" applyProtection="0"/>
    <xf numFmtId="0" fontId="43" fillId="7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8" borderId="0" applyBorder="0" applyProtection="0"/>
    <xf numFmtId="0" fontId="43" fillId="7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7" borderId="0" applyBorder="0" applyProtection="0"/>
    <xf numFmtId="0" fontId="2" fillId="3" borderId="0" applyBorder="0" applyProtection="0"/>
    <xf numFmtId="0" fontId="43" fillId="7" borderId="0" applyBorder="0" applyProtection="0"/>
    <xf numFmtId="0" fontId="2" fillId="3" borderId="0" applyBorder="0" applyProtection="0"/>
    <xf numFmtId="0" fontId="43" fillId="7" borderId="0" applyBorder="0" applyProtection="0"/>
    <xf numFmtId="0" fontId="2" fillId="3" borderId="0" applyBorder="0" applyProtection="0"/>
    <xf numFmtId="0" fontId="43" fillId="10" borderId="0" applyBorder="0" applyProtection="0"/>
    <xf numFmtId="0" fontId="2" fillId="3" borderId="0" applyBorder="0" applyProtection="0"/>
    <xf numFmtId="0" fontId="43" fillId="11" borderId="0" applyBorder="0" applyProtection="0"/>
    <xf numFmtId="0" fontId="43" fillId="11" borderId="0" applyBorder="0" applyProtection="0"/>
    <xf numFmtId="0" fontId="2" fillId="3" borderId="0" applyBorder="0" applyProtection="0"/>
    <xf numFmtId="0" fontId="43" fillId="11" borderId="0" applyBorder="0" applyProtection="0"/>
    <xf numFmtId="0" fontId="2" fillId="3" borderId="0" applyBorder="0" applyProtection="0"/>
    <xf numFmtId="0" fontId="43" fillId="10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11" borderId="0" applyBorder="0" applyProtection="0"/>
    <xf numFmtId="0" fontId="43" fillId="11" borderId="0" applyBorder="0" applyProtection="0"/>
    <xf numFmtId="0" fontId="2" fillId="3" borderId="0" applyBorder="0" applyProtection="0"/>
    <xf numFmtId="0" fontId="43" fillId="10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10" borderId="0" applyBorder="0" applyProtection="0"/>
    <xf numFmtId="0" fontId="43" fillId="3" borderId="0" applyBorder="0" applyProtection="0"/>
    <xf numFmtId="0" fontId="43" fillId="3" borderId="0" applyBorder="0" applyProtection="0"/>
    <xf numFmtId="0" fontId="43" fillId="10" borderId="0" applyBorder="0" applyProtection="0"/>
    <xf numFmtId="0" fontId="43" fillId="3" borderId="0" applyBorder="0" applyProtection="0"/>
    <xf numFmtId="0" fontId="43" fillId="3" borderId="0" applyBorder="0" applyProtection="0"/>
    <xf numFmtId="0" fontId="43" fillId="10" borderId="0" applyBorder="0" applyProtection="0"/>
    <xf numFmtId="0" fontId="43" fillId="3" borderId="0" applyBorder="0" applyProtection="0"/>
    <xf numFmtId="0" fontId="43" fillId="3" borderId="0" applyBorder="0" applyProtection="0"/>
    <xf numFmtId="0" fontId="43" fillId="10" borderId="0" applyBorder="0" applyProtection="0"/>
    <xf numFmtId="0" fontId="43" fillId="10" borderId="0" applyBorder="0" applyProtection="0"/>
    <xf numFmtId="0" fontId="2" fillId="3" borderId="0" applyBorder="0" applyProtection="0"/>
    <xf numFmtId="0" fontId="43" fillId="10" borderId="0" applyBorder="0" applyProtection="0"/>
    <xf numFmtId="0" fontId="2" fillId="3" borderId="0" applyBorder="0" applyProtection="0"/>
    <xf numFmtId="0" fontId="43" fillId="10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10" borderId="0" applyBorder="0" applyProtection="0"/>
    <xf numFmtId="0" fontId="43" fillId="10" borderId="0" applyBorder="0" applyProtection="0"/>
    <xf numFmtId="0" fontId="2" fillId="3" borderId="0" applyBorder="0" applyProtection="0"/>
    <xf numFmtId="0" fontId="43" fillId="10" borderId="0" applyBorder="0" applyProtection="0"/>
    <xf numFmtId="0" fontId="2" fillId="3" borderId="0" applyBorder="0" applyProtection="0"/>
    <xf numFmtId="0" fontId="43" fillId="10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10" borderId="0" applyBorder="0" applyProtection="0"/>
    <xf numFmtId="0" fontId="43" fillId="10" borderId="0" applyBorder="0" applyProtection="0"/>
    <xf numFmtId="0" fontId="2" fillId="3" borderId="0" applyBorder="0" applyProtection="0"/>
    <xf numFmtId="0" fontId="43" fillId="10" borderId="0" applyBorder="0" applyProtection="0"/>
    <xf numFmtId="0" fontId="2" fillId="3" borderId="0" applyBorder="0" applyProtection="0"/>
    <xf numFmtId="0" fontId="43" fillId="10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10" borderId="0" applyBorder="0" applyProtection="0"/>
    <xf numFmtId="0" fontId="43" fillId="10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11" borderId="0" applyBorder="0" applyProtection="0"/>
    <xf numFmtId="0" fontId="43" fillId="10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10" borderId="0" applyBorder="0" applyProtection="0"/>
    <xf numFmtId="0" fontId="2" fillId="3" borderId="0" applyBorder="0" applyProtection="0"/>
    <xf numFmtId="0" fontId="43" fillId="10" borderId="0" applyBorder="0" applyProtection="0"/>
    <xf numFmtId="0" fontId="2" fillId="3" borderId="0" applyBorder="0" applyProtection="0"/>
    <xf numFmtId="0" fontId="43" fillId="10" borderId="0" applyBorder="0" applyProtection="0"/>
    <xf numFmtId="0" fontId="2" fillId="3" borderId="0" applyBorder="0" applyProtection="0"/>
    <xf numFmtId="0" fontId="43" fillId="12" borderId="0" applyBorder="0" applyProtection="0"/>
    <xf numFmtId="0" fontId="2" fillId="3" borderId="0" applyBorder="0" applyProtection="0"/>
    <xf numFmtId="0" fontId="43" fillId="12" borderId="0" applyBorder="0" applyProtection="0"/>
    <xf numFmtId="0" fontId="43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12" borderId="0" applyBorder="0" applyProtection="0"/>
    <xf numFmtId="0" fontId="2" fillId="3" borderId="0" applyBorder="0" applyProtection="0"/>
    <xf numFmtId="0" fontId="43" fillId="13" borderId="0" applyBorder="0" applyProtection="0"/>
    <xf numFmtId="0" fontId="43" fillId="14" borderId="0" applyBorder="0" applyProtection="0"/>
    <xf numFmtId="0" fontId="43" fillId="14" borderId="0" applyBorder="0" applyProtection="0"/>
    <xf numFmtId="0" fontId="43" fillId="12" borderId="0" applyBorder="0" applyProtection="0"/>
    <xf numFmtId="0" fontId="43" fillId="12" borderId="0" applyBorder="0" applyProtection="0"/>
    <xf numFmtId="0" fontId="2" fillId="3" borderId="0" applyBorder="0" applyProtection="0"/>
    <xf numFmtId="0" fontId="43" fillId="12" borderId="0" applyBorder="0" applyProtection="0"/>
    <xf numFmtId="0" fontId="2" fillId="3" borderId="0" applyBorder="0" applyProtection="0"/>
    <xf numFmtId="0" fontId="43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12" borderId="0" applyBorder="0" applyProtection="0"/>
    <xf numFmtId="0" fontId="43" fillId="12" borderId="0" applyBorder="0" applyProtection="0"/>
    <xf numFmtId="0" fontId="2" fillId="3" borderId="0" applyBorder="0" applyProtection="0"/>
    <xf numFmtId="0" fontId="43" fillId="12" borderId="0" applyBorder="0" applyProtection="0"/>
    <xf numFmtId="0" fontId="2" fillId="3" borderId="0" applyBorder="0" applyProtection="0"/>
    <xf numFmtId="0" fontId="43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12" borderId="0" applyBorder="0" applyProtection="0"/>
    <xf numFmtId="0" fontId="43" fillId="12" borderId="0" applyBorder="0" applyProtection="0"/>
    <xf numFmtId="0" fontId="2" fillId="3" borderId="0" applyBorder="0" applyProtection="0"/>
    <xf numFmtId="0" fontId="43" fillId="12" borderId="0" applyBorder="0" applyProtection="0"/>
    <xf numFmtId="0" fontId="2" fillId="3" borderId="0" applyBorder="0" applyProtection="0"/>
    <xf numFmtId="0" fontId="43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12" borderId="0" applyBorder="0" applyProtection="0"/>
    <xf numFmtId="0" fontId="43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12" borderId="0" applyBorder="0" applyProtection="0"/>
    <xf numFmtId="0" fontId="2" fillId="3" borderId="0" applyBorder="0" applyProtection="0"/>
    <xf numFmtId="0" fontId="43" fillId="12" borderId="0" applyBorder="0" applyProtection="0"/>
    <xf numFmtId="0" fontId="2" fillId="3" borderId="0" applyBorder="0" applyProtection="0"/>
    <xf numFmtId="0" fontId="43" fillId="12" borderId="0" applyBorder="0" applyProtection="0"/>
    <xf numFmtId="0" fontId="2" fillId="3" borderId="0" applyBorder="0" applyProtection="0"/>
    <xf numFmtId="0" fontId="43" fillId="12" borderId="0" applyBorder="0" applyProtection="0"/>
    <xf numFmtId="0" fontId="2" fillId="3" borderId="0" applyBorder="0" applyProtection="0"/>
    <xf numFmtId="0" fontId="43" fillId="7" borderId="0" applyBorder="0" applyProtection="0"/>
    <xf numFmtId="0" fontId="2" fillId="3" borderId="0" applyBorder="0" applyProtection="0"/>
    <xf numFmtId="0" fontId="43" fillId="10" borderId="0" applyBorder="0" applyProtection="0"/>
    <xf numFmtId="0" fontId="43" fillId="10" borderId="0" applyBorder="0" applyProtection="0"/>
    <xf numFmtId="0" fontId="2" fillId="3" borderId="0" applyBorder="0" applyProtection="0"/>
    <xf numFmtId="0" fontId="43" fillId="10" borderId="0" applyBorder="0" applyProtection="0"/>
    <xf numFmtId="0" fontId="2" fillId="3" borderId="0" applyBorder="0" applyProtection="0"/>
    <xf numFmtId="0" fontId="43" fillId="7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10" borderId="0" applyBorder="0" applyProtection="0"/>
    <xf numFmtId="0" fontId="43" fillId="10" borderId="0" applyBorder="0" applyProtection="0"/>
    <xf numFmtId="0" fontId="2" fillId="3" borderId="0" applyBorder="0" applyProtection="0"/>
    <xf numFmtId="0" fontId="43" fillId="7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7" borderId="0" applyBorder="0" applyProtection="0"/>
    <xf numFmtId="0" fontId="43" fillId="3" borderId="0" applyBorder="0" applyProtection="0"/>
    <xf numFmtId="0" fontId="43" fillId="3" borderId="0" applyBorder="0" applyProtection="0"/>
    <xf numFmtId="0" fontId="43" fillId="7" borderId="0" applyBorder="0" applyProtection="0"/>
    <xf numFmtId="0" fontId="43" fillId="3" borderId="0" applyBorder="0" applyProtection="0"/>
    <xf numFmtId="0" fontId="43" fillId="3" borderId="0" applyBorder="0" applyProtection="0"/>
    <xf numFmtId="0" fontId="43" fillId="7" borderId="0" applyBorder="0" applyProtection="0"/>
    <xf numFmtId="0" fontId="43" fillId="3" borderId="0" applyBorder="0" applyProtection="0"/>
    <xf numFmtId="0" fontId="43" fillId="3" borderId="0" applyBorder="0" applyProtection="0"/>
    <xf numFmtId="0" fontId="43" fillId="7" borderId="0" applyBorder="0" applyProtection="0"/>
    <xf numFmtId="0" fontId="43" fillId="7" borderId="0" applyBorder="0" applyProtection="0"/>
    <xf numFmtId="0" fontId="2" fillId="3" borderId="0" applyBorder="0" applyProtection="0"/>
    <xf numFmtId="0" fontId="43" fillId="7" borderId="0" applyBorder="0" applyProtection="0"/>
    <xf numFmtId="0" fontId="43" fillId="9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7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7" borderId="0" applyBorder="0" applyProtection="0"/>
    <xf numFmtId="0" fontId="43" fillId="7" borderId="0" applyBorder="0" applyProtection="0"/>
    <xf numFmtId="0" fontId="2" fillId="3" borderId="0" applyBorder="0" applyProtection="0"/>
    <xf numFmtId="0" fontId="43" fillId="7" borderId="0" applyBorder="0" applyProtection="0"/>
    <xf numFmtId="0" fontId="2" fillId="3" borderId="0" applyBorder="0" applyProtection="0"/>
    <xf numFmtId="0" fontId="43" fillId="7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7" borderId="0" applyBorder="0" applyProtection="0"/>
    <xf numFmtId="0" fontId="43" fillId="7" borderId="0" applyBorder="0" applyProtection="0"/>
    <xf numFmtId="0" fontId="2" fillId="3" borderId="0" applyBorder="0" applyProtection="0"/>
    <xf numFmtId="0" fontId="43" fillId="7" borderId="0" applyBorder="0" applyProtection="0"/>
    <xf numFmtId="0" fontId="2" fillId="3" borderId="0" applyBorder="0" applyProtection="0"/>
    <xf numFmtId="0" fontId="43" fillId="7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7" borderId="0" applyBorder="0" applyProtection="0"/>
    <xf numFmtId="0" fontId="43" fillId="7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10" borderId="0" applyBorder="0" applyProtection="0"/>
    <xf numFmtId="0" fontId="43" fillId="7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7" borderId="0" applyBorder="0" applyProtection="0"/>
    <xf numFmtId="0" fontId="2" fillId="3" borderId="0" applyBorder="0" applyProtection="0"/>
    <xf numFmtId="0" fontId="43" fillId="7" borderId="0" applyBorder="0" applyProtection="0"/>
    <xf numFmtId="0" fontId="2" fillId="3" borderId="0" applyBorder="0" applyProtection="0"/>
    <xf numFmtId="0" fontId="43" fillId="7" borderId="0" applyBorder="0" applyProtection="0"/>
    <xf numFmtId="0" fontId="2" fillId="3" borderId="0" applyBorder="0" applyProtection="0"/>
    <xf numFmtId="0" fontId="43" fillId="0" borderId="0" applyBorder="0" applyProtection="0">
      <alignment horizontal="left" vertical="center" indent="4"/>
    </xf>
    <xf numFmtId="0" fontId="43" fillId="0" borderId="0" applyBorder="0" applyProtection="0">
      <alignment horizontal="left" vertical="center" indent="3"/>
    </xf>
    <xf numFmtId="0" fontId="43" fillId="12" borderId="0" applyBorder="0" applyProtection="0"/>
    <xf numFmtId="0" fontId="2" fillId="3" borderId="0" applyBorder="0" applyProtection="0"/>
    <xf numFmtId="0" fontId="43" fillId="2" borderId="0" applyBorder="0" applyProtection="0"/>
    <xf numFmtId="0" fontId="43" fillId="2" borderId="0" applyBorder="0" applyProtection="0"/>
    <xf numFmtId="0" fontId="2" fillId="3" borderId="0" applyBorder="0" applyProtection="0"/>
    <xf numFmtId="0" fontId="43" fillId="2" borderId="0" applyBorder="0" applyProtection="0"/>
    <xf numFmtId="0" fontId="2" fillId="3" borderId="0" applyBorder="0" applyProtection="0"/>
    <xf numFmtId="0" fontId="43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2" borderId="0" applyBorder="0" applyProtection="0"/>
    <xf numFmtId="0" fontId="43" fillId="2" borderId="0" applyBorder="0" applyProtection="0"/>
    <xf numFmtId="0" fontId="2" fillId="3" borderId="0" applyBorder="0" applyProtection="0"/>
    <xf numFmtId="0" fontId="43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12" borderId="0" applyBorder="0" applyProtection="0"/>
    <xf numFmtId="0" fontId="43" fillId="3" borderId="0" applyBorder="0" applyProtection="0"/>
    <xf numFmtId="0" fontId="43" fillId="3" borderId="0" applyBorder="0" applyProtection="0"/>
    <xf numFmtId="0" fontId="43" fillId="12" borderId="0" applyBorder="0" applyProtection="0"/>
    <xf numFmtId="0" fontId="43" fillId="3" borderId="0" applyBorder="0" applyProtection="0"/>
    <xf numFmtId="0" fontId="43" fillId="3" borderId="0" applyBorder="0" applyProtection="0"/>
    <xf numFmtId="0" fontId="43" fillId="12" borderId="0" applyBorder="0" applyProtection="0"/>
    <xf numFmtId="0" fontId="43" fillId="3" borderId="0" applyBorder="0" applyProtection="0"/>
    <xf numFmtId="0" fontId="43" fillId="3" borderId="0" applyBorder="0" applyProtection="0"/>
    <xf numFmtId="0" fontId="43" fillId="12" borderId="0" applyBorder="0" applyProtection="0"/>
    <xf numFmtId="0" fontId="43" fillId="12" borderId="0" applyBorder="0" applyProtection="0"/>
    <xf numFmtId="0" fontId="2" fillId="3" borderId="0" applyBorder="0" applyProtection="0"/>
    <xf numFmtId="0" fontId="43" fillId="12" borderId="0" applyBorder="0" applyProtection="0"/>
    <xf numFmtId="0" fontId="2" fillId="3" borderId="0" applyBorder="0" applyProtection="0"/>
    <xf numFmtId="0" fontId="43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12" borderId="0" applyBorder="0" applyProtection="0"/>
    <xf numFmtId="0" fontId="43" fillId="12" borderId="0" applyBorder="0" applyProtection="0"/>
    <xf numFmtId="0" fontId="2" fillId="3" borderId="0" applyBorder="0" applyProtection="0"/>
    <xf numFmtId="0" fontId="43" fillId="12" borderId="0" applyBorder="0" applyProtection="0"/>
    <xf numFmtId="0" fontId="2" fillId="3" borderId="0" applyBorder="0" applyProtection="0"/>
    <xf numFmtId="0" fontId="43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12" borderId="0" applyBorder="0" applyProtection="0"/>
    <xf numFmtId="0" fontId="43" fillId="12" borderId="0" applyBorder="0" applyProtection="0"/>
    <xf numFmtId="0" fontId="2" fillId="3" borderId="0" applyBorder="0" applyProtection="0"/>
    <xf numFmtId="0" fontId="43" fillId="12" borderId="0" applyBorder="0" applyProtection="0"/>
    <xf numFmtId="0" fontId="2" fillId="3" borderId="0" applyBorder="0" applyProtection="0"/>
    <xf numFmtId="0" fontId="43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12" borderId="0" applyBorder="0" applyProtection="0"/>
    <xf numFmtId="0" fontId="43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15" borderId="0" applyBorder="0" applyProtection="0"/>
    <xf numFmtId="0" fontId="43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12" borderId="0" applyBorder="0" applyProtection="0"/>
    <xf numFmtId="0" fontId="2" fillId="3" borderId="0" applyBorder="0" applyProtection="0"/>
    <xf numFmtId="0" fontId="43" fillId="12" borderId="0" applyBorder="0" applyProtection="0"/>
    <xf numFmtId="0" fontId="2" fillId="3" borderId="0" applyBorder="0" applyProtection="0"/>
    <xf numFmtId="0" fontId="43" fillId="12" borderId="0" applyBorder="0" applyProtection="0"/>
    <xf numFmtId="0" fontId="2" fillId="3" borderId="0" applyBorder="0" applyProtection="0"/>
    <xf numFmtId="0" fontId="43" fillId="5" borderId="0" applyBorder="0" applyProtection="0"/>
    <xf numFmtId="0" fontId="2" fillId="3" borderId="0" applyBorder="0" applyProtection="0"/>
    <xf numFmtId="0" fontId="43" fillId="5" borderId="0" applyBorder="0" applyProtection="0"/>
    <xf numFmtId="0" fontId="43" fillId="5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5" borderId="0" applyBorder="0" applyProtection="0"/>
    <xf numFmtId="0" fontId="2" fillId="3" borderId="0" applyBorder="0" applyProtection="0"/>
    <xf numFmtId="0" fontId="43" fillId="16" borderId="0" applyBorder="0" applyProtection="0"/>
    <xf numFmtId="0" fontId="43" fillId="16" borderId="0" applyBorder="0" applyProtection="0"/>
    <xf numFmtId="0" fontId="43" fillId="16" borderId="0" applyBorder="0" applyProtection="0"/>
    <xf numFmtId="0" fontId="43" fillId="5" borderId="0" applyBorder="0" applyProtection="0"/>
    <xf numFmtId="0" fontId="43" fillId="5" borderId="0" applyBorder="0" applyProtection="0"/>
    <xf numFmtId="0" fontId="2" fillId="3" borderId="0" applyBorder="0" applyProtection="0"/>
    <xf numFmtId="0" fontId="43" fillId="5" borderId="0" applyBorder="0" applyProtection="0"/>
    <xf numFmtId="0" fontId="2" fillId="3" borderId="0" applyBorder="0" applyProtection="0"/>
    <xf numFmtId="0" fontId="43" fillId="5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5" borderId="0" applyBorder="0" applyProtection="0"/>
    <xf numFmtId="0" fontId="43" fillId="5" borderId="0" applyBorder="0" applyProtection="0"/>
    <xf numFmtId="0" fontId="2" fillId="3" borderId="0" applyBorder="0" applyProtection="0"/>
    <xf numFmtId="0" fontId="43" fillId="5" borderId="0" applyBorder="0" applyProtection="0"/>
    <xf numFmtId="0" fontId="2" fillId="3" borderId="0" applyBorder="0" applyProtection="0"/>
    <xf numFmtId="0" fontId="43" fillId="5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5" borderId="0" applyBorder="0" applyProtection="0"/>
    <xf numFmtId="0" fontId="43" fillId="5" borderId="0" applyBorder="0" applyProtection="0"/>
    <xf numFmtId="0" fontId="2" fillId="3" borderId="0" applyBorder="0" applyProtection="0"/>
    <xf numFmtId="0" fontId="43" fillId="5" borderId="0" applyBorder="0" applyProtection="0"/>
    <xf numFmtId="0" fontId="2" fillId="3" borderId="0" applyBorder="0" applyProtection="0"/>
    <xf numFmtId="0" fontId="43" fillId="5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5" borderId="0" applyBorder="0" applyProtection="0"/>
    <xf numFmtId="0" fontId="43" fillId="5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5" borderId="0" applyBorder="0" applyProtection="0"/>
    <xf numFmtId="0" fontId="2" fillId="3" borderId="0" applyBorder="0" applyProtection="0"/>
    <xf numFmtId="0" fontId="43" fillId="5" borderId="0" applyBorder="0" applyProtection="0"/>
    <xf numFmtId="0" fontId="2" fillId="3" borderId="0" applyBorder="0" applyProtection="0"/>
    <xf numFmtId="0" fontId="43" fillId="5" borderId="0" applyBorder="0" applyProtection="0"/>
    <xf numFmtId="0" fontId="2" fillId="3" borderId="0" applyBorder="0" applyProtection="0"/>
    <xf numFmtId="0" fontId="43" fillId="5" borderId="0" applyBorder="0" applyProtection="0"/>
    <xf numFmtId="0" fontId="2" fillId="3" borderId="0" applyBorder="0" applyProtection="0"/>
    <xf numFmtId="0" fontId="43" fillId="9" borderId="0" applyBorder="0" applyProtection="0"/>
    <xf numFmtId="0" fontId="2" fillId="3" borderId="0" applyBorder="0" applyProtection="0"/>
    <xf numFmtId="0" fontId="43" fillId="17" borderId="0" applyBorder="0" applyProtection="0"/>
    <xf numFmtId="0" fontId="43" fillId="17" borderId="0" applyBorder="0" applyProtection="0"/>
    <xf numFmtId="0" fontId="2" fillId="3" borderId="0" applyBorder="0" applyProtection="0"/>
    <xf numFmtId="0" fontId="43" fillId="17" borderId="0" applyBorder="0" applyProtection="0"/>
    <xf numFmtId="0" fontId="2" fillId="3" borderId="0" applyBorder="0" applyProtection="0"/>
    <xf numFmtId="0" fontId="43" fillId="9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17" borderId="0" applyBorder="0" applyProtection="0"/>
    <xf numFmtId="0" fontId="43" fillId="17" borderId="0" applyBorder="0" applyProtection="0"/>
    <xf numFmtId="0" fontId="2" fillId="3" borderId="0" applyBorder="0" applyProtection="0"/>
    <xf numFmtId="0" fontId="43" fillId="9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9" borderId="0" applyBorder="0" applyProtection="0"/>
    <xf numFmtId="0" fontId="43" fillId="3" borderId="0" applyBorder="0" applyProtection="0"/>
    <xf numFmtId="0" fontId="43" fillId="3" borderId="0" applyBorder="0" applyProtection="0"/>
    <xf numFmtId="0" fontId="43" fillId="9" borderId="0" applyBorder="0" applyProtection="0"/>
    <xf numFmtId="0" fontId="43" fillId="3" borderId="0" applyBorder="0" applyProtection="0"/>
    <xf numFmtId="0" fontId="43" fillId="3" borderId="0" applyBorder="0" applyProtection="0"/>
    <xf numFmtId="0" fontId="43" fillId="9" borderId="0" applyBorder="0" applyProtection="0"/>
    <xf numFmtId="0" fontId="43" fillId="3" borderId="0" applyBorder="0" applyProtection="0"/>
    <xf numFmtId="0" fontId="43" fillId="3" borderId="0" applyBorder="0" applyProtection="0"/>
    <xf numFmtId="0" fontId="43" fillId="9" borderId="0" applyBorder="0" applyProtection="0"/>
    <xf numFmtId="0" fontId="43" fillId="9" borderId="0" applyBorder="0" applyProtection="0"/>
    <xf numFmtId="0" fontId="2" fillId="3" borderId="0" applyBorder="0" applyProtection="0"/>
    <xf numFmtId="0" fontId="43" fillId="9" borderId="0" applyBorder="0" applyProtection="0"/>
    <xf numFmtId="0" fontId="43" fillId="7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9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9" borderId="0" applyBorder="0" applyProtection="0"/>
    <xf numFmtId="0" fontId="43" fillId="9" borderId="0" applyBorder="0" applyProtection="0"/>
    <xf numFmtId="0" fontId="2" fillId="3" borderId="0" applyBorder="0" applyProtection="0"/>
    <xf numFmtId="0" fontId="43" fillId="9" borderId="0" applyBorder="0" applyProtection="0"/>
    <xf numFmtId="0" fontId="2" fillId="3" borderId="0" applyBorder="0" applyProtection="0"/>
    <xf numFmtId="0" fontId="43" fillId="9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9" borderId="0" applyBorder="0" applyProtection="0"/>
    <xf numFmtId="0" fontId="43" fillId="9" borderId="0" applyBorder="0" applyProtection="0"/>
    <xf numFmtId="0" fontId="2" fillId="3" borderId="0" applyBorder="0" applyProtection="0"/>
    <xf numFmtId="0" fontId="43" fillId="9" borderId="0" applyBorder="0" applyProtection="0"/>
    <xf numFmtId="0" fontId="2" fillId="3" borderId="0" applyBorder="0" applyProtection="0"/>
    <xf numFmtId="0" fontId="43" fillId="9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9" borderId="0" applyBorder="0" applyProtection="0"/>
    <xf numFmtId="0" fontId="43" fillId="9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7" borderId="0" applyBorder="0" applyProtection="0"/>
    <xf numFmtId="0" fontId="43" fillId="9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9" borderId="0" applyBorder="0" applyProtection="0"/>
    <xf numFmtId="0" fontId="2" fillId="3" borderId="0" applyBorder="0" applyProtection="0"/>
    <xf numFmtId="0" fontId="43" fillId="9" borderId="0" applyBorder="0" applyProtection="0"/>
    <xf numFmtId="0" fontId="2" fillId="3" borderId="0" applyBorder="0" applyProtection="0"/>
    <xf numFmtId="0" fontId="43" fillId="9" borderId="0" applyBorder="0" applyProtection="0"/>
    <xf numFmtId="0" fontId="2" fillId="3" borderId="0" applyBorder="0" applyProtection="0"/>
    <xf numFmtId="0" fontId="43" fillId="6" borderId="0" applyBorder="0" applyProtection="0"/>
    <xf numFmtId="0" fontId="2" fillId="3" borderId="0" applyBorder="0" applyProtection="0"/>
    <xf numFmtId="0" fontId="43" fillId="11" borderId="0" applyBorder="0" applyProtection="0"/>
    <xf numFmtId="0" fontId="43" fillId="11" borderId="0" applyBorder="0" applyProtection="0"/>
    <xf numFmtId="0" fontId="2" fillId="3" borderId="0" applyBorder="0" applyProtection="0"/>
    <xf numFmtId="0" fontId="43" fillId="11" borderId="0" applyBorder="0" applyProtection="0"/>
    <xf numFmtId="0" fontId="2" fillId="3" borderId="0" applyBorder="0" applyProtection="0"/>
    <xf numFmtId="0" fontId="43" fillId="6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11" borderId="0" applyBorder="0" applyProtection="0"/>
    <xf numFmtId="0" fontId="43" fillId="11" borderId="0" applyBorder="0" applyProtection="0"/>
    <xf numFmtId="0" fontId="2" fillId="3" borderId="0" applyBorder="0" applyProtection="0"/>
    <xf numFmtId="0" fontId="43" fillId="6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6" borderId="0" applyBorder="0" applyProtection="0"/>
    <xf numFmtId="0" fontId="43" fillId="3" borderId="0" applyBorder="0" applyProtection="0"/>
    <xf numFmtId="0" fontId="43" fillId="3" borderId="0" applyBorder="0" applyProtection="0"/>
    <xf numFmtId="0" fontId="43" fillId="6" borderId="0" applyBorder="0" applyProtection="0"/>
    <xf numFmtId="0" fontId="43" fillId="3" borderId="0" applyBorder="0" applyProtection="0"/>
    <xf numFmtId="0" fontId="43" fillId="3" borderId="0" applyBorder="0" applyProtection="0"/>
    <xf numFmtId="0" fontId="43" fillId="6" borderId="0" applyBorder="0" applyProtection="0"/>
    <xf numFmtId="0" fontId="43" fillId="3" borderId="0" applyBorder="0" applyProtection="0"/>
    <xf numFmtId="0" fontId="43" fillId="3" borderId="0" applyBorder="0" applyProtection="0"/>
    <xf numFmtId="0" fontId="43" fillId="6" borderId="0" applyBorder="0" applyProtection="0"/>
    <xf numFmtId="0" fontId="43" fillId="6" borderId="0" applyBorder="0" applyProtection="0"/>
    <xf numFmtId="0" fontId="2" fillId="3" borderId="0" applyBorder="0" applyProtection="0"/>
    <xf numFmtId="0" fontId="43" fillId="6" borderId="0" applyBorder="0" applyProtection="0"/>
    <xf numFmtId="0" fontId="2" fillId="3" borderId="0" applyBorder="0" applyProtection="0"/>
    <xf numFmtId="0" fontId="43" fillId="6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6" borderId="0" applyBorder="0" applyProtection="0"/>
    <xf numFmtId="0" fontId="43" fillId="6" borderId="0" applyBorder="0" applyProtection="0"/>
    <xf numFmtId="0" fontId="2" fillId="3" borderId="0" applyBorder="0" applyProtection="0"/>
    <xf numFmtId="0" fontId="43" fillId="6" borderId="0" applyBorder="0" applyProtection="0"/>
    <xf numFmtId="0" fontId="2" fillId="3" borderId="0" applyBorder="0" applyProtection="0"/>
    <xf numFmtId="0" fontId="43" fillId="6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6" borderId="0" applyBorder="0" applyProtection="0"/>
    <xf numFmtId="0" fontId="43" fillId="6" borderId="0" applyBorder="0" applyProtection="0"/>
    <xf numFmtId="0" fontId="2" fillId="3" borderId="0" applyBorder="0" applyProtection="0"/>
    <xf numFmtId="0" fontId="43" fillId="6" borderId="0" applyBorder="0" applyProtection="0"/>
    <xf numFmtId="0" fontId="2" fillId="3" borderId="0" applyBorder="0" applyProtection="0"/>
    <xf numFmtId="0" fontId="43" fillId="6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6" borderId="0" applyBorder="0" applyProtection="0"/>
    <xf numFmtId="0" fontId="43" fillId="6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15" borderId="0" applyBorder="0" applyProtection="0"/>
    <xf numFmtId="0" fontId="43" fillId="6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6" borderId="0" applyBorder="0" applyProtection="0"/>
    <xf numFmtId="0" fontId="2" fillId="3" borderId="0" applyBorder="0" applyProtection="0"/>
    <xf numFmtId="0" fontId="43" fillId="6" borderId="0" applyBorder="0" applyProtection="0"/>
    <xf numFmtId="0" fontId="2" fillId="3" borderId="0" applyBorder="0" applyProtection="0"/>
    <xf numFmtId="0" fontId="43" fillId="6" borderId="0" applyBorder="0" applyProtection="0"/>
    <xf numFmtId="0" fontId="2" fillId="3" borderId="0" applyBorder="0" applyProtection="0"/>
    <xf numFmtId="0" fontId="43" fillId="12" borderId="0" applyBorder="0" applyProtection="0"/>
    <xf numFmtId="0" fontId="2" fillId="3" borderId="0" applyBorder="0" applyProtection="0"/>
    <xf numFmtId="0" fontId="43" fillId="2" borderId="0" applyBorder="0" applyProtection="0"/>
    <xf numFmtId="0" fontId="43" fillId="2" borderId="0" applyBorder="0" applyProtection="0"/>
    <xf numFmtId="0" fontId="2" fillId="3" borderId="0" applyBorder="0" applyProtection="0"/>
    <xf numFmtId="0" fontId="43" fillId="2" borderId="0" applyBorder="0" applyProtection="0"/>
    <xf numFmtId="0" fontId="2" fillId="3" borderId="0" applyBorder="0" applyProtection="0"/>
    <xf numFmtId="0" fontId="43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2" borderId="0" applyBorder="0" applyProtection="0"/>
    <xf numFmtId="0" fontId="43" fillId="2" borderId="0" applyBorder="0" applyProtection="0"/>
    <xf numFmtId="0" fontId="2" fillId="3" borderId="0" applyBorder="0" applyProtection="0"/>
    <xf numFmtId="0" fontId="43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12" borderId="0" applyBorder="0" applyProtection="0"/>
    <xf numFmtId="0" fontId="43" fillId="3" borderId="0" applyBorder="0" applyProtection="0"/>
    <xf numFmtId="0" fontId="43" fillId="3" borderId="0" applyBorder="0" applyProtection="0"/>
    <xf numFmtId="0" fontId="43" fillId="12" borderId="0" applyBorder="0" applyProtection="0"/>
    <xf numFmtId="0" fontId="43" fillId="3" borderId="0" applyBorder="0" applyProtection="0"/>
    <xf numFmtId="0" fontId="43" fillId="3" borderId="0" applyBorder="0" applyProtection="0"/>
    <xf numFmtId="0" fontId="43" fillId="12" borderId="0" applyBorder="0" applyProtection="0"/>
    <xf numFmtId="0" fontId="43" fillId="3" borderId="0" applyBorder="0" applyProtection="0"/>
    <xf numFmtId="0" fontId="43" fillId="3" borderId="0" applyBorder="0" applyProtection="0"/>
    <xf numFmtId="0" fontId="43" fillId="12" borderId="0" applyBorder="0" applyProtection="0"/>
    <xf numFmtId="0" fontId="43" fillId="12" borderId="0" applyBorder="0" applyProtection="0"/>
    <xf numFmtId="0" fontId="2" fillId="3" borderId="0" applyBorder="0" applyProtection="0"/>
    <xf numFmtId="0" fontId="43" fillId="12" borderId="0" applyBorder="0" applyProtection="0"/>
    <xf numFmtId="0" fontId="2" fillId="3" borderId="0" applyBorder="0" applyProtection="0"/>
    <xf numFmtId="0" fontId="43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12" borderId="0" applyBorder="0" applyProtection="0"/>
    <xf numFmtId="0" fontId="43" fillId="12" borderId="0" applyBorder="0" applyProtection="0"/>
    <xf numFmtId="0" fontId="2" fillId="3" borderId="0" applyBorder="0" applyProtection="0"/>
    <xf numFmtId="0" fontId="43" fillId="12" borderId="0" applyBorder="0" applyProtection="0"/>
    <xf numFmtId="0" fontId="2" fillId="3" borderId="0" applyBorder="0" applyProtection="0"/>
    <xf numFmtId="0" fontId="43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12" borderId="0" applyBorder="0" applyProtection="0"/>
    <xf numFmtId="0" fontId="43" fillId="12" borderId="0" applyBorder="0" applyProtection="0"/>
    <xf numFmtId="0" fontId="2" fillId="3" borderId="0" applyBorder="0" applyProtection="0"/>
    <xf numFmtId="0" fontId="43" fillId="12" borderId="0" applyBorder="0" applyProtection="0"/>
    <xf numFmtId="0" fontId="2" fillId="3" borderId="0" applyBorder="0" applyProtection="0"/>
    <xf numFmtId="0" fontId="43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12" borderId="0" applyBorder="0" applyProtection="0"/>
    <xf numFmtId="0" fontId="43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2" borderId="0" applyBorder="0" applyProtection="0"/>
    <xf numFmtId="0" fontId="43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12" borderId="0" applyBorder="0" applyProtection="0"/>
    <xf numFmtId="0" fontId="2" fillId="3" borderId="0" applyBorder="0" applyProtection="0"/>
    <xf numFmtId="0" fontId="43" fillId="12" borderId="0" applyBorder="0" applyProtection="0"/>
    <xf numFmtId="0" fontId="2" fillId="3" borderId="0" applyBorder="0" applyProtection="0"/>
    <xf numFmtId="0" fontId="43" fillId="12" borderId="0" applyBorder="0" applyProtection="0"/>
    <xf numFmtId="0" fontId="2" fillId="3" borderId="0" applyBorder="0" applyProtection="0"/>
    <xf numFmtId="0" fontId="43" fillId="9" borderId="0" applyBorder="0" applyProtection="0"/>
    <xf numFmtId="0" fontId="2" fillId="3" borderId="0" applyBorder="0" applyProtection="0"/>
    <xf numFmtId="0" fontId="43" fillId="18" borderId="0" applyBorder="0" applyProtection="0"/>
    <xf numFmtId="0" fontId="43" fillId="18" borderId="0" applyBorder="0" applyProtection="0"/>
    <xf numFmtId="0" fontId="2" fillId="3" borderId="0" applyBorder="0" applyProtection="0"/>
    <xf numFmtId="0" fontId="43" fillId="18" borderId="0" applyBorder="0" applyProtection="0"/>
    <xf numFmtId="0" fontId="2" fillId="3" borderId="0" applyBorder="0" applyProtection="0"/>
    <xf numFmtId="0" fontId="43" fillId="9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18" borderId="0" applyBorder="0" applyProtection="0"/>
    <xf numFmtId="0" fontId="43" fillId="18" borderId="0" applyBorder="0" applyProtection="0"/>
    <xf numFmtId="0" fontId="2" fillId="3" borderId="0" applyBorder="0" applyProtection="0"/>
    <xf numFmtId="0" fontId="43" fillId="9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9" borderId="0" applyBorder="0" applyProtection="0"/>
    <xf numFmtId="0" fontId="43" fillId="3" borderId="0" applyBorder="0" applyProtection="0"/>
    <xf numFmtId="0" fontId="43" fillId="3" borderId="0" applyBorder="0" applyProtection="0"/>
    <xf numFmtId="0" fontId="43" fillId="9" borderId="0" applyBorder="0" applyProtection="0"/>
    <xf numFmtId="0" fontId="43" fillId="3" borderId="0" applyBorder="0" applyProtection="0"/>
    <xf numFmtId="0" fontId="43" fillId="3" borderId="0" applyBorder="0" applyProtection="0"/>
    <xf numFmtId="0" fontId="43" fillId="9" borderId="0" applyBorder="0" applyProtection="0"/>
    <xf numFmtId="0" fontId="43" fillId="3" borderId="0" applyBorder="0" applyProtection="0"/>
    <xf numFmtId="0" fontId="43" fillId="3" borderId="0" applyBorder="0" applyProtection="0"/>
    <xf numFmtId="0" fontId="43" fillId="9" borderId="0" applyBorder="0" applyProtection="0"/>
    <xf numFmtId="0" fontId="43" fillId="9" borderId="0" applyBorder="0" applyProtection="0"/>
    <xf numFmtId="0" fontId="2" fillId="3" borderId="0" applyBorder="0" applyProtection="0"/>
    <xf numFmtId="0" fontId="43" fillId="9" borderId="0" applyBorder="0" applyProtection="0"/>
    <xf numFmtId="0" fontId="2" fillId="3" borderId="0" applyBorder="0" applyProtection="0"/>
    <xf numFmtId="0" fontId="43" fillId="9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9" borderId="0" applyBorder="0" applyProtection="0"/>
    <xf numFmtId="0" fontId="43" fillId="9" borderId="0" applyBorder="0" applyProtection="0"/>
    <xf numFmtId="0" fontId="2" fillId="3" borderId="0" applyBorder="0" applyProtection="0"/>
    <xf numFmtId="0" fontId="43" fillId="9" borderId="0" applyBorder="0" applyProtection="0"/>
    <xf numFmtId="0" fontId="2" fillId="3" borderId="0" applyBorder="0" applyProtection="0"/>
    <xf numFmtId="0" fontId="43" fillId="9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9" borderId="0" applyBorder="0" applyProtection="0"/>
    <xf numFmtId="0" fontId="43" fillId="9" borderId="0" applyBorder="0" applyProtection="0"/>
    <xf numFmtId="0" fontId="2" fillId="3" borderId="0" applyBorder="0" applyProtection="0"/>
    <xf numFmtId="0" fontId="43" fillId="9" borderId="0" applyBorder="0" applyProtection="0"/>
    <xf numFmtId="0" fontId="2" fillId="3" borderId="0" applyBorder="0" applyProtection="0"/>
    <xf numFmtId="0" fontId="43" fillId="9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9" borderId="0" applyBorder="0" applyProtection="0"/>
    <xf numFmtId="0" fontId="43" fillId="9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7" borderId="0" applyBorder="0" applyProtection="0"/>
    <xf numFmtId="0" fontId="43" fillId="9" borderId="0" applyBorder="0" applyProtection="0"/>
    <xf numFmtId="0" fontId="2" fillId="3" borderId="0" applyBorder="0" applyProtection="0"/>
    <xf numFmtId="0" fontId="2" fillId="3" borderId="0" applyBorder="0" applyProtection="0"/>
    <xf numFmtId="0" fontId="43" fillId="9" borderId="0" applyBorder="0" applyProtection="0"/>
    <xf numFmtId="0" fontId="2" fillId="3" borderId="0" applyBorder="0" applyProtection="0"/>
    <xf numFmtId="0" fontId="43" fillId="9" borderId="0" applyBorder="0" applyProtection="0"/>
    <xf numFmtId="0" fontId="2" fillId="3" borderId="0" applyBorder="0" applyProtection="0"/>
    <xf numFmtId="0" fontId="43" fillId="9" borderId="0" applyBorder="0" applyProtection="0"/>
    <xf numFmtId="0" fontId="2" fillId="3" borderId="0" applyBorder="0" applyProtection="0"/>
    <xf numFmtId="0" fontId="43" fillId="0" borderId="0" applyBorder="0" applyProtection="0">
      <alignment horizontal="left" vertical="center" indent="9"/>
    </xf>
    <xf numFmtId="0" fontId="43" fillId="0" borderId="0" applyBorder="0" applyProtection="0">
      <alignment horizontal="left" vertical="center" indent="7"/>
    </xf>
    <xf numFmtId="0" fontId="3" fillId="12" borderId="0" applyBorder="0" applyProtection="0"/>
    <xf numFmtId="0" fontId="2" fillId="3" borderId="0" applyBorder="0" applyProtection="0"/>
    <xf numFmtId="0" fontId="3" fillId="19" borderId="0" applyBorder="0" applyProtection="0"/>
    <xf numFmtId="0" fontId="3" fillId="19" borderId="0" applyBorder="0" applyProtection="0"/>
    <xf numFmtId="0" fontId="2" fillId="3" borderId="0" applyBorder="0" applyProtection="0"/>
    <xf numFmtId="0" fontId="3" fillId="19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19" borderId="0" applyBorder="0" applyProtection="0"/>
    <xf numFmtId="0" fontId="3" fillId="19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12" borderId="0" applyBorder="0" applyProtection="0"/>
    <xf numFmtId="0" fontId="3" fillId="3" borderId="0" applyBorder="0" applyProtection="0"/>
    <xf numFmtId="0" fontId="3" fillId="12" borderId="0" applyBorder="0" applyProtection="0"/>
    <xf numFmtId="0" fontId="3" fillId="3" borderId="0" applyBorder="0" applyProtection="0"/>
    <xf numFmtId="0" fontId="3" fillId="12" borderId="0" applyBorder="0" applyProtection="0"/>
    <xf numFmtId="0" fontId="3" fillId="3" borderId="0" applyBorder="0" applyProtection="0"/>
    <xf numFmtId="0" fontId="3" fillId="12" borderId="0" applyBorder="0" applyProtection="0"/>
    <xf numFmtId="0" fontId="3" fillId="12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12" borderId="0" applyBorder="0" applyProtection="0"/>
    <xf numFmtId="0" fontId="3" fillId="12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12" borderId="0" applyBorder="0" applyProtection="0"/>
    <xf numFmtId="0" fontId="3" fillId="12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12" borderId="0" applyBorder="0" applyProtection="0"/>
    <xf numFmtId="0" fontId="3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0" borderId="0" applyBorder="0" applyProtection="0"/>
    <xf numFmtId="0" fontId="3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5" borderId="0" applyBorder="0" applyProtection="0"/>
    <xf numFmtId="0" fontId="3" fillId="5" borderId="0" applyBorder="0" applyProtection="0"/>
    <xf numFmtId="0" fontId="2" fillId="3" borderId="0" applyBorder="0" applyProtection="0"/>
    <xf numFmtId="0" fontId="3" fillId="5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5" borderId="0" applyBorder="0" applyProtection="0"/>
    <xf numFmtId="0" fontId="3" fillId="5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1" borderId="0" applyBorder="0" applyProtection="0"/>
    <xf numFmtId="0" fontId="3" fillId="3" borderId="0" applyBorder="0" applyProtection="0"/>
    <xf numFmtId="0" fontId="3" fillId="21" borderId="0" applyBorder="0" applyProtection="0"/>
    <xf numFmtId="0" fontId="3" fillId="3" borderId="0" applyBorder="0" applyProtection="0"/>
    <xf numFmtId="0" fontId="3" fillId="21" borderId="0" applyBorder="0" applyProtection="0"/>
    <xf numFmtId="0" fontId="3" fillId="3" borderId="0" applyBorder="0" applyProtection="0"/>
    <xf numFmtId="0" fontId="3" fillId="21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1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1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1" borderId="0" applyBorder="0" applyProtection="0"/>
    <xf numFmtId="0" fontId="3" fillId="21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5" borderId="0" applyBorder="0" applyProtection="0"/>
    <xf numFmtId="0" fontId="3" fillId="21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7" borderId="0" applyBorder="0" applyProtection="0"/>
    <xf numFmtId="0" fontId="3" fillId="17" borderId="0" applyBorder="0" applyProtection="0"/>
    <xf numFmtId="0" fontId="2" fillId="3" borderId="0" applyBorder="0" applyProtection="0"/>
    <xf numFmtId="0" fontId="3" fillId="17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17" borderId="0" applyBorder="0" applyProtection="0"/>
    <xf numFmtId="0" fontId="3" fillId="17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18" borderId="0" applyBorder="0" applyProtection="0"/>
    <xf numFmtId="0" fontId="3" fillId="3" borderId="0" applyBorder="0" applyProtection="0"/>
    <xf numFmtId="0" fontId="3" fillId="18" borderId="0" applyBorder="0" applyProtection="0"/>
    <xf numFmtId="0" fontId="3" fillId="3" borderId="0" applyBorder="0" applyProtection="0"/>
    <xf numFmtId="0" fontId="3" fillId="18" borderId="0" applyBorder="0" applyProtection="0"/>
    <xf numFmtId="0" fontId="3" fillId="3" borderId="0" applyBorder="0" applyProtection="0"/>
    <xf numFmtId="0" fontId="3" fillId="18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18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18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18" borderId="0" applyBorder="0" applyProtection="0"/>
    <xf numFmtId="0" fontId="3" fillId="18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7" borderId="0" applyBorder="0" applyProtection="0"/>
    <xf numFmtId="0" fontId="3" fillId="18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6" borderId="0" applyBorder="0" applyProtection="0"/>
    <xf numFmtId="0" fontId="2" fillId="3" borderId="0" applyBorder="0" applyProtection="0"/>
    <xf numFmtId="0" fontId="3" fillId="22" borderId="0" applyBorder="0" applyProtection="0"/>
    <xf numFmtId="0" fontId="3" fillId="22" borderId="0" applyBorder="0" applyProtection="0"/>
    <xf numFmtId="0" fontId="2" fillId="3" borderId="0" applyBorder="0" applyProtection="0"/>
    <xf numFmtId="0" fontId="3" fillId="22" borderId="0" applyBorder="0" applyProtection="0"/>
    <xf numFmtId="0" fontId="2" fillId="3" borderId="0" applyBorder="0" applyProtection="0"/>
    <xf numFmtId="0" fontId="3" fillId="6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2" borderId="0" applyBorder="0" applyProtection="0"/>
    <xf numFmtId="0" fontId="3" fillId="22" borderId="0" applyBorder="0" applyProtection="0"/>
    <xf numFmtId="0" fontId="2" fillId="3" borderId="0" applyBorder="0" applyProtection="0"/>
    <xf numFmtId="0" fontId="3" fillId="6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6" borderId="0" applyBorder="0" applyProtection="0"/>
    <xf numFmtId="0" fontId="3" fillId="3" borderId="0" applyBorder="0" applyProtection="0"/>
    <xf numFmtId="0" fontId="3" fillId="6" borderId="0" applyBorder="0" applyProtection="0"/>
    <xf numFmtId="0" fontId="3" fillId="3" borderId="0" applyBorder="0" applyProtection="0"/>
    <xf numFmtId="0" fontId="3" fillId="6" borderId="0" applyBorder="0" applyProtection="0"/>
    <xf numFmtId="0" fontId="3" fillId="3" borderId="0" applyBorder="0" applyProtection="0"/>
    <xf numFmtId="0" fontId="3" fillId="6" borderId="0" applyBorder="0" applyProtection="0"/>
    <xf numFmtId="0" fontId="3" fillId="6" borderId="0" applyBorder="0" applyProtection="0"/>
    <xf numFmtId="0" fontId="2" fillId="3" borderId="0" applyBorder="0" applyProtection="0"/>
    <xf numFmtId="0" fontId="3" fillId="6" borderId="0" applyBorder="0" applyProtection="0"/>
    <xf numFmtId="0" fontId="2" fillId="3" borderId="0" applyBorder="0" applyProtection="0"/>
    <xf numFmtId="0" fontId="3" fillId="6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6" borderId="0" applyBorder="0" applyProtection="0"/>
    <xf numFmtId="0" fontId="3" fillId="6" borderId="0" applyBorder="0" applyProtection="0"/>
    <xf numFmtId="0" fontId="2" fillId="3" borderId="0" applyBorder="0" applyProtection="0"/>
    <xf numFmtId="0" fontId="3" fillId="6" borderId="0" applyBorder="0" applyProtection="0"/>
    <xf numFmtId="0" fontId="2" fillId="3" borderId="0" applyBorder="0" applyProtection="0"/>
    <xf numFmtId="0" fontId="3" fillId="6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6" borderId="0" applyBorder="0" applyProtection="0"/>
    <xf numFmtId="0" fontId="3" fillId="6" borderId="0" applyBorder="0" applyProtection="0"/>
    <xf numFmtId="0" fontId="2" fillId="3" borderId="0" applyBorder="0" applyProtection="0"/>
    <xf numFmtId="0" fontId="3" fillId="6" borderId="0" applyBorder="0" applyProtection="0"/>
    <xf numFmtId="0" fontId="2" fillId="3" borderId="0" applyBorder="0" applyProtection="0"/>
    <xf numFmtId="0" fontId="3" fillId="6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6" borderId="0" applyBorder="0" applyProtection="0"/>
    <xf numFmtId="0" fontId="3" fillId="6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15" borderId="0" applyBorder="0" applyProtection="0"/>
    <xf numFmtId="0" fontId="3" fillId="6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6" borderId="0" applyBorder="0" applyProtection="0"/>
    <xf numFmtId="0" fontId="2" fillId="3" borderId="0" applyBorder="0" applyProtection="0"/>
    <xf numFmtId="0" fontId="3" fillId="6" borderId="0" applyBorder="0" applyProtection="0"/>
    <xf numFmtId="0" fontId="2" fillId="3" borderId="0" applyBorder="0" applyProtection="0"/>
    <xf numFmtId="0" fontId="3" fillId="6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3" fillId="20" borderId="0" applyBorder="0" applyProtection="0"/>
    <xf numFmtId="0" fontId="3" fillId="20" borderId="0" applyBorder="0" applyProtection="0"/>
    <xf numFmtId="0" fontId="2" fillId="3" borderId="0" applyBorder="0" applyProtection="0"/>
    <xf numFmtId="0" fontId="3" fillId="20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0" borderId="0" applyBorder="0" applyProtection="0"/>
    <xf numFmtId="0" fontId="3" fillId="20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12" borderId="0" applyBorder="0" applyProtection="0"/>
    <xf numFmtId="0" fontId="3" fillId="3" borderId="0" applyBorder="0" applyProtection="0"/>
    <xf numFmtId="0" fontId="3" fillId="12" borderId="0" applyBorder="0" applyProtection="0"/>
    <xf numFmtId="0" fontId="3" fillId="3" borderId="0" applyBorder="0" applyProtection="0"/>
    <xf numFmtId="0" fontId="3" fillId="12" borderId="0" applyBorder="0" applyProtection="0"/>
    <xf numFmtId="0" fontId="3" fillId="3" borderId="0" applyBorder="0" applyProtection="0"/>
    <xf numFmtId="0" fontId="3" fillId="12" borderId="0" applyBorder="0" applyProtection="0"/>
    <xf numFmtId="0" fontId="3" fillId="12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12" borderId="0" applyBorder="0" applyProtection="0"/>
    <xf numFmtId="0" fontId="3" fillId="12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12" borderId="0" applyBorder="0" applyProtection="0"/>
    <xf numFmtId="0" fontId="3" fillId="12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12" borderId="0" applyBorder="0" applyProtection="0"/>
    <xf numFmtId="0" fontId="3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0" borderId="0" applyBorder="0" applyProtection="0"/>
    <xf numFmtId="0" fontId="3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3" fillId="5" borderId="0" applyBorder="0" applyProtection="0"/>
    <xf numFmtId="0" fontId="2" fillId="3" borderId="0" applyBorder="0" applyProtection="0"/>
    <xf numFmtId="0" fontId="3" fillId="23" borderId="0" applyBorder="0" applyProtection="0"/>
    <xf numFmtId="0" fontId="3" fillId="23" borderId="0" applyBorder="0" applyProtection="0"/>
    <xf numFmtId="0" fontId="2" fillId="3" borderId="0" applyBorder="0" applyProtection="0"/>
    <xf numFmtId="0" fontId="3" fillId="23" borderId="0" applyBorder="0" applyProtection="0"/>
    <xf numFmtId="0" fontId="2" fillId="3" borderId="0" applyBorder="0" applyProtection="0"/>
    <xf numFmtId="0" fontId="3" fillId="5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3" borderId="0" applyBorder="0" applyProtection="0"/>
    <xf numFmtId="0" fontId="3" fillId="23" borderId="0" applyBorder="0" applyProtection="0"/>
    <xf numFmtId="0" fontId="2" fillId="3" borderId="0" applyBorder="0" applyProtection="0"/>
    <xf numFmtId="0" fontId="3" fillId="5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5" borderId="0" applyBorder="0" applyProtection="0"/>
    <xf numFmtId="0" fontId="3" fillId="3" borderId="0" applyBorder="0" applyProtection="0"/>
    <xf numFmtId="0" fontId="3" fillId="5" borderId="0" applyBorder="0" applyProtection="0"/>
    <xf numFmtId="0" fontId="3" fillId="3" borderId="0" applyBorder="0" applyProtection="0"/>
    <xf numFmtId="0" fontId="3" fillId="5" borderId="0" applyBorder="0" applyProtection="0"/>
    <xf numFmtId="0" fontId="3" fillId="3" borderId="0" applyBorder="0" applyProtection="0"/>
    <xf numFmtId="0" fontId="3" fillId="5" borderId="0" applyBorder="0" applyProtection="0"/>
    <xf numFmtId="0" fontId="3" fillId="5" borderId="0" applyBorder="0" applyProtection="0"/>
    <xf numFmtId="0" fontId="2" fillId="3" borderId="0" applyBorder="0" applyProtection="0"/>
    <xf numFmtId="0" fontId="3" fillId="5" borderId="0" applyBorder="0" applyProtection="0"/>
    <xf numFmtId="0" fontId="2" fillId="3" borderId="0" applyBorder="0" applyProtection="0"/>
    <xf numFmtId="0" fontId="3" fillId="5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5" borderId="0" applyBorder="0" applyProtection="0"/>
    <xf numFmtId="0" fontId="3" fillId="5" borderId="0" applyBorder="0" applyProtection="0"/>
    <xf numFmtId="0" fontId="2" fillId="3" borderId="0" applyBorder="0" applyProtection="0"/>
    <xf numFmtId="0" fontId="3" fillId="5" borderId="0" applyBorder="0" applyProtection="0"/>
    <xf numFmtId="0" fontId="2" fillId="3" borderId="0" applyBorder="0" applyProtection="0"/>
    <xf numFmtId="0" fontId="3" fillId="5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5" borderId="0" applyBorder="0" applyProtection="0"/>
    <xf numFmtId="0" fontId="3" fillId="5" borderId="0" applyBorder="0" applyProtection="0"/>
    <xf numFmtId="0" fontId="2" fillId="3" borderId="0" applyBorder="0" applyProtection="0"/>
    <xf numFmtId="0" fontId="3" fillId="5" borderId="0" applyBorder="0" applyProtection="0"/>
    <xf numFmtId="0" fontId="2" fillId="3" borderId="0" applyBorder="0" applyProtection="0"/>
    <xf numFmtId="0" fontId="3" fillId="5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5" borderId="0" applyBorder="0" applyProtection="0"/>
    <xf numFmtId="0" fontId="3" fillId="5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5" borderId="0" applyBorder="0" applyProtection="0"/>
    <xf numFmtId="0" fontId="2" fillId="3" borderId="0" applyBorder="0" applyProtection="0"/>
    <xf numFmtId="0" fontId="3" fillId="5" borderId="0" applyBorder="0" applyProtection="0"/>
    <xf numFmtId="0" fontId="2" fillId="3" borderId="0" applyBorder="0" applyProtection="0"/>
    <xf numFmtId="0" fontId="3" fillId="5" borderId="0" applyBorder="0" applyProtection="0"/>
    <xf numFmtId="0" fontId="2" fillId="3" borderId="0" applyBorder="0" applyProtection="0"/>
    <xf numFmtId="0" fontId="3" fillId="5" borderId="0" applyBorder="0" applyProtection="0"/>
    <xf numFmtId="0" fontId="2" fillId="3" borderId="0" applyBorder="0" applyProtection="0"/>
    <xf numFmtId="0" fontId="4" fillId="0" borderId="0"/>
    <xf numFmtId="0" fontId="4" fillId="0" borderId="0"/>
    <xf numFmtId="165" fontId="4" fillId="4" borderId="0"/>
    <xf numFmtId="165" fontId="4" fillId="3" borderId="0"/>
    <xf numFmtId="0" fontId="43" fillId="4" borderId="0" applyBorder="0" applyProtection="0"/>
    <xf numFmtId="0" fontId="2" fillId="3" borderId="0" applyBorder="0" applyProtection="0"/>
    <xf numFmtId="0" fontId="43" fillId="4" borderId="0" applyBorder="0" applyProtection="0"/>
    <xf numFmtId="0" fontId="2" fillId="3" borderId="0" applyBorder="0" applyProtection="0"/>
    <xf numFmtId="0" fontId="3" fillId="2" borderId="0" applyBorder="0" applyProtection="0"/>
    <xf numFmtId="0" fontId="2" fillId="3" borderId="0" applyBorder="0" applyProtection="0"/>
    <xf numFmtId="0" fontId="3" fillId="24" borderId="0" applyBorder="0" applyProtection="0"/>
    <xf numFmtId="0" fontId="2" fillId="24" borderId="0" applyBorder="0" applyProtection="0"/>
    <xf numFmtId="0" fontId="3" fillId="24" borderId="0" applyBorder="0" applyProtection="0"/>
    <xf numFmtId="0" fontId="3" fillId="25" borderId="0" applyBorder="0" applyProtection="0"/>
    <xf numFmtId="0" fontId="2" fillId="26" borderId="0" applyBorder="0" applyProtection="0"/>
    <xf numFmtId="0" fontId="3" fillId="25" borderId="0" applyBorder="0" applyProtection="0"/>
    <xf numFmtId="0" fontId="2" fillId="26" borderId="0" applyBorder="0" applyProtection="0"/>
    <xf numFmtId="0" fontId="3" fillId="24" borderId="0" applyBorder="0" applyProtection="0"/>
    <xf numFmtId="0" fontId="2" fillId="24" borderId="0" applyBorder="0" applyProtection="0"/>
    <xf numFmtId="0" fontId="3" fillId="25" borderId="0" applyBorder="0" applyProtection="0"/>
    <xf numFmtId="0" fontId="2" fillId="26" borderId="0" applyBorder="0" applyProtection="0"/>
    <xf numFmtId="0" fontId="2" fillId="24" borderId="0" applyBorder="0" applyProtection="0"/>
    <xf numFmtId="0" fontId="3" fillId="24" borderId="0" applyBorder="0" applyProtection="0"/>
    <xf numFmtId="0" fontId="3" fillId="25" borderId="0" applyBorder="0" applyProtection="0"/>
    <xf numFmtId="0" fontId="2" fillId="26" borderId="0" applyBorder="0" applyProtection="0"/>
    <xf numFmtId="0" fontId="3" fillId="24" borderId="0" applyBorder="0" applyProtection="0"/>
    <xf numFmtId="0" fontId="2" fillId="24" borderId="0" applyBorder="0" applyProtection="0"/>
    <xf numFmtId="0" fontId="3" fillId="25" borderId="0" applyBorder="0" applyProtection="0"/>
    <xf numFmtId="0" fontId="2" fillId="26" borderId="0" applyBorder="0" applyProtection="0"/>
    <xf numFmtId="0" fontId="2" fillId="24" borderId="0" applyBorder="0" applyProtection="0"/>
    <xf numFmtId="0" fontId="3" fillId="24" borderId="0" applyBorder="0" applyProtection="0"/>
    <xf numFmtId="0" fontId="3" fillId="24" borderId="0" applyBorder="0" applyProtection="0"/>
    <xf numFmtId="0" fontId="3" fillId="24" borderId="0" applyBorder="0" applyProtection="0"/>
    <xf numFmtId="0" fontId="2" fillId="24" borderId="0" applyBorder="0" applyProtection="0"/>
    <xf numFmtId="0" fontId="3" fillId="24" borderId="0" applyBorder="0" applyProtection="0"/>
    <xf numFmtId="0" fontId="3" fillId="24" borderId="0" applyBorder="0" applyProtection="0"/>
    <xf numFmtId="0" fontId="3" fillId="24" borderId="0" applyBorder="0" applyProtection="0"/>
    <xf numFmtId="0" fontId="3" fillId="24" borderId="0" applyBorder="0" applyProtection="0"/>
    <xf numFmtId="0" fontId="3" fillId="24" borderId="0" applyBorder="0" applyProtection="0"/>
    <xf numFmtId="0" fontId="2" fillId="24" borderId="0" applyBorder="0" applyProtection="0"/>
    <xf numFmtId="0" fontId="3" fillId="24" borderId="0" applyBorder="0" applyProtection="0"/>
    <xf numFmtId="0" fontId="2" fillId="24" borderId="0" applyBorder="0" applyProtection="0"/>
    <xf numFmtId="0" fontId="3" fillId="24" borderId="0" applyBorder="0" applyProtection="0"/>
    <xf numFmtId="0" fontId="2" fillId="24" borderId="0" applyBorder="0" applyProtection="0"/>
    <xf numFmtId="0" fontId="3" fillId="24" borderId="0" applyBorder="0" applyProtection="0"/>
    <xf numFmtId="0" fontId="2" fillId="24" borderId="0" applyBorder="0" applyProtection="0"/>
    <xf numFmtId="0" fontId="3" fillId="24" borderId="0" applyBorder="0" applyProtection="0"/>
    <xf numFmtId="0" fontId="3" fillId="24" borderId="0" applyBorder="0" applyProtection="0"/>
    <xf numFmtId="0" fontId="2" fillId="24" borderId="0" applyBorder="0" applyProtection="0"/>
    <xf numFmtId="0" fontId="3" fillId="24" borderId="0" applyBorder="0" applyProtection="0"/>
    <xf numFmtId="0" fontId="2" fillId="24" borderId="0" applyBorder="0" applyProtection="0"/>
    <xf numFmtId="0" fontId="3" fillId="24" borderId="0" applyBorder="0" applyProtection="0"/>
    <xf numFmtId="0" fontId="2" fillId="24" borderId="0" applyBorder="0" applyProtection="0"/>
    <xf numFmtId="0" fontId="2" fillId="24" borderId="0" applyBorder="0" applyProtection="0"/>
    <xf numFmtId="0" fontId="3" fillId="24" borderId="0" applyBorder="0" applyProtection="0"/>
    <xf numFmtId="0" fontId="2" fillId="24" borderId="0" applyBorder="0" applyProtection="0"/>
    <xf numFmtId="0" fontId="3" fillId="24" borderId="0" applyBorder="0" applyProtection="0"/>
    <xf numFmtId="0" fontId="2" fillId="24" borderId="0" applyBorder="0" applyProtection="0"/>
    <xf numFmtId="0" fontId="3" fillId="24" borderId="0" applyBorder="0" applyProtection="0"/>
    <xf numFmtId="0" fontId="2" fillId="24" borderId="0" applyBorder="0" applyProtection="0"/>
    <xf numFmtId="0" fontId="3" fillId="24" borderId="0" applyBorder="0" applyProtection="0"/>
    <xf numFmtId="0" fontId="3" fillId="24" borderId="0" applyBorder="0" applyProtection="0"/>
    <xf numFmtId="0" fontId="2" fillId="24" borderId="0" applyBorder="0" applyProtection="0"/>
    <xf numFmtId="0" fontId="3" fillId="24" borderId="0" applyBorder="0" applyProtection="0"/>
    <xf numFmtId="0" fontId="2" fillId="24" borderId="0" applyBorder="0" applyProtection="0"/>
    <xf numFmtId="0" fontId="3" fillId="24" borderId="0" applyBorder="0" applyProtection="0"/>
    <xf numFmtId="0" fontId="2" fillId="24" borderId="0" applyBorder="0" applyProtection="0"/>
    <xf numFmtId="0" fontId="2" fillId="24" borderId="0" applyBorder="0" applyProtection="0"/>
    <xf numFmtId="0" fontId="3" fillId="24" borderId="0" applyBorder="0" applyProtection="0"/>
    <xf numFmtId="0" fontId="3" fillId="24" borderId="0" applyBorder="0" applyProtection="0"/>
    <xf numFmtId="0" fontId="2" fillId="24" borderId="0" applyBorder="0" applyProtection="0"/>
    <xf numFmtId="0" fontId="3" fillId="24" borderId="0" applyBorder="0" applyProtection="0"/>
    <xf numFmtId="0" fontId="2" fillId="24" borderId="0" applyBorder="0" applyProtection="0"/>
    <xf numFmtId="0" fontId="3" fillId="24" borderId="0" applyBorder="0" applyProtection="0"/>
    <xf numFmtId="0" fontId="2" fillId="24" borderId="0" applyBorder="0" applyProtection="0"/>
    <xf numFmtId="0" fontId="2" fillId="24" borderId="0" applyBorder="0" applyProtection="0"/>
    <xf numFmtId="0" fontId="3" fillId="24" borderId="0" applyBorder="0" applyProtection="0"/>
    <xf numFmtId="0" fontId="3" fillId="24" borderId="0" applyBorder="0" applyProtection="0"/>
    <xf numFmtId="0" fontId="2" fillId="24" borderId="0" applyBorder="0" applyProtection="0"/>
    <xf numFmtId="0" fontId="2" fillId="24" borderId="0" applyBorder="0" applyProtection="0"/>
    <xf numFmtId="0" fontId="3" fillId="20" borderId="0" applyBorder="0" applyProtection="0"/>
    <xf numFmtId="0" fontId="3" fillId="24" borderId="0" applyBorder="0" applyProtection="0"/>
    <xf numFmtId="0" fontId="2" fillId="24" borderId="0" applyBorder="0" applyProtection="0"/>
    <xf numFmtId="0" fontId="2" fillId="3" borderId="0" applyBorder="0" applyProtection="0"/>
    <xf numFmtId="0" fontId="3" fillId="20" borderId="0" applyBorder="0" applyProtection="0"/>
    <xf numFmtId="0" fontId="3" fillId="24" borderId="0" applyBorder="0" applyProtection="0"/>
    <xf numFmtId="0" fontId="2" fillId="24" borderId="0" applyBorder="0" applyProtection="0"/>
    <xf numFmtId="0" fontId="2" fillId="3" borderId="0" applyBorder="0" applyProtection="0"/>
    <xf numFmtId="0" fontId="3" fillId="20" borderId="0" applyBorder="0" applyProtection="0"/>
    <xf numFmtId="0" fontId="3" fillId="24" borderId="0" applyBorder="0" applyProtection="0"/>
    <xf numFmtId="0" fontId="2" fillId="24" borderId="0" applyBorder="0" applyProtection="0"/>
    <xf numFmtId="0" fontId="2" fillId="3" borderId="0" applyBorder="0" applyProtection="0"/>
    <xf numFmtId="0" fontId="3" fillId="24" borderId="0" applyBorder="0" applyProtection="0"/>
    <xf numFmtId="0" fontId="2" fillId="24" borderId="0" applyBorder="0" applyProtection="0"/>
    <xf numFmtId="0" fontId="43" fillId="9" borderId="0" applyBorder="0" applyProtection="0"/>
    <xf numFmtId="0" fontId="2" fillId="3" borderId="0" applyBorder="0" applyProtection="0"/>
    <xf numFmtId="0" fontId="43" fillId="15" borderId="0" applyBorder="0" applyProtection="0"/>
    <xf numFmtId="0" fontId="2" fillId="3" borderId="0" applyBorder="0" applyProtection="0"/>
    <xf numFmtId="0" fontId="3" fillId="27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3" fillId="28" borderId="0" applyBorder="0" applyProtection="0"/>
    <xf numFmtId="0" fontId="2" fillId="3" borderId="0" applyBorder="0" applyProtection="0"/>
    <xf numFmtId="0" fontId="3" fillId="28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8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1" borderId="0" applyBorder="0" applyProtection="0"/>
    <xf numFmtId="0" fontId="3" fillId="28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8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1" borderId="0" applyBorder="0" applyProtection="0"/>
    <xf numFmtId="0" fontId="3" fillId="21" borderId="0" applyBorder="0" applyProtection="0"/>
    <xf numFmtId="0" fontId="3" fillId="3" borderId="0" applyBorder="0" applyProtection="0"/>
    <xf numFmtId="0" fontId="2" fillId="3" borderId="0" applyBorder="0" applyProtection="0"/>
    <xf numFmtId="0" fontId="3" fillId="21" borderId="0" applyBorder="0" applyProtection="0"/>
    <xf numFmtId="0" fontId="3" fillId="3" borderId="0" applyBorder="0" applyProtection="0"/>
    <xf numFmtId="0" fontId="3" fillId="21" borderId="0" applyBorder="0" applyProtection="0"/>
    <xf numFmtId="0" fontId="3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1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1" borderId="0" applyBorder="0" applyProtection="0"/>
    <xf numFmtId="0" fontId="3" fillId="21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8" borderId="0" applyBorder="0" applyProtection="0"/>
    <xf numFmtId="0" fontId="3" fillId="21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8" borderId="0" applyBorder="0" applyProtection="0"/>
    <xf numFmtId="0" fontId="3" fillId="21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8" borderId="0" applyBorder="0" applyProtection="0"/>
    <xf numFmtId="0" fontId="3" fillId="21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43" fillId="9" borderId="0" applyBorder="0" applyProtection="0"/>
    <xf numFmtId="0" fontId="2" fillId="3" borderId="0" applyBorder="0" applyProtection="0"/>
    <xf numFmtId="0" fontId="43" fillId="8" borderId="0" applyBorder="0" applyProtection="0"/>
    <xf numFmtId="0" fontId="2" fillId="3" borderId="0" applyBorder="0" applyProtection="0"/>
    <xf numFmtId="0" fontId="3" fillId="15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3" fillId="29" borderId="0" applyBorder="0" applyProtection="0"/>
    <xf numFmtId="0" fontId="2" fillId="30" borderId="0" applyBorder="0" applyProtection="0"/>
    <xf numFmtId="0" fontId="3" fillId="29" borderId="0" applyBorder="0" applyProtection="0"/>
    <xf numFmtId="0" fontId="2" fillId="30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29" borderId="0" applyBorder="0" applyProtection="0"/>
    <xf numFmtId="0" fontId="2" fillId="30" borderId="0" applyBorder="0" applyProtection="0"/>
    <xf numFmtId="0" fontId="2" fillId="3" borderId="0" applyBorder="0" applyProtection="0"/>
    <xf numFmtId="0" fontId="3" fillId="18" borderId="0" applyBorder="0" applyProtection="0"/>
    <xf numFmtId="0" fontId="3" fillId="29" borderId="0" applyBorder="0" applyProtection="0"/>
    <xf numFmtId="0" fontId="2" fillId="30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29" borderId="0" applyBorder="0" applyProtection="0"/>
    <xf numFmtId="0" fontId="2" fillId="30" borderId="0" applyBorder="0" applyProtection="0"/>
    <xf numFmtId="0" fontId="2" fillId="3" borderId="0" applyBorder="0" applyProtection="0"/>
    <xf numFmtId="0" fontId="3" fillId="18" borderId="0" applyBorder="0" applyProtection="0"/>
    <xf numFmtId="0" fontId="3" fillId="18" borderId="0" applyBorder="0" applyProtection="0"/>
    <xf numFmtId="0" fontId="3" fillId="3" borderId="0" applyBorder="0" applyProtection="0"/>
    <xf numFmtId="0" fontId="2" fillId="3" borderId="0" applyBorder="0" applyProtection="0"/>
    <xf numFmtId="0" fontId="3" fillId="18" borderId="0" applyBorder="0" applyProtection="0"/>
    <xf numFmtId="0" fontId="3" fillId="3" borderId="0" applyBorder="0" applyProtection="0"/>
    <xf numFmtId="0" fontId="3" fillId="18" borderId="0" applyBorder="0" applyProtection="0"/>
    <xf numFmtId="0" fontId="3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18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18" borderId="0" applyBorder="0" applyProtection="0"/>
    <xf numFmtId="0" fontId="3" fillId="18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9" borderId="0" applyBorder="0" applyProtection="0"/>
    <xf numFmtId="0" fontId="3" fillId="18" borderId="0" applyBorder="0" applyProtection="0"/>
    <xf numFmtId="0" fontId="2" fillId="3" borderId="0" applyBorder="0" applyProtection="0"/>
    <xf numFmtId="0" fontId="2" fillId="30" borderId="0" applyBorder="0" applyProtection="0"/>
    <xf numFmtId="0" fontId="3" fillId="29" borderId="0" applyBorder="0" applyProtection="0"/>
    <xf numFmtId="0" fontId="3" fillId="18" borderId="0" applyBorder="0" applyProtection="0"/>
    <xf numFmtId="0" fontId="2" fillId="3" borderId="0" applyBorder="0" applyProtection="0"/>
    <xf numFmtId="0" fontId="2" fillId="30" borderId="0" applyBorder="0" applyProtection="0"/>
    <xf numFmtId="0" fontId="3" fillId="29" borderId="0" applyBorder="0" applyProtection="0"/>
    <xf numFmtId="0" fontId="3" fillId="18" borderId="0" applyBorder="0" applyProtection="0"/>
    <xf numFmtId="0" fontId="2" fillId="3" borderId="0" applyBorder="0" applyProtection="0"/>
    <xf numFmtId="0" fontId="2" fillId="30" borderId="0" applyBorder="0" applyProtection="0"/>
    <xf numFmtId="0" fontId="3" fillId="18" borderId="0" applyBorder="0" applyProtection="0"/>
    <xf numFmtId="0" fontId="2" fillId="3" borderId="0" applyBorder="0" applyProtection="0"/>
    <xf numFmtId="0" fontId="43" fillId="4" borderId="0" applyBorder="0" applyProtection="0"/>
    <xf numFmtId="0" fontId="2" fillId="3" borderId="0" applyBorder="0" applyProtection="0"/>
    <xf numFmtId="0" fontId="43" fillId="15" borderId="0" applyBorder="0" applyProtection="0"/>
    <xf numFmtId="0" fontId="2" fillId="3" borderId="0" applyBorder="0" applyProtection="0"/>
    <xf numFmtId="0" fontId="3" fillId="15" borderId="0" applyBorder="0" applyProtection="0"/>
    <xf numFmtId="0" fontId="2" fillId="3" borderId="0" applyBorder="0" applyProtection="0"/>
    <xf numFmtId="0" fontId="3" fillId="31" borderId="0" applyBorder="0" applyProtection="0"/>
    <xf numFmtId="0" fontId="2" fillId="3" borderId="0" applyBorder="0" applyProtection="0"/>
    <xf numFmtId="0" fontId="3" fillId="22" borderId="0" applyBorder="0" applyProtection="0"/>
    <xf numFmtId="0" fontId="3" fillId="22" borderId="0" applyBorder="0" applyProtection="0"/>
    <xf numFmtId="0" fontId="2" fillId="3" borderId="0" applyBorder="0" applyProtection="0"/>
    <xf numFmtId="0" fontId="3" fillId="22" borderId="0" applyBorder="0" applyProtection="0"/>
    <xf numFmtId="0" fontId="2" fillId="3" borderId="0" applyBorder="0" applyProtection="0"/>
    <xf numFmtId="0" fontId="3" fillId="31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2" borderId="0" applyBorder="0" applyProtection="0"/>
    <xf numFmtId="0" fontId="3" fillId="22" borderId="0" applyBorder="0" applyProtection="0"/>
    <xf numFmtId="0" fontId="2" fillId="3" borderId="0" applyBorder="0" applyProtection="0"/>
    <xf numFmtId="0" fontId="3" fillId="31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31" borderId="0" applyBorder="0" applyProtection="0"/>
    <xf numFmtId="0" fontId="3" fillId="3" borderId="0" applyBorder="0" applyProtection="0"/>
    <xf numFmtId="0" fontId="3" fillId="31" borderId="0" applyBorder="0" applyProtection="0"/>
    <xf numFmtId="0" fontId="3" fillId="3" borderId="0" applyBorder="0" applyProtection="0"/>
    <xf numFmtId="0" fontId="3" fillId="31" borderId="0" applyBorder="0" applyProtection="0"/>
    <xf numFmtId="0" fontId="3" fillId="3" borderId="0" applyBorder="0" applyProtection="0"/>
    <xf numFmtId="0" fontId="3" fillId="31" borderId="0" applyBorder="0" applyProtection="0"/>
    <xf numFmtId="0" fontId="2" fillId="3" borderId="0" applyBorder="0" applyProtection="0"/>
    <xf numFmtId="0" fontId="3" fillId="31" borderId="0" applyBorder="0" applyProtection="0"/>
    <xf numFmtId="0" fontId="2" fillId="3" borderId="0" applyBorder="0" applyProtection="0"/>
    <xf numFmtId="0" fontId="3" fillId="31" borderId="0" applyBorder="0" applyProtection="0"/>
    <xf numFmtId="0" fontId="2" fillId="3" borderId="0" applyBorder="0" applyProtection="0"/>
    <xf numFmtId="0" fontId="3" fillId="31" borderId="0" applyBorder="0" applyProtection="0"/>
    <xf numFmtId="0" fontId="2" fillId="3" borderId="0" applyBorder="0" applyProtection="0"/>
    <xf numFmtId="0" fontId="3" fillId="31" borderId="0" applyBorder="0" applyProtection="0"/>
    <xf numFmtId="0" fontId="3" fillId="31" borderId="0" applyBorder="0" applyProtection="0"/>
    <xf numFmtId="0" fontId="2" fillId="3" borderId="0" applyBorder="0" applyProtection="0"/>
    <xf numFmtId="0" fontId="3" fillId="31" borderId="0" applyBorder="0" applyProtection="0"/>
    <xf numFmtId="0" fontId="2" fillId="3" borderId="0" applyBorder="0" applyProtection="0"/>
    <xf numFmtId="0" fontId="3" fillId="31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31" borderId="0" applyBorder="0" applyProtection="0"/>
    <xf numFmtId="0" fontId="2" fillId="3" borderId="0" applyBorder="0" applyProtection="0"/>
    <xf numFmtId="0" fontId="3" fillId="31" borderId="0" applyBorder="0" applyProtection="0"/>
    <xf numFmtId="0" fontId="2" fillId="3" borderId="0" applyBorder="0" applyProtection="0"/>
    <xf numFmtId="0" fontId="3" fillId="31" borderId="0" applyBorder="0" applyProtection="0"/>
    <xf numFmtId="0" fontId="2" fillId="3" borderId="0" applyBorder="0" applyProtection="0"/>
    <xf numFmtId="0" fontId="3" fillId="31" borderId="0" applyBorder="0" applyProtection="0"/>
    <xf numFmtId="0" fontId="3" fillId="31" borderId="0" applyBorder="0" applyProtection="0"/>
    <xf numFmtId="0" fontId="2" fillId="3" borderId="0" applyBorder="0" applyProtection="0"/>
    <xf numFmtId="0" fontId="3" fillId="31" borderId="0" applyBorder="0" applyProtection="0"/>
    <xf numFmtId="0" fontId="2" fillId="3" borderId="0" applyBorder="0" applyProtection="0"/>
    <xf numFmtId="0" fontId="3" fillId="31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31" borderId="0" applyBorder="0" applyProtection="0"/>
    <xf numFmtId="0" fontId="3" fillId="31" borderId="0" applyBorder="0" applyProtection="0"/>
    <xf numFmtId="0" fontId="2" fillId="3" borderId="0" applyBorder="0" applyProtection="0"/>
    <xf numFmtId="0" fontId="3" fillId="31" borderId="0" applyBorder="0" applyProtection="0"/>
    <xf numFmtId="0" fontId="2" fillId="3" borderId="0" applyBorder="0" applyProtection="0"/>
    <xf numFmtId="0" fontId="3" fillId="31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31" borderId="0" applyBorder="0" applyProtection="0"/>
    <xf numFmtId="0" fontId="3" fillId="31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31" borderId="0" applyBorder="0" applyProtection="0"/>
    <xf numFmtId="0" fontId="2" fillId="3" borderId="0" applyBorder="0" applyProtection="0"/>
    <xf numFmtId="0" fontId="3" fillId="31" borderId="0" applyBorder="0" applyProtection="0"/>
    <xf numFmtId="0" fontId="2" fillId="3" borderId="0" applyBorder="0" applyProtection="0"/>
    <xf numFmtId="0" fontId="3" fillId="31" borderId="0" applyBorder="0" applyProtection="0"/>
    <xf numFmtId="0" fontId="2" fillId="3" borderId="0" applyBorder="0" applyProtection="0"/>
    <xf numFmtId="0" fontId="3" fillId="31" borderId="0" applyBorder="0" applyProtection="0"/>
    <xf numFmtId="0" fontId="2" fillId="3" borderId="0" applyBorder="0" applyProtection="0"/>
    <xf numFmtId="0" fontId="43" fillId="12" borderId="0" applyBorder="0" applyProtection="0"/>
    <xf numFmtId="0" fontId="2" fillId="3" borderId="0" applyBorder="0" applyProtection="0"/>
    <xf numFmtId="0" fontId="43" fillId="4" borderId="0" applyBorder="0" applyProtection="0"/>
    <xf numFmtId="0" fontId="2" fillId="3" borderId="0" applyBorder="0" applyProtection="0"/>
    <xf numFmtId="0" fontId="3" fillId="2" borderId="0" applyBorder="0" applyProtection="0"/>
    <xf numFmtId="0" fontId="2" fillId="3" borderId="0" applyBorder="0" applyProtection="0"/>
    <xf numFmtId="0" fontId="3" fillId="20" borderId="0" applyBorder="0" applyProtection="0"/>
    <xf numFmtId="0" fontId="2" fillId="3" borderId="0" applyBorder="0" applyProtection="0"/>
    <xf numFmtId="0" fontId="3" fillId="20" borderId="0" applyBorder="0" applyProtection="0"/>
    <xf numFmtId="0" fontId="3" fillId="20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0" borderId="0" applyBorder="0" applyProtection="0"/>
    <xf numFmtId="0" fontId="2" fillId="3" borderId="0" applyBorder="0" applyProtection="0"/>
    <xf numFmtId="0" fontId="3" fillId="20" borderId="0" applyBorder="0" applyProtection="0"/>
    <xf numFmtId="0" fontId="2" fillId="3" borderId="0" applyBorder="0" applyProtection="0"/>
    <xf numFmtId="0" fontId="3" fillId="20" borderId="0" applyBorder="0" applyProtection="0"/>
    <xf numFmtId="0" fontId="2" fillId="3" borderId="0" applyBorder="0" applyProtection="0"/>
    <xf numFmtId="0" fontId="3" fillId="20" borderId="0" applyBorder="0" applyProtection="0"/>
    <xf numFmtId="0" fontId="2" fillId="3" borderId="0" applyBorder="0" applyProtection="0"/>
    <xf numFmtId="0" fontId="3" fillId="20" borderId="0" applyBorder="0" applyProtection="0"/>
    <xf numFmtId="0" fontId="2" fillId="3" borderId="0" applyBorder="0" applyProtection="0"/>
    <xf numFmtId="0" fontId="3" fillId="20" borderId="0" applyBorder="0" applyProtection="0"/>
    <xf numFmtId="0" fontId="2" fillId="3" borderId="0" applyBorder="0" applyProtection="0"/>
    <xf numFmtId="0" fontId="3" fillId="20" borderId="0" applyBorder="0" applyProtection="0"/>
    <xf numFmtId="0" fontId="2" fillId="3" borderId="0" applyBorder="0" applyProtection="0"/>
    <xf numFmtId="0" fontId="3" fillId="20" borderId="0" applyBorder="0" applyProtection="0"/>
    <xf numFmtId="0" fontId="2" fillId="3" borderId="0" applyBorder="0" applyProtection="0"/>
    <xf numFmtId="0" fontId="3" fillId="20" borderId="0" applyBorder="0" applyProtection="0"/>
    <xf numFmtId="0" fontId="3" fillId="20" borderId="0" applyBorder="0" applyProtection="0"/>
    <xf numFmtId="0" fontId="2" fillId="3" borderId="0" applyBorder="0" applyProtection="0"/>
    <xf numFmtId="0" fontId="3" fillId="20" borderId="0" applyBorder="0" applyProtection="0"/>
    <xf numFmtId="0" fontId="2" fillId="3" borderId="0" applyBorder="0" applyProtection="0"/>
    <xf numFmtId="0" fontId="3" fillId="20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32" borderId="0" applyBorder="0" applyProtection="0"/>
    <xf numFmtId="0" fontId="3" fillId="32" borderId="0" applyBorder="0" applyProtection="0"/>
    <xf numFmtId="0" fontId="3" fillId="32" borderId="0" applyBorder="0" applyProtection="0"/>
    <xf numFmtId="0" fontId="3" fillId="32" borderId="0" applyBorder="0" applyProtection="0"/>
    <xf numFmtId="0" fontId="3" fillId="20" borderId="0" applyBorder="0" applyProtection="0"/>
    <xf numFmtId="0" fontId="3" fillId="20" borderId="0" applyBorder="0" applyProtection="0"/>
    <xf numFmtId="0" fontId="2" fillId="3" borderId="0" applyBorder="0" applyProtection="0"/>
    <xf numFmtId="0" fontId="3" fillId="20" borderId="0" applyBorder="0" applyProtection="0"/>
    <xf numFmtId="0" fontId="2" fillId="3" borderId="0" applyBorder="0" applyProtection="0"/>
    <xf numFmtId="0" fontId="3" fillId="20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0" borderId="0" applyBorder="0" applyProtection="0"/>
    <xf numFmtId="0" fontId="3" fillId="20" borderId="0" applyBorder="0" applyProtection="0"/>
    <xf numFmtId="0" fontId="2" fillId="3" borderId="0" applyBorder="0" applyProtection="0"/>
    <xf numFmtId="0" fontId="3" fillId="20" borderId="0" applyBorder="0" applyProtection="0"/>
    <xf numFmtId="0" fontId="2" fillId="3" borderId="0" applyBorder="0" applyProtection="0"/>
    <xf numFmtId="0" fontId="3" fillId="20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0" borderId="0" applyBorder="0" applyProtection="0"/>
    <xf numFmtId="0" fontId="3" fillId="20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0" borderId="0" applyBorder="0" applyProtection="0"/>
    <xf numFmtId="0" fontId="2" fillId="3" borderId="0" applyBorder="0" applyProtection="0"/>
    <xf numFmtId="0" fontId="3" fillId="20" borderId="0" applyBorder="0" applyProtection="0"/>
    <xf numFmtId="0" fontId="2" fillId="3" borderId="0" applyBorder="0" applyProtection="0"/>
    <xf numFmtId="0" fontId="3" fillId="20" borderId="0" applyBorder="0" applyProtection="0"/>
    <xf numFmtId="0" fontId="2" fillId="3" borderId="0" applyBorder="0" applyProtection="0"/>
    <xf numFmtId="0" fontId="3" fillId="20" borderId="0" applyBorder="0" applyProtection="0"/>
    <xf numFmtId="0" fontId="2" fillId="3" borderId="0" applyBorder="0" applyProtection="0"/>
    <xf numFmtId="0" fontId="43" fillId="9" borderId="0" applyBorder="0" applyProtection="0"/>
    <xf numFmtId="0" fontId="2" fillId="3" borderId="0" applyBorder="0" applyProtection="0"/>
    <xf numFmtId="0" fontId="43" fillId="10" borderId="0" applyBorder="0" applyProtection="0"/>
    <xf numFmtId="0" fontId="2" fillId="3" borderId="0" applyBorder="0" applyProtection="0"/>
    <xf numFmtId="0" fontId="3" fillId="10" borderId="0" applyBorder="0" applyProtection="0"/>
    <xf numFmtId="0" fontId="2" fillId="3" borderId="0" applyBorder="0" applyProtection="0"/>
    <xf numFmtId="0" fontId="3" fillId="28" borderId="0" applyBorder="0" applyProtection="0"/>
    <xf numFmtId="0" fontId="2" fillId="3" borderId="0" applyBorder="0" applyProtection="0"/>
    <xf numFmtId="0" fontId="3" fillId="28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8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8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8" borderId="0" applyBorder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" fillId="0" borderId="0"/>
    <xf numFmtId="0" fontId="82" fillId="0" borderId="0" applyFont="0" applyFill="0" applyBorder="0" applyAlignment="0" applyProtection="0"/>
    <xf numFmtId="0" fontId="83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3" fontId="82" fillId="0" borderId="0" applyFont="0" applyFill="0" applyBorder="0" applyAlignment="0" applyProtection="0"/>
    <xf numFmtId="179" fontId="1" fillId="0" borderId="0" applyFont="0" applyFill="0" applyBorder="0" applyAlignment="0" applyProtection="0"/>
    <xf numFmtId="180" fontId="82" fillId="0" borderId="0" applyFont="0" applyFill="0" applyBorder="0" applyAlignment="0" applyProtection="0"/>
    <xf numFmtId="0" fontId="79" fillId="0" borderId="0"/>
    <xf numFmtId="0" fontId="79" fillId="0" borderId="0"/>
    <xf numFmtId="0" fontId="79" fillId="0" borderId="0"/>
    <xf numFmtId="0" fontId="1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2" fontId="8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9" fillId="0" borderId="0"/>
    <xf numFmtId="0" fontId="79" fillId="0" borderId="0"/>
    <xf numFmtId="0" fontId="1" fillId="0" borderId="0"/>
    <xf numFmtId="0" fontId="119" fillId="0" borderId="0" applyNumberFormat="0" applyFill="0" applyBorder="0" applyAlignment="0" applyProtection="0"/>
    <xf numFmtId="0" fontId="79" fillId="0" borderId="0"/>
    <xf numFmtId="0" fontId="96" fillId="83" borderId="0" applyNumberFormat="0" applyBorder="0" applyAlignment="0" applyProtection="0"/>
    <xf numFmtId="0" fontId="96" fillId="83" borderId="0" applyNumberFormat="0" applyBorder="0" applyAlignment="0" applyProtection="0"/>
    <xf numFmtId="0" fontId="96" fillId="83" borderId="0" applyNumberFormat="0" applyBorder="0" applyAlignment="0" applyProtection="0"/>
    <xf numFmtId="0" fontId="96" fillId="83" borderId="0" applyNumberFormat="0" applyBorder="0" applyAlignment="0" applyProtection="0"/>
    <xf numFmtId="0" fontId="96" fillId="83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6" borderId="0" applyNumberFormat="0" applyBorder="0" applyAlignment="0" applyProtection="0"/>
    <xf numFmtId="0" fontId="96" fillId="86" borderId="0" applyNumberFormat="0" applyBorder="0" applyAlignment="0" applyProtection="0"/>
    <xf numFmtId="0" fontId="96" fillId="86" borderId="0" applyNumberFormat="0" applyBorder="0" applyAlignment="0" applyProtection="0"/>
    <xf numFmtId="0" fontId="96" fillId="86" borderId="0" applyNumberFormat="0" applyBorder="0" applyAlignment="0" applyProtection="0"/>
    <xf numFmtId="0" fontId="96" fillId="86" borderId="0" applyNumberFormat="0" applyBorder="0" applyAlignment="0" applyProtection="0"/>
    <xf numFmtId="0" fontId="96" fillId="88" borderId="0" applyNumberFormat="0" applyBorder="0" applyAlignment="0" applyProtection="0"/>
    <xf numFmtId="0" fontId="96" fillId="88" borderId="0" applyNumberFormat="0" applyBorder="0" applyAlignment="0" applyProtection="0"/>
    <xf numFmtId="0" fontId="96" fillId="88" borderId="0" applyNumberFormat="0" applyBorder="0" applyAlignment="0" applyProtection="0"/>
    <xf numFmtId="0" fontId="96" fillId="88" borderId="0" applyNumberFormat="0" applyBorder="0" applyAlignment="0" applyProtection="0"/>
    <xf numFmtId="0" fontId="96" fillId="88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6" borderId="0" applyNumberFormat="0" applyBorder="0" applyAlignment="0" applyProtection="0"/>
    <xf numFmtId="0" fontId="96" fillId="86" borderId="0" applyNumberFormat="0" applyBorder="0" applyAlignment="0" applyProtection="0"/>
    <xf numFmtId="0" fontId="96" fillId="86" borderId="0" applyNumberFormat="0" applyBorder="0" applyAlignment="0" applyProtection="0"/>
    <xf numFmtId="0" fontId="96" fillId="86" borderId="0" applyNumberFormat="0" applyBorder="0" applyAlignment="0" applyProtection="0"/>
    <xf numFmtId="0" fontId="96" fillId="86" borderId="0" applyNumberFormat="0" applyBorder="0" applyAlignment="0" applyProtection="0"/>
    <xf numFmtId="49" fontId="136" fillId="0" borderId="28" applyNumberFormat="0" applyFont="0" applyFill="0" applyBorder="0" applyProtection="0">
      <alignment horizontal="left" vertical="center" indent="2"/>
    </xf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90" borderId="0" applyNumberFormat="0" applyBorder="0" applyAlignment="0" applyProtection="0"/>
    <xf numFmtId="0" fontId="96" fillId="90" borderId="0" applyNumberFormat="0" applyBorder="0" applyAlignment="0" applyProtection="0"/>
    <xf numFmtId="0" fontId="96" fillId="90" borderId="0" applyNumberFormat="0" applyBorder="0" applyAlignment="0" applyProtection="0"/>
    <xf numFmtId="0" fontId="96" fillId="90" borderId="0" applyNumberFormat="0" applyBorder="0" applyAlignment="0" applyProtection="0"/>
    <xf numFmtId="0" fontId="96" fillId="90" borderId="0" applyNumberFormat="0" applyBorder="0" applyAlignment="0" applyProtection="0"/>
    <xf numFmtId="0" fontId="96" fillId="84" borderId="0" applyNumberFormat="0" applyBorder="0" applyAlignment="0" applyProtection="0"/>
    <xf numFmtId="0" fontId="96" fillId="84" borderId="0" applyNumberFormat="0" applyBorder="0" applyAlignment="0" applyProtection="0"/>
    <xf numFmtId="0" fontId="96" fillId="84" borderId="0" applyNumberFormat="0" applyBorder="0" applyAlignment="0" applyProtection="0"/>
    <xf numFmtId="0" fontId="96" fillId="84" borderId="0" applyNumberFormat="0" applyBorder="0" applyAlignment="0" applyProtection="0"/>
    <xf numFmtId="0" fontId="96" fillId="84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90" borderId="0" applyNumberFormat="0" applyBorder="0" applyAlignment="0" applyProtection="0"/>
    <xf numFmtId="0" fontId="96" fillId="90" borderId="0" applyNumberFormat="0" applyBorder="0" applyAlignment="0" applyProtection="0"/>
    <xf numFmtId="0" fontId="96" fillId="90" borderId="0" applyNumberFormat="0" applyBorder="0" applyAlignment="0" applyProtection="0"/>
    <xf numFmtId="0" fontId="96" fillId="90" borderId="0" applyNumberFormat="0" applyBorder="0" applyAlignment="0" applyProtection="0"/>
    <xf numFmtId="0" fontId="96" fillId="90" borderId="0" applyNumberFormat="0" applyBorder="0" applyAlignment="0" applyProtection="0"/>
    <xf numFmtId="49" fontId="136" fillId="0" borderId="30" applyNumberFormat="0" applyFont="0" applyFill="0" applyBorder="0" applyProtection="0">
      <alignment horizontal="left" vertical="center" indent="5"/>
    </xf>
    <xf numFmtId="0" fontId="128" fillId="89" borderId="0" applyNumberFormat="0" applyBorder="0" applyAlignment="0" applyProtection="0"/>
    <xf numFmtId="0" fontId="128" fillId="89" borderId="0" applyNumberFormat="0" applyBorder="0" applyAlignment="0" applyProtection="0"/>
    <xf numFmtId="0" fontId="128" fillId="89" borderId="0" applyNumberFormat="0" applyBorder="0" applyAlignment="0" applyProtection="0"/>
    <xf numFmtId="0" fontId="128" fillId="89" borderId="0" applyNumberFormat="0" applyBorder="0" applyAlignment="0" applyProtection="0"/>
    <xf numFmtId="0" fontId="128" fillId="92" borderId="0" applyNumberFormat="0" applyBorder="0" applyAlignment="0" applyProtection="0"/>
    <xf numFmtId="0" fontId="128" fillId="92" borderId="0" applyNumberFormat="0" applyBorder="0" applyAlignment="0" applyProtection="0"/>
    <xf numFmtId="0" fontId="128" fillId="92" borderId="0" applyNumberFormat="0" applyBorder="0" applyAlignment="0" applyProtection="0"/>
    <xf numFmtId="0" fontId="128" fillId="92" borderId="0" applyNumberFormat="0" applyBorder="0" applyAlignment="0" applyProtection="0"/>
    <xf numFmtId="0" fontId="128" fillId="91" borderId="0" applyNumberFormat="0" applyBorder="0" applyAlignment="0" applyProtection="0"/>
    <xf numFmtId="0" fontId="128" fillId="91" borderId="0" applyNumberFormat="0" applyBorder="0" applyAlignment="0" applyProtection="0"/>
    <xf numFmtId="0" fontId="128" fillId="91" borderId="0" applyNumberFormat="0" applyBorder="0" applyAlignment="0" applyProtection="0"/>
    <xf numFmtId="0" fontId="128" fillId="91" borderId="0" applyNumberFormat="0" applyBorder="0" applyAlignment="0" applyProtection="0"/>
    <xf numFmtId="0" fontId="128" fillId="84" borderId="0" applyNumberFormat="0" applyBorder="0" applyAlignment="0" applyProtection="0"/>
    <xf numFmtId="0" fontId="128" fillId="84" borderId="0" applyNumberFormat="0" applyBorder="0" applyAlignment="0" applyProtection="0"/>
    <xf numFmtId="0" fontId="128" fillId="84" borderId="0" applyNumberFormat="0" applyBorder="0" applyAlignment="0" applyProtection="0"/>
    <xf numFmtId="0" fontId="128" fillId="84" borderId="0" applyNumberFormat="0" applyBorder="0" applyAlignment="0" applyProtection="0"/>
    <xf numFmtId="0" fontId="128" fillId="89" borderId="0" applyNumberFormat="0" applyBorder="0" applyAlignment="0" applyProtection="0"/>
    <xf numFmtId="0" fontId="128" fillId="89" borderId="0" applyNumberFormat="0" applyBorder="0" applyAlignment="0" applyProtection="0"/>
    <xf numFmtId="0" fontId="128" fillId="89" borderId="0" applyNumberFormat="0" applyBorder="0" applyAlignment="0" applyProtection="0"/>
    <xf numFmtId="0" fontId="128" fillId="89" borderId="0" applyNumberFormat="0" applyBorder="0" applyAlignment="0" applyProtection="0"/>
    <xf numFmtId="0" fontId="128" fillId="85" borderId="0" applyNumberFormat="0" applyBorder="0" applyAlignment="0" applyProtection="0"/>
    <xf numFmtId="0" fontId="128" fillId="85" borderId="0" applyNumberFormat="0" applyBorder="0" applyAlignment="0" applyProtection="0"/>
    <xf numFmtId="0" fontId="128" fillId="85" borderId="0" applyNumberFormat="0" applyBorder="0" applyAlignment="0" applyProtection="0"/>
    <xf numFmtId="0" fontId="128" fillId="85" borderId="0" applyNumberFormat="0" applyBorder="0" applyAlignment="0" applyProtection="0"/>
    <xf numFmtId="0" fontId="128" fillId="94" borderId="0" applyNumberFormat="0" applyBorder="0" applyAlignment="0" applyProtection="0"/>
    <xf numFmtId="0" fontId="128" fillId="94" borderId="0" applyNumberFormat="0" applyBorder="0" applyAlignment="0" applyProtection="0"/>
    <xf numFmtId="0" fontId="128" fillId="94" borderId="0" applyNumberFormat="0" applyBorder="0" applyAlignment="0" applyProtection="0"/>
    <xf numFmtId="0" fontId="128" fillId="94" borderId="0" applyNumberFormat="0" applyBorder="0" applyAlignment="0" applyProtection="0"/>
    <xf numFmtId="0" fontId="128" fillId="92" borderId="0" applyNumberFormat="0" applyBorder="0" applyAlignment="0" applyProtection="0"/>
    <xf numFmtId="0" fontId="128" fillId="92" borderId="0" applyNumberFormat="0" applyBorder="0" applyAlignment="0" applyProtection="0"/>
    <xf numFmtId="0" fontId="128" fillId="92" borderId="0" applyNumberFormat="0" applyBorder="0" applyAlignment="0" applyProtection="0"/>
    <xf numFmtId="0" fontId="128" fillId="92" borderId="0" applyNumberFormat="0" applyBorder="0" applyAlignment="0" applyProtection="0"/>
    <xf numFmtId="0" fontId="128" fillId="91" borderId="0" applyNumberFormat="0" applyBorder="0" applyAlignment="0" applyProtection="0"/>
    <xf numFmtId="0" fontId="128" fillId="91" borderId="0" applyNumberFormat="0" applyBorder="0" applyAlignment="0" applyProtection="0"/>
    <xf numFmtId="0" fontId="128" fillId="91" borderId="0" applyNumberFormat="0" applyBorder="0" applyAlignment="0" applyProtection="0"/>
    <xf numFmtId="0" fontId="128" fillId="91" borderId="0" applyNumberFormat="0" applyBorder="0" applyAlignment="0" applyProtection="0"/>
    <xf numFmtId="0" fontId="128" fillId="96" borderId="0" applyNumberFormat="0" applyBorder="0" applyAlignment="0" applyProtection="0"/>
    <xf numFmtId="0" fontId="128" fillId="96" borderId="0" applyNumberFormat="0" applyBorder="0" applyAlignment="0" applyProtection="0"/>
    <xf numFmtId="0" fontId="128" fillId="96" borderId="0" applyNumberFormat="0" applyBorder="0" applyAlignment="0" applyProtection="0"/>
    <xf numFmtId="0" fontId="128" fillId="96" borderId="0" applyNumberFormat="0" applyBorder="0" applyAlignment="0" applyProtection="0"/>
    <xf numFmtId="0" fontId="128" fillId="93" borderId="0" applyNumberFormat="0" applyBorder="0" applyAlignment="0" applyProtection="0"/>
    <xf numFmtId="0" fontId="128" fillId="93" borderId="0" applyNumberFormat="0" applyBorder="0" applyAlignment="0" applyProtection="0"/>
    <xf numFmtId="0" fontId="128" fillId="93" borderId="0" applyNumberFormat="0" applyBorder="0" applyAlignment="0" applyProtection="0"/>
    <xf numFmtId="0" fontId="128" fillId="93" borderId="0" applyNumberFormat="0" applyBorder="0" applyAlignment="0" applyProtection="0"/>
    <xf numFmtId="0" fontId="128" fillId="95" borderId="0" applyNumberFormat="0" applyBorder="0" applyAlignment="0" applyProtection="0"/>
    <xf numFmtId="0" fontId="128" fillId="95" borderId="0" applyNumberFormat="0" applyBorder="0" applyAlignment="0" applyProtection="0"/>
    <xf numFmtId="0" fontId="128" fillId="95" borderId="0" applyNumberFormat="0" applyBorder="0" applyAlignment="0" applyProtection="0"/>
    <xf numFmtId="0" fontId="128" fillId="95" borderId="0" applyNumberFormat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4" fontId="137" fillId="0" borderId="5" applyFill="0" applyBorder="0" applyProtection="0">
      <alignment horizontal="right" vertical="center"/>
    </xf>
    <xf numFmtId="0" fontId="138" fillId="98" borderId="31" applyNumberFormat="0" applyAlignment="0" applyProtection="0"/>
    <xf numFmtId="0" fontId="138" fillId="98" borderId="31" applyNumberFormat="0" applyAlignment="0" applyProtection="0"/>
    <xf numFmtId="0" fontId="138" fillId="98" borderId="31" applyNumberFormat="0" applyAlignment="0" applyProtection="0"/>
    <xf numFmtId="0" fontId="138" fillId="98" borderId="31" applyNumberFormat="0" applyAlignment="0" applyProtection="0"/>
    <xf numFmtId="0" fontId="129" fillId="0" borderId="32" applyNumberFormat="0" applyFill="0" applyAlignment="0" applyProtection="0"/>
    <xf numFmtId="0" fontId="129" fillId="0" borderId="32" applyNumberFormat="0" applyFill="0" applyAlignment="0" applyProtection="0"/>
    <xf numFmtId="0" fontId="129" fillId="0" borderId="32" applyNumberFormat="0" applyFill="0" applyAlignment="0" applyProtection="0"/>
    <xf numFmtId="0" fontId="129" fillId="0" borderId="32" applyNumberFormat="0" applyFill="0" applyAlignment="0" applyProtection="0"/>
    <xf numFmtId="0" fontId="79" fillId="86" borderId="33" applyNumberFormat="0" applyFont="0" applyAlignment="0" applyProtection="0"/>
    <xf numFmtId="0" fontId="79" fillId="86" borderId="33" applyNumberFormat="0" applyFont="0" applyAlignment="0" applyProtection="0"/>
    <xf numFmtId="0" fontId="79" fillId="86" borderId="33" applyNumberFormat="0" applyFont="0" applyAlignment="0" applyProtection="0"/>
    <xf numFmtId="0" fontId="79" fillId="86" borderId="33" applyNumberFormat="0" applyFont="0" applyAlignment="0" applyProtection="0"/>
    <xf numFmtId="0" fontId="8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30" fillId="85" borderId="31" applyNumberFormat="0" applyAlignment="0" applyProtection="0"/>
    <xf numFmtId="0" fontId="130" fillId="85" borderId="31" applyNumberFormat="0" applyAlignment="0" applyProtection="0"/>
    <xf numFmtId="0" fontId="130" fillId="85" borderId="31" applyNumberFormat="0" applyAlignment="0" applyProtection="0"/>
    <xf numFmtId="0" fontId="130" fillId="85" borderId="31" applyNumberFormat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2" fontId="82" fillId="0" borderId="0" applyFill="0" applyBorder="0" applyAlignment="0" applyProtection="0"/>
    <xf numFmtId="0" fontId="139" fillId="0" borderId="0" applyNumberFormat="0" applyFill="0" applyBorder="0" applyAlignment="0" applyProtection="0"/>
    <xf numFmtId="0" fontId="131" fillId="87" borderId="0" applyNumberFormat="0" applyBorder="0" applyAlignment="0" applyProtection="0"/>
    <xf numFmtId="0" fontId="131" fillId="87" borderId="0" applyNumberFormat="0" applyBorder="0" applyAlignment="0" applyProtection="0"/>
    <xf numFmtId="0" fontId="131" fillId="87" borderId="0" applyNumberFormat="0" applyBorder="0" applyAlignment="0" applyProtection="0"/>
    <xf numFmtId="0" fontId="131" fillId="87" borderId="0" applyNumberFormat="0" applyBorder="0" applyAlignment="0" applyProtection="0"/>
    <xf numFmtId="0" fontId="125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1" fillId="0" borderId="0" applyNumberFormat="0" applyFill="0" applyBorder="0" applyAlignment="0" applyProtection="0">
      <alignment vertical="top"/>
      <protection locked="0"/>
    </xf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4" fontId="82" fillId="0" borderId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4" fontId="82" fillId="0" borderId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0" fontId="142" fillId="90" borderId="0" applyNumberFormat="0" applyBorder="0" applyAlignment="0" applyProtection="0"/>
    <xf numFmtId="0" fontId="142" fillId="90" borderId="0" applyNumberFormat="0" applyBorder="0" applyAlignment="0" applyProtection="0"/>
    <xf numFmtId="0" fontId="142" fillId="90" borderId="0" applyNumberFormat="0" applyBorder="0" applyAlignment="0" applyProtection="0"/>
    <xf numFmtId="0" fontId="142" fillId="90" borderId="0" applyNumberFormat="0" applyBorder="0" applyAlignment="0" applyProtection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79" fillId="0" borderId="0"/>
    <xf numFmtId="0" fontId="79" fillId="0" borderId="0"/>
    <xf numFmtId="0" fontId="79" fillId="0" borderId="0"/>
    <xf numFmtId="0" fontId="82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96" fillId="0" borderId="0"/>
    <xf numFmtId="0" fontId="96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1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79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96" fillId="0" borderId="0"/>
    <xf numFmtId="0" fontId="96" fillId="0" borderId="0"/>
    <xf numFmtId="4" fontId="136" fillId="0" borderId="28" applyFill="0" applyBorder="0" applyProtection="0">
      <alignment horizontal="right" vertical="center"/>
    </xf>
    <xf numFmtId="0" fontId="143" fillId="72" borderId="0" applyNumberFormat="0" applyFont="0" applyBorder="0" applyAlignment="0" applyProtection="0"/>
    <xf numFmtId="184" fontId="136" fillId="99" borderId="28" applyNumberFormat="0" applyFont="0" applyBorder="0" applyAlignment="0" applyProtection="0">
      <alignment horizontal="right" vertical="center"/>
    </xf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0" fontId="132" fillId="89" borderId="0" applyNumberFormat="0" applyBorder="0" applyAlignment="0" applyProtection="0"/>
    <xf numFmtId="0" fontId="132" fillId="89" borderId="0" applyNumberFormat="0" applyBorder="0" applyAlignment="0" applyProtection="0"/>
    <xf numFmtId="0" fontId="132" fillId="89" borderId="0" applyNumberFormat="0" applyBorder="0" applyAlignment="0" applyProtection="0"/>
    <xf numFmtId="0" fontId="132" fillId="89" borderId="0" applyNumberFormat="0" applyBorder="0" applyAlignment="0" applyProtection="0"/>
    <xf numFmtId="0" fontId="133" fillId="98" borderId="34" applyNumberFormat="0" applyAlignment="0" applyProtection="0"/>
    <xf numFmtId="0" fontId="133" fillId="98" borderId="34" applyNumberFormat="0" applyAlignment="0" applyProtection="0"/>
    <xf numFmtId="0" fontId="133" fillId="98" borderId="34" applyNumberFormat="0" applyAlignment="0" applyProtection="0"/>
    <xf numFmtId="0" fontId="133" fillId="98" borderId="34" applyNumberFormat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35" applyNumberFormat="0" applyFill="0" applyAlignment="0" applyProtection="0"/>
    <xf numFmtId="0" fontId="145" fillId="0" borderId="35" applyNumberFormat="0" applyFill="0" applyAlignment="0" applyProtection="0"/>
    <xf numFmtId="0" fontId="145" fillId="0" borderId="35" applyNumberFormat="0" applyFill="0" applyAlignment="0" applyProtection="0"/>
    <xf numFmtId="0" fontId="145" fillId="0" borderId="35" applyNumberFormat="0" applyFill="0" applyAlignment="0" applyProtection="0"/>
    <xf numFmtId="0" fontId="146" fillId="0" borderId="36" applyNumberFormat="0" applyFill="0" applyAlignment="0" applyProtection="0"/>
    <xf numFmtId="0" fontId="146" fillId="0" borderId="36" applyNumberFormat="0" applyFill="0" applyAlignment="0" applyProtection="0"/>
    <xf numFmtId="0" fontId="146" fillId="0" borderId="36" applyNumberFormat="0" applyFill="0" applyAlignment="0" applyProtection="0"/>
    <xf numFmtId="0" fontId="146" fillId="0" borderId="36" applyNumberFormat="0" applyFill="0" applyAlignment="0" applyProtection="0"/>
    <xf numFmtId="0" fontId="147" fillId="0" borderId="37" applyNumberFormat="0" applyFill="0" applyAlignment="0" applyProtection="0"/>
    <xf numFmtId="0" fontId="147" fillId="0" borderId="37" applyNumberFormat="0" applyFill="0" applyAlignment="0" applyProtection="0"/>
    <xf numFmtId="0" fontId="147" fillId="0" borderId="37" applyNumberFormat="0" applyFill="0" applyAlignment="0" applyProtection="0"/>
    <xf numFmtId="0" fontId="147" fillId="0" borderId="37" applyNumberFormat="0" applyFill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82" fillId="0" borderId="38" applyNumberFormat="0" applyFont="0" applyFill="0" applyAlignment="0" applyProtection="0"/>
    <xf numFmtId="0" fontId="82" fillId="0" borderId="38" applyNumberFormat="0" applyFont="0" applyFill="0" applyAlignment="0" applyProtection="0"/>
    <xf numFmtId="0" fontId="148" fillId="0" borderId="39" applyNumberFormat="0" applyFill="0" applyAlignment="0" applyProtection="0"/>
    <xf numFmtId="0" fontId="148" fillId="0" borderId="39" applyNumberFormat="0" applyFill="0" applyAlignment="0" applyProtection="0"/>
    <xf numFmtId="0" fontId="148" fillId="0" borderId="39" applyNumberFormat="0" applyFill="0" applyAlignment="0" applyProtection="0"/>
    <xf numFmtId="0" fontId="148" fillId="0" borderId="39" applyNumberFormat="0" applyFill="0" applyAlignment="0" applyProtection="0"/>
    <xf numFmtId="0" fontId="82" fillId="0" borderId="40" applyNumberFormat="0" applyFill="0" applyAlignment="0" applyProtection="0"/>
    <xf numFmtId="0" fontId="135" fillId="100" borderId="41" applyNumberFormat="0" applyAlignment="0" applyProtection="0"/>
    <xf numFmtId="0" fontId="135" fillId="100" borderId="41" applyNumberFormat="0" applyAlignment="0" applyProtection="0"/>
    <xf numFmtId="0" fontId="135" fillId="100" borderId="41" applyNumberFormat="0" applyAlignment="0" applyProtection="0"/>
    <xf numFmtId="0" fontId="135" fillId="100" borderId="41" applyNumberFormat="0" applyAlignment="0" applyProtection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1" fillId="0" borderId="0"/>
    <xf numFmtId="179" fontId="79" fillId="0" borderId="0" applyFont="0" applyFill="0" applyBorder="0" applyAlignment="0" applyProtection="0"/>
    <xf numFmtId="179" fontId="1" fillId="0" borderId="0" applyFont="0" applyFill="0" applyBorder="0" applyAlignment="0" applyProtection="0"/>
    <xf numFmtId="164" fontId="149" fillId="0" borderId="0" applyFont="0" applyFill="0" applyBorder="0" applyAlignment="0" applyProtection="0"/>
    <xf numFmtId="0" fontId="79" fillId="0" borderId="0"/>
    <xf numFmtId="0" fontId="96" fillId="83" borderId="0" applyNumberFormat="0" applyBorder="0" applyAlignment="0" applyProtection="0"/>
    <xf numFmtId="0" fontId="96" fillId="107" borderId="0" applyNumberFormat="0" applyBorder="0" applyAlignment="0" applyProtection="0"/>
    <xf numFmtId="0" fontId="96" fillId="107" borderId="0" applyNumberFormat="0" applyBorder="0" applyAlignment="0" applyProtection="0"/>
    <xf numFmtId="0" fontId="96" fillId="107" borderId="0" applyNumberFormat="0" applyBorder="0" applyAlignment="0" applyProtection="0"/>
    <xf numFmtId="0" fontId="96" fillId="83" borderId="0" applyNumberFormat="0" applyBorder="0" applyAlignment="0" applyProtection="0"/>
    <xf numFmtId="0" fontId="96" fillId="107" borderId="0" applyNumberFormat="0" applyBorder="0" applyAlignment="0" applyProtection="0"/>
    <xf numFmtId="0" fontId="96" fillId="107" borderId="0" applyNumberFormat="0" applyBorder="0" applyAlignment="0" applyProtection="0"/>
    <xf numFmtId="0" fontId="96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96" fillId="83" borderId="0" applyNumberFormat="0" applyBorder="0" applyAlignment="0" applyProtection="0"/>
    <xf numFmtId="0" fontId="96" fillId="83" borderId="0" applyNumberFormat="0" applyBorder="0" applyAlignment="0" applyProtection="0"/>
    <xf numFmtId="0" fontId="96" fillId="83" borderId="0" applyNumberFormat="0" applyBorder="0" applyAlignment="0" applyProtection="0"/>
    <xf numFmtId="0" fontId="96" fillId="83" borderId="0" applyNumberFormat="0" applyBorder="0" applyAlignment="0" applyProtection="0"/>
    <xf numFmtId="0" fontId="96" fillId="83" borderId="0" applyNumberFormat="0" applyBorder="0" applyAlignment="0" applyProtection="0"/>
    <xf numFmtId="0" fontId="96" fillId="83" borderId="0" applyNumberFormat="0" applyBorder="0" applyAlignment="0" applyProtection="0"/>
    <xf numFmtId="0" fontId="96" fillId="83" borderId="0" applyNumberFormat="0" applyBorder="0" applyAlignment="0" applyProtection="0"/>
    <xf numFmtId="0" fontId="96" fillId="83" borderId="0" applyNumberFormat="0" applyBorder="0" applyAlignment="0" applyProtection="0"/>
    <xf numFmtId="0" fontId="96" fillId="83" borderId="0" applyNumberFormat="0" applyBorder="0" applyAlignment="0" applyProtection="0"/>
    <xf numFmtId="0" fontId="96" fillId="107" borderId="0" applyNumberFormat="0" applyBorder="0" applyAlignment="0" applyProtection="0"/>
    <xf numFmtId="0" fontId="96" fillId="83" borderId="0" applyNumberFormat="0" applyBorder="0" applyAlignment="0" applyProtection="0"/>
    <xf numFmtId="0" fontId="96" fillId="83" borderId="0" applyNumberFormat="0" applyBorder="0" applyAlignment="0" applyProtection="0"/>
    <xf numFmtId="0" fontId="96" fillId="83" borderId="0" applyNumberFormat="0" applyBorder="0" applyAlignment="0" applyProtection="0"/>
    <xf numFmtId="0" fontId="96" fillId="83" borderId="0" applyNumberFormat="0" applyBorder="0" applyAlignment="0" applyProtection="0"/>
    <xf numFmtId="0" fontId="96" fillId="85" borderId="0" applyNumberFormat="0" applyBorder="0" applyAlignment="0" applyProtection="0"/>
    <xf numFmtId="0" fontId="96" fillId="84" borderId="0" applyNumberFormat="0" applyBorder="0" applyAlignment="0" applyProtection="0"/>
    <xf numFmtId="0" fontId="96" fillId="84" borderId="0" applyNumberFormat="0" applyBorder="0" applyAlignment="0" applyProtection="0"/>
    <xf numFmtId="0" fontId="96" fillId="84" borderId="0" applyNumberFormat="0" applyBorder="0" applyAlignment="0" applyProtection="0"/>
    <xf numFmtId="0" fontId="96" fillId="85" borderId="0" applyNumberFormat="0" applyBorder="0" applyAlignment="0" applyProtection="0"/>
    <xf numFmtId="0" fontId="96" fillId="84" borderId="0" applyNumberFormat="0" applyBorder="0" applyAlignment="0" applyProtection="0"/>
    <xf numFmtId="0" fontId="96" fillId="84" borderId="0" applyNumberFormat="0" applyBorder="0" applyAlignment="0" applyProtection="0"/>
    <xf numFmtId="0" fontId="96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4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6" borderId="0" applyNumberFormat="0" applyBorder="0" applyAlignment="0" applyProtection="0"/>
    <xf numFmtId="0" fontId="96" fillId="108" borderId="0" applyNumberFormat="0" applyBorder="0" applyAlignment="0" applyProtection="0"/>
    <xf numFmtId="0" fontId="96" fillId="108" borderId="0" applyNumberFormat="0" applyBorder="0" applyAlignment="0" applyProtection="0"/>
    <xf numFmtId="0" fontId="96" fillId="108" borderId="0" applyNumberFormat="0" applyBorder="0" applyAlignment="0" applyProtection="0"/>
    <xf numFmtId="0" fontId="96" fillId="86" borderId="0" applyNumberFormat="0" applyBorder="0" applyAlignment="0" applyProtection="0"/>
    <xf numFmtId="0" fontId="96" fillId="108" borderId="0" applyNumberFormat="0" applyBorder="0" applyAlignment="0" applyProtection="0"/>
    <xf numFmtId="0" fontId="96" fillId="108" borderId="0" applyNumberFormat="0" applyBorder="0" applyAlignment="0" applyProtection="0"/>
    <xf numFmtId="0" fontId="96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96" fillId="86" borderId="0" applyNumberFormat="0" applyBorder="0" applyAlignment="0" applyProtection="0"/>
    <xf numFmtId="0" fontId="96" fillId="90" borderId="0" applyNumberFormat="0" applyBorder="0" applyAlignment="0" applyProtection="0"/>
    <xf numFmtId="0" fontId="96" fillId="86" borderId="0" applyNumberFormat="0" applyBorder="0" applyAlignment="0" applyProtection="0"/>
    <xf numFmtId="0" fontId="96" fillId="86" borderId="0" applyNumberFormat="0" applyBorder="0" applyAlignment="0" applyProtection="0"/>
    <xf numFmtId="0" fontId="96" fillId="86" borderId="0" applyNumberFormat="0" applyBorder="0" applyAlignment="0" applyProtection="0"/>
    <xf numFmtId="0" fontId="96" fillId="86" borderId="0" applyNumberFormat="0" applyBorder="0" applyAlignment="0" applyProtection="0"/>
    <xf numFmtId="0" fontId="96" fillId="86" borderId="0" applyNumberFormat="0" applyBorder="0" applyAlignment="0" applyProtection="0"/>
    <xf numFmtId="0" fontId="96" fillId="86" borderId="0" applyNumberFormat="0" applyBorder="0" applyAlignment="0" applyProtection="0"/>
    <xf numFmtId="0" fontId="96" fillId="86" borderId="0" applyNumberFormat="0" applyBorder="0" applyAlignment="0" applyProtection="0"/>
    <xf numFmtId="0" fontId="96" fillId="86" borderId="0" applyNumberFormat="0" applyBorder="0" applyAlignment="0" applyProtection="0"/>
    <xf numFmtId="0" fontId="96" fillId="108" borderId="0" applyNumberFormat="0" applyBorder="0" applyAlignment="0" applyProtection="0"/>
    <xf numFmtId="0" fontId="96" fillId="86" borderId="0" applyNumberFormat="0" applyBorder="0" applyAlignment="0" applyProtection="0"/>
    <xf numFmtId="0" fontId="96" fillId="86" borderId="0" applyNumberFormat="0" applyBorder="0" applyAlignment="0" applyProtection="0"/>
    <xf numFmtId="0" fontId="96" fillId="86" borderId="0" applyNumberFormat="0" applyBorder="0" applyAlignment="0" applyProtection="0"/>
    <xf numFmtId="0" fontId="96" fillId="86" borderId="0" applyNumberFormat="0" applyBorder="0" applyAlignment="0" applyProtection="0"/>
    <xf numFmtId="0" fontId="96" fillId="88" borderId="0" applyNumberFormat="0" applyBorder="0" applyAlignment="0" applyProtection="0"/>
    <xf numFmtId="0" fontId="96" fillId="87" borderId="0" applyNumberFormat="0" applyBorder="0" applyAlignment="0" applyProtection="0"/>
    <xf numFmtId="0" fontId="96" fillId="87" borderId="0" applyNumberFormat="0" applyBorder="0" applyAlignment="0" applyProtection="0"/>
    <xf numFmtId="0" fontId="96" fillId="87" borderId="0" applyNumberFormat="0" applyBorder="0" applyAlignment="0" applyProtection="0"/>
    <xf numFmtId="0" fontId="96" fillId="88" borderId="0" applyNumberFormat="0" applyBorder="0" applyAlignment="0" applyProtection="0"/>
    <xf numFmtId="0" fontId="96" fillId="87" borderId="0" applyNumberFormat="0" applyBorder="0" applyAlignment="0" applyProtection="0"/>
    <xf numFmtId="0" fontId="96" fillId="87" borderId="0" applyNumberFormat="0" applyBorder="0" applyAlignment="0" applyProtection="0"/>
    <xf numFmtId="0" fontId="96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96" fillId="88" borderId="0" applyNumberFormat="0" applyBorder="0" applyAlignment="0" applyProtection="0"/>
    <xf numFmtId="0" fontId="96" fillId="88" borderId="0" applyNumberFormat="0" applyBorder="0" applyAlignment="0" applyProtection="0"/>
    <xf numFmtId="0" fontId="96" fillId="88" borderId="0" applyNumberFormat="0" applyBorder="0" applyAlignment="0" applyProtection="0"/>
    <xf numFmtId="0" fontId="96" fillId="88" borderId="0" applyNumberFormat="0" applyBorder="0" applyAlignment="0" applyProtection="0"/>
    <xf numFmtId="0" fontId="96" fillId="88" borderId="0" applyNumberFormat="0" applyBorder="0" applyAlignment="0" applyProtection="0"/>
    <xf numFmtId="0" fontId="96" fillId="88" borderId="0" applyNumberFormat="0" applyBorder="0" applyAlignment="0" applyProtection="0"/>
    <xf numFmtId="0" fontId="96" fillId="88" borderId="0" applyNumberFormat="0" applyBorder="0" applyAlignment="0" applyProtection="0"/>
    <xf numFmtId="0" fontId="96" fillId="88" borderId="0" applyNumberFormat="0" applyBorder="0" applyAlignment="0" applyProtection="0"/>
    <xf numFmtId="0" fontId="96" fillId="88" borderId="0" applyNumberFormat="0" applyBorder="0" applyAlignment="0" applyProtection="0"/>
    <xf numFmtId="0" fontId="96" fillId="87" borderId="0" applyNumberFormat="0" applyBorder="0" applyAlignment="0" applyProtection="0"/>
    <xf numFmtId="0" fontId="96" fillId="88" borderId="0" applyNumberFormat="0" applyBorder="0" applyAlignment="0" applyProtection="0"/>
    <xf numFmtId="0" fontId="96" fillId="88" borderId="0" applyNumberFormat="0" applyBorder="0" applyAlignment="0" applyProtection="0"/>
    <xf numFmtId="0" fontId="96" fillId="88" borderId="0" applyNumberFormat="0" applyBorder="0" applyAlignment="0" applyProtection="0"/>
    <xf numFmtId="0" fontId="96" fillId="88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1" fillId="68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6" borderId="0" applyNumberFormat="0" applyBorder="0" applyAlignment="0" applyProtection="0"/>
    <xf numFmtId="0" fontId="96" fillId="88" borderId="0" applyNumberFormat="0" applyBorder="0" applyAlignment="0" applyProtection="0"/>
    <xf numFmtId="0" fontId="96" fillId="88" borderId="0" applyNumberFormat="0" applyBorder="0" applyAlignment="0" applyProtection="0"/>
    <xf numFmtId="0" fontId="96" fillId="88" borderId="0" applyNumberFormat="0" applyBorder="0" applyAlignment="0" applyProtection="0"/>
    <xf numFmtId="0" fontId="96" fillId="86" borderId="0" applyNumberFormat="0" applyBorder="0" applyAlignment="0" applyProtection="0"/>
    <xf numFmtId="0" fontId="96" fillId="88" borderId="0" applyNumberFormat="0" applyBorder="0" applyAlignment="0" applyProtection="0"/>
    <xf numFmtId="0" fontId="96" fillId="88" borderId="0" applyNumberFormat="0" applyBorder="0" applyAlignment="0" applyProtection="0"/>
    <xf numFmtId="0" fontId="96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96" fillId="86" borderId="0" applyNumberFormat="0" applyBorder="0" applyAlignment="0" applyProtection="0"/>
    <xf numFmtId="0" fontId="96" fillId="90" borderId="0" applyNumberFormat="0" applyBorder="0" applyAlignment="0" applyProtection="0"/>
    <xf numFmtId="0" fontId="96" fillId="86" borderId="0" applyNumberFormat="0" applyBorder="0" applyAlignment="0" applyProtection="0"/>
    <xf numFmtId="0" fontId="96" fillId="86" borderId="0" applyNumberFormat="0" applyBorder="0" applyAlignment="0" applyProtection="0"/>
    <xf numFmtId="0" fontId="96" fillId="86" borderId="0" applyNumberFormat="0" applyBorder="0" applyAlignment="0" applyProtection="0"/>
    <xf numFmtId="0" fontId="96" fillId="86" borderId="0" applyNumberFormat="0" applyBorder="0" applyAlignment="0" applyProtection="0"/>
    <xf numFmtId="0" fontId="96" fillId="86" borderId="0" applyNumberFormat="0" applyBorder="0" applyAlignment="0" applyProtection="0"/>
    <xf numFmtId="0" fontId="96" fillId="86" borderId="0" applyNumberFormat="0" applyBorder="0" applyAlignment="0" applyProtection="0"/>
    <xf numFmtId="0" fontId="96" fillId="86" borderId="0" applyNumberFormat="0" applyBorder="0" applyAlignment="0" applyProtection="0"/>
    <xf numFmtId="0" fontId="96" fillId="86" borderId="0" applyNumberFormat="0" applyBorder="0" applyAlignment="0" applyProtection="0"/>
    <xf numFmtId="0" fontId="96" fillId="88" borderId="0" applyNumberFormat="0" applyBorder="0" applyAlignment="0" applyProtection="0"/>
    <xf numFmtId="0" fontId="96" fillId="86" borderId="0" applyNumberFormat="0" applyBorder="0" applyAlignment="0" applyProtection="0"/>
    <xf numFmtId="0" fontId="96" fillId="86" borderId="0" applyNumberFormat="0" applyBorder="0" applyAlignment="0" applyProtection="0"/>
    <xf numFmtId="0" fontId="96" fillId="86" borderId="0" applyNumberFormat="0" applyBorder="0" applyAlignment="0" applyProtection="0"/>
    <xf numFmtId="0" fontId="96" fillId="86" borderId="0" applyNumberFormat="0" applyBorder="0" applyAlignment="0" applyProtection="0"/>
    <xf numFmtId="0" fontId="96" fillId="89" borderId="0" applyNumberFormat="0" applyBorder="0" applyAlignment="0" applyProtection="0"/>
    <xf numFmtId="0" fontId="96" fillId="83" borderId="0" applyNumberFormat="0" applyBorder="0" applyAlignment="0" applyProtection="0"/>
    <xf numFmtId="0" fontId="96" fillId="83" borderId="0" applyNumberFormat="0" applyBorder="0" applyAlignment="0" applyProtection="0"/>
    <xf numFmtId="0" fontId="96" fillId="83" borderId="0" applyNumberFormat="0" applyBorder="0" applyAlignment="0" applyProtection="0"/>
    <xf numFmtId="0" fontId="96" fillId="89" borderId="0" applyNumberFormat="0" applyBorder="0" applyAlignment="0" applyProtection="0"/>
    <xf numFmtId="0" fontId="96" fillId="83" borderId="0" applyNumberFormat="0" applyBorder="0" applyAlignment="0" applyProtection="0"/>
    <xf numFmtId="0" fontId="96" fillId="83" borderId="0" applyNumberFormat="0" applyBorder="0" applyAlignment="0" applyProtection="0"/>
    <xf numFmtId="0" fontId="96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10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1" fillId="66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90" borderId="0" applyNumberFormat="0" applyBorder="0" applyAlignment="0" applyProtection="0"/>
    <xf numFmtId="0" fontId="96" fillId="110" borderId="0" applyNumberFormat="0" applyBorder="0" applyAlignment="0" applyProtection="0"/>
    <xf numFmtId="0" fontId="96" fillId="110" borderId="0" applyNumberFormat="0" applyBorder="0" applyAlignment="0" applyProtection="0"/>
    <xf numFmtId="0" fontId="96" fillId="110" borderId="0" applyNumberFormat="0" applyBorder="0" applyAlignment="0" applyProtection="0"/>
    <xf numFmtId="0" fontId="96" fillId="90" borderId="0" applyNumberFormat="0" applyBorder="0" applyAlignment="0" applyProtection="0"/>
    <xf numFmtId="0" fontId="96" fillId="110" borderId="0" applyNumberFormat="0" applyBorder="0" applyAlignment="0" applyProtection="0"/>
    <xf numFmtId="0" fontId="96" fillId="110" borderId="0" applyNumberFormat="0" applyBorder="0" applyAlignment="0" applyProtection="0"/>
    <xf numFmtId="0" fontId="96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96" fillId="90" borderId="0" applyNumberFormat="0" applyBorder="0" applyAlignment="0" applyProtection="0"/>
    <xf numFmtId="0" fontId="96" fillId="86" borderId="0" applyNumberFormat="0" applyBorder="0" applyAlignment="0" applyProtection="0"/>
    <xf numFmtId="0" fontId="96" fillId="90" borderId="0" applyNumberFormat="0" applyBorder="0" applyAlignment="0" applyProtection="0"/>
    <xf numFmtId="0" fontId="96" fillId="90" borderId="0" applyNumberFormat="0" applyBorder="0" applyAlignment="0" applyProtection="0"/>
    <xf numFmtId="0" fontId="96" fillId="90" borderId="0" applyNumberFormat="0" applyBorder="0" applyAlignment="0" applyProtection="0"/>
    <xf numFmtId="0" fontId="96" fillId="90" borderId="0" applyNumberFormat="0" applyBorder="0" applyAlignment="0" applyProtection="0"/>
    <xf numFmtId="0" fontId="96" fillId="90" borderId="0" applyNumberFormat="0" applyBorder="0" applyAlignment="0" applyProtection="0"/>
    <xf numFmtId="0" fontId="96" fillId="90" borderId="0" applyNumberFormat="0" applyBorder="0" applyAlignment="0" applyProtection="0"/>
    <xf numFmtId="0" fontId="96" fillId="90" borderId="0" applyNumberFormat="0" applyBorder="0" applyAlignment="0" applyProtection="0"/>
    <xf numFmtId="0" fontId="96" fillId="90" borderId="0" applyNumberFormat="0" applyBorder="0" applyAlignment="0" applyProtection="0"/>
    <xf numFmtId="0" fontId="96" fillId="86" borderId="0" applyNumberFormat="0" applyBorder="0" applyAlignment="0" applyProtection="0"/>
    <xf numFmtId="0" fontId="96" fillId="90" borderId="0" applyNumberFormat="0" applyBorder="0" applyAlignment="0" applyProtection="0"/>
    <xf numFmtId="0" fontId="96" fillId="90" borderId="0" applyNumberFormat="0" applyBorder="0" applyAlignment="0" applyProtection="0"/>
    <xf numFmtId="0" fontId="96" fillId="90" borderId="0" applyNumberFormat="0" applyBorder="0" applyAlignment="0" applyProtection="0"/>
    <xf numFmtId="0" fontId="96" fillId="90" borderId="0" applyNumberFormat="0" applyBorder="0" applyAlignment="0" applyProtection="0"/>
    <xf numFmtId="0" fontId="96" fillId="84" borderId="0" applyNumberFormat="0" applyBorder="0" applyAlignment="0" applyProtection="0"/>
    <xf numFmtId="0" fontId="96" fillId="87" borderId="0" applyNumberFormat="0" applyBorder="0" applyAlignment="0" applyProtection="0"/>
    <xf numFmtId="0" fontId="96" fillId="87" borderId="0" applyNumberFormat="0" applyBorder="0" applyAlignment="0" applyProtection="0"/>
    <xf numFmtId="0" fontId="96" fillId="87" borderId="0" applyNumberFormat="0" applyBorder="0" applyAlignment="0" applyProtection="0"/>
    <xf numFmtId="0" fontId="96" fillId="84" borderId="0" applyNumberFormat="0" applyBorder="0" applyAlignment="0" applyProtection="0"/>
    <xf numFmtId="0" fontId="96" fillId="87" borderId="0" applyNumberFormat="0" applyBorder="0" applyAlignment="0" applyProtection="0"/>
    <xf numFmtId="0" fontId="96" fillId="87" borderId="0" applyNumberFormat="0" applyBorder="0" applyAlignment="0" applyProtection="0"/>
    <xf numFmtId="0" fontId="96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96" fillId="84" borderId="0" applyNumberFormat="0" applyBorder="0" applyAlignment="0" applyProtection="0"/>
    <xf numFmtId="0" fontId="96" fillId="84" borderId="0" applyNumberFormat="0" applyBorder="0" applyAlignment="0" applyProtection="0"/>
    <xf numFmtId="0" fontId="96" fillId="84" borderId="0" applyNumberFormat="0" applyBorder="0" applyAlignment="0" applyProtection="0"/>
    <xf numFmtId="0" fontId="96" fillId="84" borderId="0" applyNumberFormat="0" applyBorder="0" applyAlignment="0" applyProtection="0"/>
    <xf numFmtId="0" fontId="96" fillId="84" borderId="0" applyNumberFormat="0" applyBorder="0" applyAlignment="0" applyProtection="0"/>
    <xf numFmtId="0" fontId="96" fillId="84" borderId="0" applyNumberFormat="0" applyBorder="0" applyAlignment="0" applyProtection="0"/>
    <xf numFmtId="0" fontId="96" fillId="84" borderId="0" applyNumberFormat="0" applyBorder="0" applyAlignment="0" applyProtection="0"/>
    <xf numFmtId="0" fontId="96" fillId="84" borderId="0" applyNumberFormat="0" applyBorder="0" applyAlignment="0" applyProtection="0"/>
    <xf numFmtId="0" fontId="96" fillId="84" borderId="0" applyNumberFormat="0" applyBorder="0" applyAlignment="0" applyProtection="0"/>
    <xf numFmtId="0" fontId="96" fillId="109" borderId="0" applyNumberFormat="0" applyBorder="0" applyAlignment="0" applyProtection="0"/>
    <xf numFmtId="0" fontId="96" fillId="84" borderId="0" applyNumberFormat="0" applyBorder="0" applyAlignment="0" applyProtection="0"/>
    <xf numFmtId="0" fontId="96" fillId="84" borderId="0" applyNumberFormat="0" applyBorder="0" applyAlignment="0" applyProtection="0"/>
    <xf numFmtId="0" fontId="96" fillId="84" borderId="0" applyNumberFormat="0" applyBorder="0" applyAlignment="0" applyProtection="0"/>
    <xf numFmtId="0" fontId="96" fillId="84" borderId="0" applyNumberFormat="0" applyBorder="0" applyAlignment="0" applyProtection="0"/>
    <xf numFmtId="0" fontId="96" fillId="89" borderId="0" applyNumberFormat="0" applyBorder="0" applyAlignment="0" applyProtection="0"/>
    <xf numFmtId="0" fontId="96" fillId="83" borderId="0" applyNumberFormat="0" applyBorder="0" applyAlignment="0" applyProtection="0"/>
    <xf numFmtId="0" fontId="96" fillId="83" borderId="0" applyNumberFormat="0" applyBorder="0" applyAlignment="0" applyProtection="0"/>
    <xf numFmtId="0" fontId="96" fillId="83" borderId="0" applyNumberFormat="0" applyBorder="0" applyAlignment="0" applyProtection="0"/>
    <xf numFmtId="0" fontId="96" fillId="89" borderId="0" applyNumberFormat="0" applyBorder="0" applyAlignment="0" applyProtection="0"/>
    <xf numFmtId="0" fontId="96" fillId="83" borderId="0" applyNumberFormat="0" applyBorder="0" applyAlignment="0" applyProtection="0"/>
    <xf numFmtId="0" fontId="96" fillId="83" borderId="0" applyNumberFormat="0" applyBorder="0" applyAlignment="0" applyProtection="0"/>
    <xf numFmtId="0" fontId="96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3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90" borderId="0" applyNumberFormat="0" applyBorder="0" applyAlignment="0" applyProtection="0"/>
    <xf numFmtId="0" fontId="96" fillId="91" borderId="0" applyNumberFormat="0" applyBorder="0" applyAlignment="0" applyProtection="0"/>
    <xf numFmtId="0" fontId="96" fillId="91" borderId="0" applyNumberFormat="0" applyBorder="0" applyAlignment="0" applyProtection="0"/>
    <xf numFmtId="0" fontId="96" fillId="91" borderId="0" applyNumberFormat="0" applyBorder="0" applyAlignment="0" applyProtection="0"/>
    <xf numFmtId="0" fontId="96" fillId="90" borderId="0" applyNumberFormat="0" applyBorder="0" applyAlignment="0" applyProtection="0"/>
    <xf numFmtId="0" fontId="96" fillId="91" borderId="0" applyNumberFormat="0" applyBorder="0" applyAlignment="0" applyProtection="0"/>
    <xf numFmtId="0" fontId="96" fillId="91" borderId="0" applyNumberFormat="0" applyBorder="0" applyAlignment="0" applyProtection="0"/>
    <xf numFmtId="0" fontId="96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96" fillId="90" borderId="0" applyNumberFormat="0" applyBorder="0" applyAlignment="0" applyProtection="0"/>
    <xf numFmtId="0" fontId="96" fillId="90" borderId="0" applyNumberFormat="0" applyBorder="0" applyAlignment="0" applyProtection="0"/>
    <xf numFmtId="0" fontId="96" fillId="90" borderId="0" applyNumberFormat="0" applyBorder="0" applyAlignment="0" applyProtection="0"/>
    <xf numFmtId="0" fontId="96" fillId="90" borderId="0" applyNumberFormat="0" applyBorder="0" applyAlignment="0" applyProtection="0"/>
    <xf numFmtId="0" fontId="96" fillId="90" borderId="0" applyNumberFormat="0" applyBorder="0" applyAlignment="0" applyProtection="0"/>
    <xf numFmtId="0" fontId="96" fillId="90" borderId="0" applyNumberFormat="0" applyBorder="0" applyAlignment="0" applyProtection="0"/>
    <xf numFmtId="0" fontId="96" fillId="90" borderId="0" applyNumberFormat="0" applyBorder="0" applyAlignment="0" applyProtection="0"/>
    <xf numFmtId="0" fontId="96" fillId="90" borderId="0" applyNumberFormat="0" applyBorder="0" applyAlignment="0" applyProtection="0"/>
    <xf numFmtId="0" fontId="96" fillId="90" borderId="0" applyNumberFormat="0" applyBorder="0" applyAlignment="0" applyProtection="0"/>
    <xf numFmtId="0" fontId="96" fillId="86" borderId="0" applyNumberFormat="0" applyBorder="0" applyAlignment="0" applyProtection="0"/>
    <xf numFmtId="0" fontId="96" fillId="90" borderId="0" applyNumberFormat="0" applyBorder="0" applyAlignment="0" applyProtection="0"/>
    <xf numFmtId="0" fontId="96" fillId="90" borderId="0" applyNumberFormat="0" applyBorder="0" applyAlignment="0" applyProtection="0"/>
    <xf numFmtId="0" fontId="96" fillId="90" borderId="0" applyNumberFormat="0" applyBorder="0" applyAlignment="0" applyProtection="0"/>
    <xf numFmtId="0" fontId="96" fillId="90" borderId="0" applyNumberFormat="0" applyBorder="0" applyAlignment="0" applyProtection="0"/>
    <xf numFmtId="0" fontId="128" fillId="89" borderId="0" applyNumberFormat="0" applyBorder="0" applyAlignment="0" applyProtection="0"/>
    <xf numFmtId="0" fontId="128" fillId="111" borderId="0" applyNumberFormat="0" applyBorder="0" applyAlignment="0" applyProtection="0"/>
    <xf numFmtId="0" fontId="128" fillId="111" borderId="0" applyNumberFormat="0" applyBorder="0" applyAlignment="0" applyProtection="0"/>
    <xf numFmtId="0" fontId="128" fillId="111" borderId="0" applyNumberFormat="0" applyBorder="0" applyAlignment="0" applyProtection="0"/>
    <xf numFmtId="0" fontId="128" fillId="89" borderId="0" applyNumberFormat="0" applyBorder="0" applyAlignment="0" applyProtection="0"/>
    <xf numFmtId="0" fontId="128" fillId="111" borderId="0" applyNumberFormat="0" applyBorder="0" applyAlignment="0" applyProtection="0"/>
    <xf numFmtId="0" fontId="128" fillId="111" borderId="0" applyNumberFormat="0" applyBorder="0" applyAlignment="0" applyProtection="0"/>
    <xf numFmtId="0" fontId="128" fillId="89" borderId="0" applyNumberFormat="0" applyBorder="0" applyAlignment="0" applyProtection="0"/>
    <xf numFmtId="0" fontId="77" fillId="89" borderId="0" applyNumberFormat="0" applyBorder="0" applyAlignment="0" applyProtection="0"/>
    <xf numFmtId="0" fontId="77" fillId="89" borderId="0" applyNumberFormat="0" applyBorder="0" applyAlignment="0" applyProtection="0"/>
    <xf numFmtId="0" fontId="77" fillId="89" borderId="0" applyNumberFormat="0" applyBorder="0" applyAlignment="0" applyProtection="0"/>
    <xf numFmtId="0" fontId="128" fillId="89" borderId="0" applyNumberFormat="0" applyBorder="0" applyAlignment="0" applyProtection="0"/>
    <xf numFmtId="0" fontId="128" fillId="89" borderId="0" applyNumberFormat="0" applyBorder="0" applyAlignment="0" applyProtection="0"/>
    <xf numFmtId="0" fontId="128" fillId="89" borderId="0" applyNumberFormat="0" applyBorder="0" applyAlignment="0" applyProtection="0"/>
    <xf numFmtId="0" fontId="128" fillId="89" borderId="0" applyNumberFormat="0" applyBorder="0" applyAlignment="0" applyProtection="0"/>
    <xf numFmtId="0" fontId="128" fillId="89" borderId="0" applyNumberFormat="0" applyBorder="0" applyAlignment="0" applyProtection="0"/>
    <xf numFmtId="0" fontId="128" fillId="89" borderId="0" applyNumberFormat="0" applyBorder="0" applyAlignment="0" applyProtection="0"/>
    <xf numFmtId="0" fontId="128" fillId="89" borderId="0" applyNumberFormat="0" applyBorder="0" applyAlignment="0" applyProtection="0"/>
    <xf numFmtId="0" fontId="128" fillId="89" borderId="0" applyNumberFormat="0" applyBorder="0" applyAlignment="0" applyProtection="0"/>
    <xf numFmtId="0" fontId="128" fillId="89" borderId="0" applyNumberFormat="0" applyBorder="0" applyAlignment="0" applyProtection="0"/>
    <xf numFmtId="0" fontId="128" fillId="89" borderId="0" applyNumberFormat="0" applyBorder="0" applyAlignment="0" applyProtection="0"/>
    <xf numFmtId="0" fontId="128" fillId="93" borderId="0" applyNumberFormat="0" applyBorder="0" applyAlignment="0" applyProtection="0"/>
    <xf numFmtId="0" fontId="128" fillId="89" borderId="0" applyNumberFormat="0" applyBorder="0" applyAlignment="0" applyProtection="0"/>
    <xf numFmtId="0" fontId="128" fillId="89" borderId="0" applyNumberFormat="0" applyBorder="0" applyAlignment="0" applyProtection="0"/>
    <xf numFmtId="0" fontId="128" fillId="89" borderId="0" applyNumberFormat="0" applyBorder="0" applyAlignment="0" applyProtection="0"/>
    <xf numFmtId="0" fontId="128" fillId="89" borderId="0" applyNumberFormat="0" applyBorder="0" applyAlignment="0" applyProtection="0"/>
    <xf numFmtId="0" fontId="128" fillId="92" borderId="0" applyNumberFormat="0" applyBorder="0" applyAlignment="0" applyProtection="0"/>
    <xf numFmtId="0" fontId="128" fillId="85" borderId="0" applyNumberFormat="0" applyBorder="0" applyAlignment="0" applyProtection="0"/>
    <xf numFmtId="0" fontId="128" fillId="85" borderId="0" applyNumberFormat="0" applyBorder="0" applyAlignment="0" applyProtection="0"/>
    <xf numFmtId="0" fontId="128" fillId="85" borderId="0" applyNumberFormat="0" applyBorder="0" applyAlignment="0" applyProtection="0"/>
    <xf numFmtId="0" fontId="128" fillId="92" borderId="0" applyNumberFormat="0" applyBorder="0" applyAlignment="0" applyProtection="0"/>
    <xf numFmtId="0" fontId="128" fillId="85" borderId="0" applyNumberFormat="0" applyBorder="0" applyAlignment="0" applyProtection="0"/>
    <xf numFmtId="0" fontId="128" fillId="85" borderId="0" applyNumberFormat="0" applyBorder="0" applyAlignment="0" applyProtection="0"/>
    <xf numFmtId="0" fontId="128" fillId="92" borderId="0" applyNumberFormat="0" applyBorder="0" applyAlignment="0" applyProtection="0"/>
    <xf numFmtId="0" fontId="77" fillId="92" borderId="0" applyNumberFormat="0" applyBorder="0" applyAlignment="0" applyProtection="0"/>
    <xf numFmtId="0" fontId="77" fillId="92" borderId="0" applyNumberFormat="0" applyBorder="0" applyAlignment="0" applyProtection="0"/>
    <xf numFmtId="0" fontId="77" fillId="92" borderId="0" applyNumberFormat="0" applyBorder="0" applyAlignment="0" applyProtection="0"/>
    <xf numFmtId="0" fontId="128" fillId="92" borderId="0" applyNumberFormat="0" applyBorder="0" applyAlignment="0" applyProtection="0"/>
    <xf numFmtId="0" fontId="128" fillId="92" borderId="0" applyNumberFormat="0" applyBorder="0" applyAlignment="0" applyProtection="0"/>
    <xf numFmtId="0" fontId="128" fillId="92" borderId="0" applyNumberFormat="0" applyBorder="0" applyAlignment="0" applyProtection="0"/>
    <xf numFmtId="0" fontId="128" fillId="92" borderId="0" applyNumberFormat="0" applyBorder="0" applyAlignment="0" applyProtection="0"/>
    <xf numFmtId="0" fontId="128" fillId="92" borderId="0" applyNumberFormat="0" applyBorder="0" applyAlignment="0" applyProtection="0"/>
    <xf numFmtId="0" fontId="128" fillId="92" borderId="0" applyNumberFormat="0" applyBorder="0" applyAlignment="0" applyProtection="0"/>
    <xf numFmtId="0" fontId="128" fillId="92" borderId="0" applyNumberFormat="0" applyBorder="0" applyAlignment="0" applyProtection="0"/>
    <xf numFmtId="0" fontId="128" fillId="92" borderId="0" applyNumberFormat="0" applyBorder="0" applyAlignment="0" applyProtection="0"/>
    <xf numFmtId="0" fontId="128" fillId="92" borderId="0" applyNumberFormat="0" applyBorder="0" applyAlignment="0" applyProtection="0"/>
    <xf numFmtId="0" fontId="128" fillId="92" borderId="0" applyNumberFormat="0" applyBorder="0" applyAlignment="0" applyProtection="0"/>
    <xf numFmtId="0" fontId="128" fillId="85" borderId="0" applyNumberFormat="0" applyBorder="0" applyAlignment="0" applyProtection="0"/>
    <xf numFmtId="0" fontId="128" fillId="92" borderId="0" applyNumberFormat="0" applyBorder="0" applyAlignment="0" applyProtection="0"/>
    <xf numFmtId="0" fontId="128" fillId="92" borderId="0" applyNumberFormat="0" applyBorder="0" applyAlignment="0" applyProtection="0"/>
    <xf numFmtId="0" fontId="128" fillId="92" borderId="0" applyNumberFormat="0" applyBorder="0" applyAlignment="0" applyProtection="0"/>
    <xf numFmtId="0" fontId="128" fillId="92" borderId="0" applyNumberFormat="0" applyBorder="0" applyAlignment="0" applyProtection="0"/>
    <xf numFmtId="0" fontId="128" fillId="91" borderId="0" applyNumberFormat="0" applyBorder="0" applyAlignment="0" applyProtection="0"/>
    <xf numFmtId="0" fontId="128" fillId="110" borderId="0" applyNumberFormat="0" applyBorder="0" applyAlignment="0" applyProtection="0"/>
    <xf numFmtId="0" fontId="128" fillId="110" borderId="0" applyNumberFormat="0" applyBorder="0" applyAlignment="0" applyProtection="0"/>
    <xf numFmtId="0" fontId="128" fillId="110" borderId="0" applyNumberFormat="0" applyBorder="0" applyAlignment="0" applyProtection="0"/>
    <xf numFmtId="0" fontId="128" fillId="91" borderId="0" applyNumberFormat="0" applyBorder="0" applyAlignment="0" applyProtection="0"/>
    <xf numFmtId="0" fontId="128" fillId="110" borderId="0" applyNumberFormat="0" applyBorder="0" applyAlignment="0" applyProtection="0"/>
    <xf numFmtId="0" fontId="128" fillId="110" borderId="0" applyNumberFormat="0" applyBorder="0" applyAlignment="0" applyProtection="0"/>
    <xf numFmtId="0" fontId="128" fillId="91" borderId="0" applyNumberFormat="0" applyBorder="0" applyAlignment="0" applyProtection="0"/>
    <xf numFmtId="0" fontId="77" fillId="91" borderId="0" applyNumberFormat="0" applyBorder="0" applyAlignment="0" applyProtection="0"/>
    <xf numFmtId="0" fontId="77" fillId="91" borderId="0" applyNumberFormat="0" applyBorder="0" applyAlignment="0" applyProtection="0"/>
    <xf numFmtId="0" fontId="77" fillId="91" borderId="0" applyNumberFormat="0" applyBorder="0" applyAlignment="0" applyProtection="0"/>
    <xf numFmtId="0" fontId="128" fillId="91" borderId="0" applyNumberFormat="0" applyBorder="0" applyAlignment="0" applyProtection="0"/>
    <xf numFmtId="0" fontId="128" fillId="91" borderId="0" applyNumberFormat="0" applyBorder="0" applyAlignment="0" applyProtection="0"/>
    <xf numFmtId="0" fontId="128" fillId="91" borderId="0" applyNumberFormat="0" applyBorder="0" applyAlignment="0" applyProtection="0"/>
    <xf numFmtId="0" fontId="128" fillId="91" borderId="0" applyNumberFormat="0" applyBorder="0" applyAlignment="0" applyProtection="0"/>
    <xf numFmtId="0" fontId="128" fillId="91" borderId="0" applyNumberFormat="0" applyBorder="0" applyAlignment="0" applyProtection="0"/>
    <xf numFmtId="0" fontId="128" fillId="91" borderId="0" applyNumberFormat="0" applyBorder="0" applyAlignment="0" applyProtection="0"/>
    <xf numFmtId="0" fontId="128" fillId="91" borderId="0" applyNumberFormat="0" applyBorder="0" applyAlignment="0" applyProtection="0"/>
    <xf numFmtId="0" fontId="128" fillId="91" borderId="0" applyNumberFormat="0" applyBorder="0" applyAlignment="0" applyProtection="0"/>
    <xf numFmtId="0" fontId="128" fillId="91" borderId="0" applyNumberFormat="0" applyBorder="0" applyAlignment="0" applyProtection="0"/>
    <xf numFmtId="0" fontId="128" fillId="91" borderId="0" applyNumberFormat="0" applyBorder="0" applyAlignment="0" applyProtection="0"/>
    <xf numFmtId="0" fontId="128" fillId="86" borderId="0" applyNumberFormat="0" applyBorder="0" applyAlignment="0" applyProtection="0"/>
    <xf numFmtId="0" fontId="128" fillId="91" borderId="0" applyNumberFormat="0" applyBorder="0" applyAlignment="0" applyProtection="0"/>
    <xf numFmtId="0" fontId="128" fillId="91" borderId="0" applyNumberFormat="0" applyBorder="0" applyAlignment="0" applyProtection="0"/>
    <xf numFmtId="0" fontId="128" fillId="91" borderId="0" applyNumberFormat="0" applyBorder="0" applyAlignment="0" applyProtection="0"/>
    <xf numFmtId="0" fontId="128" fillId="91" borderId="0" applyNumberFormat="0" applyBorder="0" applyAlignment="0" applyProtection="0"/>
    <xf numFmtId="0" fontId="128" fillId="84" borderId="0" applyNumberFormat="0" applyBorder="0" applyAlignment="0" applyProtection="0"/>
    <xf numFmtId="0" fontId="128" fillId="112" borderId="0" applyNumberFormat="0" applyBorder="0" applyAlignment="0" applyProtection="0"/>
    <xf numFmtId="0" fontId="128" fillId="112" borderId="0" applyNumberFormat="0" applyBorder="0" applyAlignment="0" applyProtection="0"/>
    <xf numFmtId="0" fontId="128" fillId="112" borderId="0" applyNumberFormat="0" applyBorder="0" applyAlignment="0" applyProtection="0"/>
    <xf numFmtId="0" fontId="128" fillId="84" borderId="0" applyNumberFormat="0" applyBorder="0" applyAlignment="0" applyProtection="0"/>
    <xf numFmtId="0" fontId="128" fillId="112" borderId="0" applyNumberFormat="0" applyBorder="0" applyAlignment="0" applyProtection="0"/>
    <xf numFmtId="0" fontId="128" fillId="112" borderId="0" applyNumberFormat="0" applyBorder="0" applyAlignment="0" applyProtection="0"/>
    <xf numFmtId="0" fontId="128" fillId="84" borderId="0" applyNumberFormat="0" applyBorder="0" applyAlignment="0" applyProtection="0"/>
    <xf numFmtId="0" fontId="77" fillId="84" borderId="0" applyNumberFormat="0" applyBorder="0" applyAlignment="0" applyProtection="0"/>
    <xf numFmtId="0" fontId="77" fillId="84" borderId="0" applyNumberFormat="0" applyBorder="0" applyAlignment="0" applyProtection="0"/>
    <xf numFmtId="0" fontId="77" fillId="84" borderId="0" applyNumberFormat="0" applyBorder="0" applyAlignment="0" applyProtection="0"/>
    <xf numFmtId="0" fontId="128" fillId="84" borderId="0" applyNumberFormat="0" applyBorder="0" applyAlignment="0" applyProtection="0"/>
    <xf numFmtId="0" fontId="128" fillId="84" borderId="0" applyNumberFormat="0" applyBorder="0" applyAlignment="0" applyProtection="0"/>
    <xf numFmtId="0" fontId="128" fillId="84" borderId="0" applyNumberFormat="0" applyBorder="0" applyAlignment="0" applyProtection="0"/>
    <xf numFmtId="0" fontId="128" fillId="84" borderId="0" applyNumberFormat="0" applyBorder="0" applyAlignment="0" applyProtection="0"/>
    <xf numFmtId="0" fontId="128" fillId="84" borderId="0" applyNumberFormat="0" applyBorder="0" applyAlignment="0" applyProtection="0"/>
    <xf numFmtId="0" fontId="128" fillId="84" borderId="0" applyNumberFormat="0" applyBorder="0" applyAlignment="0" applyProtection="0"/>
    <xf numFmtId="0" fontId="128" fillId="84" borderId="0" applyNumberFormat="0" applyBorder="0" applyAlignment="0" applyProtection="0"/>
    <xf numFmtId="0" fontId="128" fillId="84" borderId="0" applyNumberFormat="0" applyBorder="0" applyAlignment="0" applyProtection="0"/>
    <xf numFmtId="0" fontId="128" fillId="84" borderId="0" applyNumberFormat="0" applyBorder="0" applyAlignment="0" applyProtection="0"/>
    <xf numFmtId="0" fontId="128" fillId="84" borderId="0" applyNumberFormat="0" applyBorder="0" applyAlignment="0" applyProtection="0"/>
    <xf numFmtId="0" fontId="128" fillId="109" borderId="0" applyNumberFormat="0" applyBorder="0" applyAlignment="0" applyProtection="0"/>
    <xf numFmtId="0" fontId="128" fillId="84" borderId="0" applyNumberFormat="0" applyBorder="0" applyAlignment="0" applyProtection="0"/>
    <xf numFmtId="0" fontId="128" fillId="84" borderId="0" applyNumberFormat="0" applyBorder="0" applyAlignment="0" applyProtection="0"/>
    <xf numFmtId="0" fontId="128" fillId="84" borderId="0" applyNumberFormat="0" applyBorder="0" applyAlignment="0" applyProtection="0"/>
    <xf numFmtId="0" fontId="128" fillId="84" borderId="0" applyNumberFormat="0" applyBorder="0" applyAlignment="0" applyProtection="0"/>
    <xf numFmtId="0" fontId="128" fillId="89" borderId="0" applyNumberFormat="0" applyBorder="0" applyAlignment="0" applyProtection="0"/>
    <xf numFmtId="0" fontId="128" fillId="93" borderId="0" applyNumberFormat="0" applyBorder="0" applyAlignment="0" applyProtection="0"/>
    <xf numFmtId="0" fontId="128" fillId="93" borderId="0" applyNumberFormat="0" applyBorder="0" applyAlignment="0" applyProtection="0"/>
    <xf numFmtId="0" fontId="128" fillId="93" borderId="0" applyNumberFormat="0" applyBorder="0" applyAlignment="0" applyProtection="0"/>
    <xf numFmtId="0" fontId="128" fillId="89" borderId="0" applyNumberFormat="0" applyBorder="0" applyAlignment="0" applyProtection="0"/>
    <xf numFmtId="0" fontId="128" fillId="93" borderId="0" applyNumberFormat="0" applyBorder="0" applyAlignment="0" applyProtection="0"/>
    <xf numFmtId="0" fontId="128" fillId="93" borderId="0" applyNumberFormat="0" applyBorder="0" applyAlignment="0" applyProtection="0"/>
    <xf numFmtId="0" fontId="128" fillId="89" borderId="0" applyNumberFormat="0" applyBorder="0" applyAlignment="0" applyProtection="0"/>
    <xf numFmtId="0" fontId="77" fillId="89" borderId="0" applyNumberFormat="0" applyBorder="0" applyAlignment="0" applyProtection="0"/>
    <xf numFmtId="0" fontId="77" fillId="89" borderId="0" applyNumberFormat="0" applyBorder="0" applyAlignment="0" applyProtection="0"/>
    <xf numFmtId="0" fontId="77" fillId="89" borderId="0" applyNumberFormat="0" applyBorder="0" applyAlignment="0" applyProtection="0"/>
    <xf numFmtId="0" fontId="128" fillId="89" borderId="0" applyNumberFormat="0" applyBorder="0" applyAlignment="0" applyProtection="0"/>
    <xf numFmtId="0" fontId="128" fillId="89" borderId="0" applyNumberFormat="0" applyBorder="0" applyAlignment="0" applyProtection="0"/>
    <xf numFmtId="0" fontId="128" fillId="89" borderId="0" applyNumberFormat="0" applyBorder="0" applyAlignment="0" applyProtection="0"/>
    <xf numFmtId="0" fontId="128" fillId="89" borderId="0" applyNumberFormat="0" applyBorder="0" applyAlignment="0" applyProtection="0"/>
    <xf numFmtId="0" fontId="128" fillId="89" borderId="0" applyNumberFormat="0" applyBorder="0" applyAlignment="0" applyProtection="0"/>
    <xf numFmtId="0" fontId="128" fillId="89" borderId="0" applyNumberFormat="0" applyBorder="0" applyAlignment="0" applyProtection="0"/>
    <xf numFmtId="0" fontId="128" fillId="89" borderId="0" applyNumberFormat="0" applyBorder="0" applyAlignment="0" applyProtection="0"/>
    <xf numFmtId="0" fontId="128" fillId="89" borderId="0" applyNumberFormat="0" applyBorder="0" applyAlignment="0" applyProtection="0"/>
    <xf numFmtId="0" fontId="128" fillId="89" borderId="0" applyNumberFormat="0" applyBorder="0" applyAlignment="0" applyProtection="0"/>
    <xf numFmtId="0" fontId="128" fillId="89" borderId="0" applyNumberFormat="0" applyBorder="0" applyAlignment="0" applyProtection="0"/>
    <xf numFmtId="0" fontId="128" fillId="93" borderId="0" applyNumberFormat="0" applyBorder="0" applyAlignment="0" applyProtection="0"/>
    <xf numFmtId="0" fontId="128" fillId="89" borderId="0" applyNumberFormat="0" applyBorder="0" applyAlignment="0" applyProtection="0"/>
    <xf numFmtId="0" fontId="128" fillId="89" borderId="0" applyNumberFormat="0" applyBorder="0" applyAlignment="0" applyProtection="0"/>
    <xf numFmtId="0" fontId="128" fillId="89" borderId="0" applyNumberFormat="0" applyBorder="0" applyAlignment="0" applyProtection="0"/>
    <xf numFmtId="0" fontId="128" fillId="89" borderId="0" applyNumberFormat="0" applyBorder="0" applyAlignment="0" applyProtection="0"/>
    <xf numFmtId="0" fontId="128" fillId="85" borderId="0" applyNumberFormat="0" applyBorder="0" applyAlignment="0" applyProtection="0"/>
    <xf numFmtId="0" fontId="128" fillId="113" borderId="0" applyNumberFormat="0" applyBorder="0" applyAlignment="0" applyProtection="0"/>
    <xf numFmtId="0" fontId="128" fillId="113" borderId="0" applyNumberFormat="0" applyBorder="0" applyAlignment="0" applyProtection="0"/>
    <xf numFmtId="0" fontId="128" fillId="113" borderId="0" applyNumberFormat="0" applyBorder="0" applyAlignment="0" applyProtection="0"/>
    <xf numFmtId="0" fontId="128" fillId="85" borderId="0" applyNumberFormat="0" applyBorder="0" applyAlignment="0" applyProtection="0"/>
    <xf numFmtId="0" fontId="128" fillId="113" borderId="0" applyNumberFormat="0" applyBorder="0" applyAlignment="0" applyProtection="0"/>
    <xf numFmtId="0" fontId="128" fillId="113" borderId="0" applyNumberFormat="0" applyBorder="0" applyAlignment="0" applyProtection="0"/>
    <xf numFmtId="0" fontId="128" fillId="85" borderId="0" applyNumberFormat="0" applyBorder="0" applyAlignment="0" applyProtection="0"/>
    <xf numFmtId="0" fontId="77" fillId="85" borderId="0" applyNumberFormat="0" applyBorder="0" applyAlignment="0" applyProtection="0"/>
    <xf numFmtId="0" fontId="77" fillId="85" borderId="0" applyNumberFormat="0" applyBorder="0" applyAlignment="0" applyProtection="0"/>
    <xf numFmtId="0" fontId="77" fillId="85" borderId="0" applyNumberFormat="0" applyBorder="0" applyAlignment="0" applyProtection="0"/>
    <xf numFmtId="0" fontId="128" fillId="85" borderId="0" applyNumberFormat="0" applyBorder="0" applyAlignment="0" applyProtection="0"/>
    <xf numFmtId="0" fontId="128" fillId="85" borderId="0" applyNumberFormat="0" applyBorder="0" applyAlignment="0" applyProtection="0"/>
    <xf numFmtId="0" fontId="128" fillId="85" borderId="0" applyNumberFormat="0" applyBorder="0" applyAlignment="0" applyProtection="0"/>
    <xf numFmtId="0" fontId="128" fillId="85" borderId="0" applyNumberFormat="0" applyBorder="0" applyAlignment="0" applyProtection="0"/>
    <xf numFmtId="0" fontId="128" fillId="85" borderId="0" applyNumberFormat="0" applyBorder="0" applyAlignment="0" applyProtection="0"/>
    <xf numFmtId="0" fontId="128" fillId="85" borderId="0" applyNumberFormat="0" applyBorder="0" applyAlignment="0" applyProtection="0"/>
    <xf numFmtId="0" fontId="128" fillId="85" borderId="0" applyNumberFormat="0" applyBorder="0" applyAlignment="0" applyProtection="0"/>
    <xf numFmtId="0" fontId="128" fillId="85" borderId="0" applyNumberFormat="0" applyBorder="0" applyAlignment="0" applyProtection="0"/>
    <xf numFmtId="0" fontId="128" fillId="85" borderId="0" applyNumberFormat="0" applyBorder="0" applyAlignment="0" applyProtection="0"/>
    <xf numFmtId="0" fontId="128" fillId="85" borderId="0" applyNumberFormat="0" applyBorder="0" applyAlignment="0" applyProtection="0"/>
    <xf numFmtId="0" fontId="128" fillId="85" borderId="0" applyNumberFormat="0" applyBorder="0" applyAlignment="0" applyProtection="0"/>
    <xf numFmtId="0" fontId="128" fillId="85" borderId="0" applyNumberFormat="0" applyBorder="0" applyAlignment="0" applyProtection="0"/>
    <xf numFmtId="0" fontId="128" fillId="85" borderId="0" applyNumberFormat="0" applyBorder="0" applyAlignment="0" applyProtection="0"/>
    <xf numFmtId="0" fontId="128" fillId="85" borderId="0" applyNumberFormat="0" applyBorder="0" applyAlignment="0" applyProtection="0"/>
    <xf numFmtId="165" fontId="79" fillId="114" borderId="0"/>
    <xf numFmtId="0" fontId="96" fillId="115" borderId="0" applyNumberFormat="0" applyBorder="0" applyAlignment="0" applyProtection="0"/>
    <xf numFmtId="0" fontId="96" fillId="115" borderId="0" applyNumberFormat="0" applyBorder="0" applyAlignment="0" applyProtection="0"/>
    <xf numFmtId="0" fontId="128" fillId="116" borderId="0" applyNumberFormat="0" applyBorder="0" applyAlignment="0" applyProtection="0"/>
    <xf numFmtId="0" fontId="128" fillId="94" borderId="0" applyNumberFormat="0" applyBorder="0" applyAlignment="0" applyProtection="0"/>
    <xf numFmtId="0" fontId="128" fillId="94" borderId="0" applyNumberFormat="0" applyBorder="0" applyAlignment="0" applyProtection="0"/>
    <xf numFmtId="0" fontId="128" fillId="117" borderId="0" applyNumberFormat="0" applyBorder="0" applyAlignment="0" applyProtection="0"/>
    <xf numFmtId="0" fontId="128" fillId="117" borderId="0" applyNumberFormat="0" applyBorder="0" applyAlignment="0" applyProtection="0"/>
    <xf numFmtId="0" fontId="128" fillId="94" borderId="0" applyNumberFormat="0" applyBorder="0" applyAlignment="0" applyProtection="0"/>
    <xf numFmtId="0" fontId="128" fillId="117" borderId="0" applyNumberFormat="0" applyBorder="0" applyAlignment="0" applyProtection="0"/>
    <xf numFmtId="0" fontId="128" fillId="94" borderId="0" applyNumberFormat="0" applyBorder="0" applyAlignment="0" applyProtection="0"/>
    <xf numFmtId="0" fontId="128" fillId="117" borderId="0" applyNumberFormat="0" applyBorder="0" applyAlignment="0" applyProtection="0"/>
    <xf numFmtId="0" fontId="128" fillId="94" borderId="0" applyNumberFormat="0" applyBorder="0" applyAlignment="0" applyProtection="0"/>
    <xf numFmtId="0" fontId="128" fillId="117" borderId="0" applyNumberFormat="0" applyBorder="0" applyAlignment="0" applyProtection="0"/>
    <xf numFmtId="0" fontId="128" fillId="94" borderId="0" applyNumberFormat="0" applyBorder="0" applyAlignment="0" applyProtection="0"/>
    <xf numFmtId="0" fontId="77" fillId="94" borderId="0" applyNumberFormat="0" applyBorder="0" applyAlignment="0" applyProtection="0"/>
    <xf numFmtId="0" fontId="77" fillId="94" borderId="0" applyNumberFormat="0" applyBorder="0" applyAlignment="0" applyProtection="0"/>
    <xf numFmtId="0" fontId="77" fillId="94" borderId="0" applyNumberFormat="0" applyBorder="0" applyAlignment="0" applyProtection="0"/>
    <xf numFmtId="0" fontId="128" fillId="94" borderId="0" applyNumberFormat="0" applyBorder="0" applyAlignment="0" applyProtection="0"/>
    <xf numFmtId="0" fontId="128" fillId="94" borderId="0" applyNumberFormat="0" applyBorder="0" applyAlignment="0" applyProtection="0"/>
    <xf numFmtId="0" fontId="128" fillId="94" borderId="0" applyNumberFormat="0" applyBorder="0" applyAlignment="0" applyProtection="0"/>
    <xf numFmtId="0" fontId="128" fillId="94" borderId="0" applyNumberFormat="0" applyBorder="0" applyAlignment="0" applyProtection="0"/>
    <xf numFmtId="0" fontId="128" fillId="94" borderId="0" applyNumberFormat="0" applyBorder="0" applyAlignment="0" applyProtection="0"/>
    <xf numFmtId="0" fontId="128" fillId="94" borderId="0" applyNumberFormat="0" applyBorder="0" applyAlignment="0" applyProtection="0"/>
    <xf numFmtId="0" fontId="128" fillId="94" borderId="0" applyNumberFormat="0" applyBorder="0" applyAlignment="0" applyProtection="0"/>
    <xf numFmtId="0" fontId="128" fillId="94" borderId="0" applyNumberFormat="0" applyBorder="0" applyAlignment="0" applyProtection="0"/>
    <xf numFmtId="0" fontId="128" fillId="94" borderId="0" applyNumberFormat="0" applyBorder="0" applyAlignment="0" applyProtection="0"/>
    <xf numFmtId="0" fontId="128" fillId="94" borderId="0" applyNumberFormat="0" applyBorder="0" applyAlignment="0" applyProtection="0"/>
    <xf numFmtId="0" fontId="128" fillId="94" borderId="0" applyNumberFormat="0" applyBorder="0" applyAlignment="0" applyProtection="0"/>
    <xf numFmtId="0" fontId="128" fillId="94" borderId="0" applyNumberFormat="0" applyBorder="0" applyAlignment="0" applyProtection="0"/>
    <xf numFmtId="0" fontId="128" fillId="94" borderId="0" applyNumberFormat="0" applyBorder="0" applyAlignment="0" applyProtection="0"/>
    <xf numFmtId="0" fontId="128" fillId="94" borderId="0" applyNumberFormat="0" applyBorder="0" applyAlignment="0" applyProtection="0"/>
    <xf numFmtId="0" fontId="128" fillId="94" borderId="0" applyNumberFormat="0" applyBorder="0" applyAlignment="0" applyProtection="0"/>
    <xf numFmtId="0" fontId="128" fillId="94" borderId="0" applyNumberFormat="0" applyBorder="0" applyAlignment="0" applyProtection="0"/>
    <xf numFmtId="0" fontId="128" fillId="94" borderId="0" applyNumberFormat="0" applyBorder="0" applyAlignment="0" applyProtection="0"/>
    <xf numFmtId="0" fontId="128" fillId="93" borderId="0" applyNumberFormat="0" applyBorder="0" applyAlignment="0" applyProtection="0"/>
    <xf numFmtId="0" fontId="128" fillId="94" borderId="0" applyNumberFormat="0" applyBorder="0" applyAlignment="0" applyProtection="0"/>
    <xf numFmtId="0" fontId="128" fillId="93" borderId="0" applyNumberFormat="0" applyBorder="0" applyAlignment="0" applyProtection="0"/>
    <xf numFmtId="0" fontId="128" fillId="94" borderId="0" applyNumberFormat="0" applyBorder="0" applyAlignment="0" applyProtection="0"/>
    <xf numFmtId="0" fontId="128" fillId="93" borderId="0" applyNumberFormat="0" applyBorder="0" applyAlignment="0" applyProtection="0"/>
    <xf numFmtId="0" fontId="128" fillId="94" borderId="0" applyNumberFormat="0" applyBorder="0" applyAlignment="0" applyProtection="0"/>
    <xf numFmtId="0" fontId="128" fillId="94" borderId="0" applyNumberFormat="0" applyBorder="0" applyAlignment="0" applyProtection="0"/>
    <xf numFmtId="0" fontId="96" fillId="118" borderId="0" applyNumberFormat="0" applyBorder="0" applyAlignment="0" applyProtection="0"/>
    <xf numFmtId="0" fontId="96" fillId="119" borderId="0" applyNumberFormat="0" applyBorder="0" applyAlignment="0" applyProtection="0"/>
    <xf numFmtId="0" fontId="128" fillId="120" borderId="0" applyNumberFormat="0" applyBorder="0" applyAlignment="0" applyProtection="0"/>
    <xf numFmtId="0" fontId="128" fillId="92" borderId="0" applyNumberFormat="0" applyBorder="0" applyAlignment="0" applyProtection="0"/>
    <xf numFmtId="0" fontId="128" fillId="92" borderId="0" applyNumberFormat="0" applyBorder="0" applyAlignment="0" applyProtection="0"/>
    <xf numFmtId="0" fontId="128" fillId="95" borderId="0" applyNumberFormat="0" applyBorder="0" applyAlignment="0" applyProtection="0"/>
    <xf numFmtId="0" fontId="128" fillId="95" borderId="0" applyNumberFormat="0" applyBorder="0" applyAlignment="0" applyProtection="0"/>
    <xf numFmtId="0" fontId="128" fillId="92" borderId="0" applyNumberFormat="0" applyBorder="0" applyAlignment="0" applyProtection="0"/>
    <xf numFmtId="0" fontId="128" fillId="95" borderId="0" applyNumberFormat="0" applyBorder="0" applyAlignment="0" applyProtection="0"/>
    <xf numFmtId="0" fontId="128" fillId="92" borderId="0" applyNumberFormat="0" applyBorder="0" applyAlignment="0" applyProtection="0"/>
    <xf numFmtId="0" fontId="128" fillId="95" borderId="0" applyNumberFormat="0" applyBorder="0" applyAlignment="0" applyProtection="0"/>
    <xf numFmtId="0" fontId="128" fillId="92" borderId="0" applyNumberFormat="0" applyBorder="0" applyAlignment="0" applyProtection="0"/>
    <xf numFmtId="0" fontId="128" fillId="95" borderId="0" applyNumberFormat="0" applyBorder="0" applyAlignment="0" applyProtection="0"/>
    <xf numFmtId="0" fontId="128" fillId="92" borderId="0" applyNumberFormat="0" applyBorder="0" applyAlignment="0" applyProtection="0"/>
    <xf numFmtId="0" fontId="77" fillId="92" borderId="0" applyNumberFormat="0" applyBorder="0" applyAlignment="0" applyProtection="0"/>
    <xf numFmtId="0" fontId="77" fillId="92" borderId="0" applyNumberFormat="0" applyBorder="0" applyAlignment="0" applyProtection="0"/>
    <xf numFmtId="0" fontId="77" fillId="92" borderId="0" applyNumberFormat="0" applyBorder="0" applyAlignment="0" applyProtection="0"/>
    <xf numFmtId="0" fontId="128" fillId="92" borderId="0" applyNumberFormat="0" applyBorder="0" applyAlignment="0" applyProtection="0"/>
    <xf numFmtId="0" fontId="128" fillId="92" borderId="0" applyNumberFormat="0" applyBorder="0" applyAlignment="0" applyProtection="0"/>
    <xf numFmtId="0" fontId="128" fillId="92" borderId="0" applyNumberFormat="0" applyBorder="0" applyAlignment="0" applyProtection="0"/>
    <xf numFmtId="0" fontId="128" fillId="92" borderId="0" applyNumberFormat="0" applyBorder="0" applyAlignment="0" applyProtection="0"/>
    <xf numFmtId="0" fontId="128" fillId="92" borderId="0" applyNumberFormat="0" applyBorder="0" applyAlignment="0" applyProtection="0"/>
    <xf numFmtId="0" fontId="128" fillId="92" borderId="0" applyNumberFormat="0" applyBorder="0" applyAlignment="0" applyProtection="0"/>
    <xf numFmtId="0" fontId="128" fillId="92" borderId="0" applyNumberFormat="0" applyBorder="0" applyAlignment="0" applyProtection="0"/>
    <xf numFmtId="0" fontId="128" fillId="92" borderId="0" applyNumberFormat="0" applyBorder="0" applyAlignment="0" applyProtection="0"/>
    <xf numFmtId="0" fontId="128" fillId="92" borderId="0" applyNumberFormat="0" applyBorder="0" applyAlignment="0" applyProtection="0"/>
    <xf numFmtId="0" fontId="128" fillId="92" borderId="0" applyNumberFormat="0" applyBorder="0" applyAlignment="0" applyProtection="0"/>
    <xf numFmtId="0" fontId="128" fillId="92" borderId="0" applyNumberFormat="0" applyBorder="0" applyAlignment="0" applyProtection="0"/>
    <xf numFmtId="0" fontId="128" fillId="92" borderId="0" applyNumberFormat="0" applyBorder="0" applyAlignment="0" applyProtection="0"/>
    <xf numFmtId="0" fontId="128" fillId="92" borderId="0" applyNumberFormat="0" applyBorder="0" applyAlignment="0" applyProtection="0"/>
    <xf numFmtId="0" fontId="128" fillId="92" borderId="0" applyNumberFormat="0" applyBorder="0" applyAlignment="0" applyProtection="0"/>
    <xf numFmtId="0" fontId="128" fillId="92" borderId="0" applyNumberFormat="0" applyBorder="0" applyAlignment="0" applyProtection="0"/>
    <xf numFmtId="0" fontId="128" fillId="92" borderId="0" applyNumberFormat="0" applyBorder="0" applyAlignment="0" applyProtection="0"/>
    <xf numFmtId="0" fontId="128" fillId="92" borderId="0" applyNumberFormat="0" applyBorder="0" applyAlignment="0" applyProtection="0"/>
    <xf numFmtId="0" fontId="128" fillId="95" borderId="0" applyNumberFormat="0" applyBorder="0" applyAlignment="0" applyProtection="0"/>
    <xf numFmtId="0" fontId="128" fillId="92" borderId="0" applyNumberFormat="0" applyBorder="0" applyAlignment="0" applyProtection="0"/>
    <xf numFmtId="0" fontId="128" fillId="95" borderId="0" applyNumberFormat="0" applyBorder="0" applyAlignment="0" applyProtection="0"/>
    <xf numFmtId="0" fontId="128" fillId="92" borderId="0" applyNumberFormat="0" applyBorder="0" applyAlignment="0" applyProtection="0"/>
    <xf numFmtId="0" fontId="128" fillId="95" borderId="0" applyNumberFormat="0" applyBorder="0" applyAlignment="0" applyProtection="0"/>
    <xf numFmtId="0" fontId="128" fillId="92" borderId="0" applyNumberFormat="0" applyBorder="0" applyAlignment="0" applyProtection="0"/>
    <xf numFmtId="0" fontId="128" fillId="92" borderId="0" applyNumberFormat="0" applyBorder="0" applyAlignment="0" applyProtection="0"/>
    <xf numFmtId="0" fontId="96" fillId="118" borderId="0" applyNumberFormat="0" applyBorder="0" applyAlignment="0" applyProtection="0"/>
    <xf numFmtId="0" fontId="96" fillId="121" borderId="0" applyNumberFormat="0" applyBorder="0" applyAlignment="0" applyProtection="0"/>
    <xf numFmtId="0" fontId="128" fillId="119" borderId="0" applyNumberFormat="0" applyBorder="0" applyAlignment="0" applyProtection="0"/>
    <xf numFmtId="0" fontId="128" fillId="91" borderId="0" applyNumberFormat="0" applyBorder="0" applyAlignment="0" applyProtection="0"/>
    <xf numFmtId="0" fontId="128" fillId="91" borderId="0" applyNumberFormat="0" applyBorder="0" applyAlignment="0" applyProtection="0"/>
    <xf numFmtId="0" fontId="128" fillId="122" borderId="0" applyNumberFormat="0" applyBorder="0" applyAlignment="0" applyProtection="0"/>
    <xf numFmtId="0" fontId="128" fillId="122" borderId="0" applyNumberFormat="0" applyBorder="0" applyAlignment="0" applyProtection="0"/>
    <xf numFmtId="0" fontId="128" fillId="91" borderId="0" applyNumberFormat="0" applyBorder="0" applyAlignment="0" applyProtection="0"/>
    <xf numFmtId="0" fontId="128" fillId="122" borderId="0" applyNumberFormat="0" applyBorder="0" applyAlignment="0" applyProtection="0"/>
    <xf numFmtId="0" fontId="128" fillId="91" borderId="0" applyNumberFormat="0" applyBorder="0" applyAlignment="0" applyProtection="0"/>
    <xf numFmtId="0" fontId="128" fillId="122" borderId="0" applyNumberFormat="0" applyBorder="0" applyAlignment="0" applyProtection="0"/>
    <xf numFmtId="0" fontId="128" fillId="91" borderId="0" applyNumberFormat="0" applyBorder="0" applyAlignment="0" applyProtection="0"/>
    <xf numFmtId="0" fontId="128" fillId="122" borderId="0" applyNumberFormat="0" applyBorder="0" applyAlignment="0" applyProtection="0"/>
    <xf numFmtId="0" fontId="128" fillId="91" borderId="0" applyNumberFormat="0" applyBorder="0" applyAlignment="0" applyProtection="0"/>
    <xf numFmtId="0" fontId="77" fillId="91" borderId="0" applyNumberFormat="0" applyBorder="0" applyAlignment="0" applyProtection="0"/>
    <xf numFmtId="0" fontId="77" fillId="91" borderId="0" applyNumberFormat="0" applyBorder="0" applyAlignment="0" applyProtection="0"/>
    <xf numFmtId="0" fontId="77" fillId="91" borderId="0" applyNumberFormat="0" applyBorder="0" applyAlignment="0" applyProtection="0"/>
    <xf numFmtId="0" fontId="128" fillId="91" borderId="0" applyNumberFormat="0" applyBorder="0" applyAlignment="0" applyProtection="0"/>
    <xf numFmtId="0" fontId="128" fillId="91" borderId="0" applyNumberFormat="0" applyBorder="0" applyAlignment="0" applyProtection="0"/>
    <xf numFmtId="0" fontId="128" fillId="91" borderId="0" applyNumberFormat="0" applyBorder="0" applyAlignment="0" applyProtection="0"/>
    <xf numFmtId="0" fontId="128" fillId="91" borderId="0" applyNumberFormat="0" applyBorder="0" applyAlignment="0" applyProtection="0"/>
    <xf numFmtId="0" fontId="128" fillId="91" borderId="0" applyNumberFormat="0" applyBorder="0" applyAlignment="0" applyProtection="0"/>
    <xf numFmtId="0" fontId="128" fillId="91" borderId="0" applyNumberFormat="0" applyBorder="0" applyAlignment="0" applyProtection="0"/>
    <xf numFmtId="0" fontId="128" fillId="91" borderId="0" applyNumberFormat="0" applyBorder="0" applyAlignment="0" applyProtection="0"/>
    <xf numFmtId="0" fontId="128" fillId="91" borderId="0" applyNumberFormat="0" applyBorder="0" applyAlignment="0" applyProtection="0"/>
    <xf numFmtId="0" fontId="128" fillId="91" borderId="0" applyNumberFormat="0" applyBorder="0" applyAlignment="0" applyProtection="0"/>
    <xf numFmtId="0" fontId="128" fillId="91" borderId="0" applyNumberFormat="0" applyBorder="0" applyAlignment="0" applyProtection="0"/>
    <xf numFmtId="0" fontId="128" fillId="91" borderId="0" applyNumberFormat="0" applyBorder="0" applyAlignment="0" applyProtection="0"/>
    <xf numFmtId="0" fontId="128" fillId="91" borderId="0" applyNumberFormat="0" applyBorder="0" applyAlignment="0" applyProtection="0"/>
    <xf numFmtId="0" fontId="128" fillId="91" borderId="0" applyNumberFormat="0" applyBorder="0" applyAlignment="0" applyProtection="0"/>
    <xf numFmtId="0" fontId="128" fillId="91" borderId="0" applyNumberFormat="0" applyBorder="0" applyAlignment="0" applyProtection="0"/>
    <xf numFmtId="0" fontId="128" fillId="91" borderId="0" applyNumberFormat="0" applyBorder="0" applyAlignment="0" applyProtection="0"/>
    <xf numFmtId="0" fontId="128" fillId="91" borderId="0" applyNumberFormat="0" applyBorder="0" applyAlignment="0" applyProtection="0"/>
    <xf numFmtId="0" fontId="128" fillId="91" borderId="0" applyNumberFormat="0" applyBorder="0" applyAlignment="0" applyProtection="0"/>
    <xf numFmtId="0" fontId="128" fillId="122" borderId="0" applyNumberFormat="0" applyBorder="0" applyAlignment="0" applyProtection="0"/>
    <xf numFmtId="0" fontId="128" fillId="91" borderId="0" applyNumberFormat="0" applyBorder="0" applyAlignment="0" applyProtection="0"/>
    <xf numFmtId="0" fontId="128" fillId="122" borderId="0" applyNumberFormat="0" applyBorder="0" applyAlignment="0" applyProtection="0"/>
    <xf numFmtId="0" fontId="128" fillId="91" borderId="0" applyNumberFormat="0" applyBorder="0" applyAlignment="0" applyProtection="0"/>
    <xf numFmtId="0" fontId="128" fillId="122" borderId="0" applyNumberFormat="0" applyBorder="0" applyAlignment="0" applyProtection="0"/>
    <xf numFmtId="0" fontId="128" fillId="91" borderId="0" applyNumberFormat="0" applyBorder="0" applyAlignment="0" applyProtection="0"/>
    <xf numFmtId="0" fontId="128" fillId="91" borderId="0" applyNumberFormat="0" applyBorder="0" applyAlignment="0" applyProtection="0"/>
    <xf numFmtId="0" fontId="96" fillId="115" borderId="0" applyNumberFormat="0" applyBorder="0" applyAlignment="0" applyProtection="0"/>
    <xf numFmtId="0" fontId="96" fillId="119" borderId="0" applyNumberFormat="0" applyBorder="0" applyAlignment="0" applyProtection="0"/>
    <xf numFmtId="0" fontId="128" fillId="119" borderId="0" applyNumberFormat="0" applyBorder="0" applyAlignment="0" applyProtection="0"/>
    <xf numFmtId="0" fontId="128" fillId="96" borderId="0" applyNumberFormat="0" applyBorder="0" applyAlignment="0" applyProtection="0"/>
    <xf numFmtId="0" fontId="128" fillId="112" borderId="0" applyNumberFormat="0" applyBorder="0" applyAlignment="0" applyProtection="0"/>
    <xf numFmtId="0" fontId="128" fillId="112" borderId="0" applyNumberFormat="0" applyBorder="0" applyAlignment="0" applyProtection="0"/>
    <xf numFmtId="0" fontId="128" fillId="112" borderId="0" applyNumberFormat="0" applyBorder="0" applyAlignment="0" applyProtection="0"/>
    <xf numFmtId="0" fontId="128" fillId="96" borderId="0" applyNumberFormat="0" applyBorder="0" applyAlignment="0" applyProtection="0"/>
    <xf numFmtId="0" fontId="128" fillId="112" borderId="0" applyNumberFormat="0" applyBorder="0" applyAlignment="0" applyProtection="0"/>
    <xf numFmtId="0" fontId="128" fillId="112" borderId="0" applyNumberFormat="0" applyBorder="0" applyAlignment="0" applyProtection="0"/>
    <xf numFmtId="0" fontId="128" fillId="96" borderId="0" applyNumberFormat="0" applyBorder="0" applyAlignment="0" applyProtection="0"/>
    <xf numFmtId="0" fontId="77" fillId="96" borderId="0" applyNumberFormat="0" applyBorder="0" applyAlignment="0" applyProtection="0"/>
    <xf numFmtId="0" fontId="77" fillId="96" borderId="0" applyNumberFormat="0" applyBorder="0" applyAlignment="0" applyProtection="0"/>
    <xf numFmtId="0" fontId="77" fillId="96" borderId="0" applyNumberFormat="0" applyBorder="0" applyAlignment="0" applyProtection="0"/>
    <xf numFmtId="0" fontId="128" fillId="96" borderId="0" applyNumberFormat="0" applyBorder="0" applyAlignment="0" applyProtection="0"/>
    <xf numFmtId="0" fontId="128" fillId="96" borderId="0" applyNumberFormat="0" applyBorder="0" applyAlignment="0" applyProtection="0"/>
    <xf numFmtId="0" fontId="128" fillId="96" borderId="0" applyNumberFormat="0" applyBorder="0" applyAlignment="0" applyProtection="0"/>
    <xf numFmtId="0" fontId="128" fillId="96" borderId="0" applyNumberFormat="0" applyBorder="0" applyAlignment="0" applyProtection="0"/>
    <xf numFmtId="0" fontId="128" fillId="96" borderId="0" applyNumberFormat="0" applyBorder="0" applyAlignment="0" applyProtection="0"/>
    <xf numFmtId="0" fontId="128" fillId="96" borderId="0" applyNumberFormat="0" applyBorder="0" applyAlignment="0" applyProtection="0"/>
    <xf numFmtId="0" fontId="128" fillId="96" borderId="0" applyNumberFormat="0" applyBorder="0" applyAlignment="0" applyProtection="0"/>
    <xf numFmtId="0" fontId="128" fillId="96" borderId="0" applyNumberFormat="0" applyBorder="0" applyAlignment="0" applyProtection="0"/>
    <xf numFmtId="0" fontId="128" fillId="96" borderId="0" applyNumberFormat="0" applyBorder="0" applyAlignment="0" applyProtection="0"/>
    <xf numFmtId="0" fontId="128" fillId="96" borderId="0" applyNumberFormat="0" applyBorder="0" applyAlignment="0" applyProtection="0"/>
    <xf numFmtId="0" fontId="128" fillId="96" borderId="0" applyNumberFormat="0" applyBorder="0" applyAlignment="0" applyProtection="0"/>
    <xf numFmtId="0" fontId="128" fillId="96" borderId="0" applyNumberFormat="0" applyBorder="0" applyAlignment="0" applyProtection="0"/>
    <xf numFmtId="0" fontId="128" fillId="96" borderId="0" applyNumberFormat="0" applyBorder="0" applyAlignment="0" applyProtection="0"/>
    <xf numFmtId="0" fontId="128" fillId="96" borderId="0" applyNumberFormat="0" applyBorder="0" applyAlignment="0" applyProtection="0"/>
    <xf numFmtId="0" fontId="128" fillId="96" borderId="0" applyNumberFormat="0" applyBorder="0" applyAlignment="0" applyProtection="0"/>
    <xf numFmtId="0" fontId="128" fillId="96" borderId="0" applyNumberFormat="0" applyBorder="0" applyAlignment="0" applyProtection="0"/>
    <xf numFmtId="0" fontId="128" fillId="96" borderId="0" applyNumberFormat="0" applyBorder="0" applyAlignment="0" applyProtection="0"/>
    <xf numFmtId="0" fontId="128" fillId="96" borderId="0" applyNumberFormat="0" applyBorder="0" applyAlignment="0" applyProtection="0"/>
    <xf numFmtId="0" fontId="128" fillId="96" borderId="0" applyNumberFormat="0" applyBorder="0" applyAlignment="0" applyProtection="0"/>
    <xf numFmtId="0" fontId="128" fillId="96" borderId="0" applyNumberFormat="0" applyBorder="0" applyAlignment="0" applyProtection="0"/>
    <xf numFmtId="0" fontId="128" fillId="96" borderId="0" applyNumberFormat="0" applyBorder="0" applyAlignment="0" applyProtection="0"/>
    <xf numFmtId="0" fontId="96" fillId="123" borderId="0" applyNumberFormat="0" applyBorder="0" applyAlignment="0" applyProtection="0"/>
    <xf numFmtId="0" fontId="96" fillId="115" borderId="0" applyNumberFormat="0" applyBorder="0" applyAlignment="0" applyProtection="0"/>
    <xf numFmtId="0" fontId="128" fillId="116" borderId="0" applyNumberFormat="0" applyBorder="0" applyAlignment="0" applyProtection="0"/>
    <xf numFmtId="0" fontId="128" fillId="93" borderId="0" applyNumberFormat="0" applyBorder="0" applyAlignment="0" applyProtection="0"/>
    <xf numFmtId="0" fontId="128" fillId="93" borderId="0" applyNumberFormat="0" applyBorder="0" applyAlignment="0" applyProtection="0"/>
    <xf numFmtId="0" fontId="128" fillId="93" borderId="0" applyNumberFormat="0" applyBorder="0" applyAlignment="0" applyProtection="0"/>
    <xf numFmtId="0" fontId="128" fillId="93" borderId="0" applyNumberFormat="0" applyBorder="0" applyAlignment="0" applyProtection="0"/>
    <xf numFmtId="0" fontId="128" fillId="93" borderId="0" applyNumberFormat="0" applyBorder="0" applyAlignment="0" applyProtection="0"/>
    <xf numFmtId="0" fontId="128" fillId="93" borderId="0" applyNumberFormat="0" applyBorder="0" applyAlignment="0" applyProtection="0"/>
    <xf numFmtId="0" fontId="128" fillId="93" borderId="0" applyNumberFormat="0" applyBorder="0" applyAlignment="0" applyProtection="0"/>
    <xf numFmtId="0" fontId="128" fillId="93" borderId="0" applyNumberFormat="0" applyBorder="0" applyAlignment="0" applyProtection="0"/>
    <xf numFmtId="0" fontId="128" fillId="93" borderId="0" applyNumberFormat="0" applyBorder="0" applyAlignment="0" applyProtection="0"/>
    <xf numFmtId="0" fontId="128" fillId="93" borderId="0" applyNumberFormat="0" applyBorder="0" applyAlignment="0" applyProtection="0"/>
    <xf numFmtId="0" fontId="128" fillId="93" borderId="0" applyNumberFormat="0" applyBorder="0" applyAlignment="0" applyProtection="0"/>
    <xf numFmtId="0" fontId="128" fillId="93" borderId="0" applyNumberFormat="0" applyBorder="0" applyAlignment="0" applyProtection="0"/>
    <xf numFmtId="0" fontId="128" fillId="93" borderId="0" applyNumberFormat="0" applyBorder="0" applyAlignment="0" applyProtection="0"/>
    <xf numFmtId="0" fontId="128" fillId="93" borderId="0" applyNumberFormat="0" applyBorder="0" applyAlignment="0" applyProtection="0"/>
    <xf numFmtId="0" fontId="77" fillId="67" borderId="0" applyNumberFormat="0" applyBorder="0" applyAlignment="0" applyProtection="0"/>
    <xf numFmtId="0" fontId="77" fillId="67" borderId="0" applyNumberFormat="0" applyBorder="0" applyAlignment="0" applyProtection="0"/>
    <xf numFmtId="0" fontId="128" fillId="93" borderId="0" applyNumberFormat="0" applyBorder="0" applyAlignment="0" applyProtection="0"/>
    <xf numFmtId="0" fontId="128" fillId="93" borderId="0" applyNumberFormat="0" applyBorder="0" applyAlignment="0" applyProtection="0"/>
    <xf numFmtId="0" fontId="128" fillId="93" borderId="0" applyNumberFormat="0" applyBorder="0" applyAlignment="0" applyProtection="0"/>
    <xf numFmtId="0" fontId="128" fillId="93" borderId="0" applyNumberFormat="0" applyBorder="0" applyAlignment="0" applyProtection="0"/>
    <xf numFmtId="0" fontId="128" fillId="93" borderId="0" applyNumberFormat="0" applyBorder="0" applyAlignment="0" applyProtection="0"/>
    <xf numFmtId="0" fontId="128" fillId="93" borderId="0" applyNumberFormat="0" applyBorder="0" applyAlignment="0" applyProtection="0"/>
    <xf numFmtId="0" fontId="128" fillId="93" borderId="0" applyNumberFormat="0" applyBorder="0" applyAlignment="0" applyProtection="0"/>
    <xf numFmtId="0" fontId="128" fillId="93" borderId="0" applyNumberFormat="0" applyBorder="0" applyAlignment="0" applyProtection="0"/>
    <xf numFmtId="0" fontId="128" fillId="93" borderId="0" applyNumberFormat="0" applyBorder="0" applyAlignment="0" applyProtection="0"/>
    <xf numFmtId="0" fontId="128" fillId="93" borderId="0" applyNumberFormat="0" applyBorder="0" applyAlignment="0" applyProtection="0"/>
    <xf numFmtId="0" fontId="128" fillId="93" borderId="0" applyNumberFormat="0" applyBorder="0" applyAlignment="0" applyProtection="0"/>
    <xf numFmtId="0" fontId="96" fillId="118" borderId="0" applyNumberFormat="0" applyBorder="0" applyAlignment="0" applyProtection="0"/>
    <xf numFmtId="0" fontId="96" fillId="124" borderId="0" applyNumberFormat="0" applyBorder="0" applyAlignment="0" applyProtection="0"/>
    <xf numFmtId="0" fontId="128" fillId="124" borderId="0" applyNumberFormat="0" applyBorder="0" applyAlignment="0" applyProtection="0"/>
    <xf numFmtId="0" fontId="128" fillId="95" borderId="0" applyNumberFormat="0" applyBorder="0" applyAlignment="0" applyProtection="0"/>
    <xf numFmtId="0" fontId="128" fillId="95" borderId="0" applyNumberFormat="0" applyBorder="0" applyAlignment="0" applyProtection="0"/>
    <xf numFmtId="0" fontId="128" fillId="92" borderId="0" applyNumberFormat="0" applyBorder="0" applyAlignment="0" applyProtection="0"/>
    <xf numFmtId="0" fontId="128" fillId="92" borderId="0" applyNumberFormat="0" applyBorder="0" applyAlignment="0" applyProtection="0"/>
    <xf numFmtId="0" fontId="128" fillId="95" borderId="0" applyNumberFormat="0" applyBorder="0" applyAlignment="0" applyProtection="0"/>
    <xf numFmtId="0" fontId="128" fillId="92" borderId="0" applyNumberFormat="0" applyBorder="0" applyAlignment="0" applyProtection="0"/>
    <xf numFmtId="0" fontId="128" fillId="95" borderId="0" applyNumberFormat="0" applyBorder="0" applyAlignment="0" applyProtection="0"/>
    <xf numFmtId="0" fontId="128" fillId="92" borderId="0" applyNumberFormat="0" applyBorder="0" applyAlignment="0" applyProtection="0"/>
    <xf numFmtId="0" fontId="128" fillId="95" borderId="0" applyNumberFormat="0" applyBorder="0" applyAlignment="0" applyProtection="0"/>
    <xf numFmtId="0" fontId="128" fillId="92" borderId="0" applyNumberFormat="0" applyBorder="0" applyAlignment="0" applyProtection="0"/>
    <xf numFmtId="0" fontId="128" fillId="95" borderId="0" applyNumberFormat="0" applyBorder="0" applyAlignment="0" applyProtection="0"/>
    <xf numFmtId="0" fontId="77" fillId="95" borderId="0" applyNumberFormat="0" applyBorder="0" applyAlignment="0" applyProtection="0"/>
    <xf numFmtId="0" fontId="77" fillId="95" borderId="0" applyNumberFormat="0" applyBorder="0" applyAlignment="0" applyProtection="0"/>
    <xf numFmtId="0" fontId="77" fillId="95" borderId="0" applyNumberFormat="0" applyBorder="0" applyAlignment="0" applyProtection="0"/>
    <xf numFmtId="0" fontId="128" fillId="95" borderId="0" applyNumberFormat="0" applyBorder="0" applyAlignment="0" applyProtection="0"/>
    <xf numFmtId="0" fontId="128" fillId="95" borderId="0" applyNumberFormat="0" applyBorder="0" applyAlignment="0" applyProtection="0"/>
    <xf numFmtId="0" fontId="128" fillId="95" borderId="0" applyNumberFormat="0" applyBorder="0" applyAlignment="0" applyProtection="0"/>
    <xf numFmtId="0" fontId="128" fillId="95" borderId="0" applyNumberFormat="0" applyBorder="0" applyAlignment="0" applyProtection="0"/>
    <xf numFmtId="0" fontId="128" fillId="95" borderId="0" applyNumberFormat="0" applyBorder="0" applyAlignment="0" applyProtection="0"/>
    <xf numFmtId="0" fontId="128" fillId="95" borderId="0" applyNumberFormat="0" applyBorder="0" applyAlignment="0" applyProtection="0"/>
    <xf numFmtId="0" fontId="128" fillId="95" borderId="0" applyNumberFormat="0" applyBorder="0" applyAlignment="0" applyProtection="0"/>
    <xf numFmtId="0" fontId="128" fillId="95" borderId="0" applyNumberFormat="0" applyBorder="0" applyAlignment="0" applyProtection="0"/>
    <xf numFmtId="0" fontId="128" fillId="95" borderId="0" applyNumberFormat="0" applyBorder="0" applyAlignment="0" applyProtection="0"/>
    <xf numFmtId="0" fontId="128" fillId="95" borderId="0" applyNumberFormat="0" applyBorder="0" applyAlignment="0" applyProtection="0"/>
    <xf numFmtId="0" fontId="128" fillId="95" borderId="0" applyNumberFormat="0" applyBorder="0" applyAlignment="0" applyProtection="0"/>
    <xf numFmtId="0" fontId="128" fillId="95" borderId="0" applyNumberFormat="0" applyBorder="0" applyAlignment="0" applyProtection="0"/>
    <xf numFmtId="0" fontId="128" fillId="95" borderId="0" applyNumberFormat="0" applyBorder="0" applyAlignment="0" applyProtection="0"/>
    <xf numFmtId="0" fontId="128" fillId="95" borderId="0" applyNumberFormat="0" applyBorder="0" applyAlignment="0" applyProtection="0"/>
    <xf numFmtId="0" fontId="128" fillId="95" borderId="0" applyNumberFormat="0" applyBorder="0" applyAlignment="0" applyProtection="0"/>
    <xf numFmtId="0" fontId="128" fillId="95" borderId="0" applyNumberFormat="0" applyBorder="0" applyAlignment="0" applyProtection="0"/>
    <xf numFmtId="0" fontId="128" fillId="95" borderId="0" applyNumberFormat="0" applyBorder="0" applyAlignment="0" applyProtection="0"/>
    <xf numFmtId="0" fontId="128" fillId="92" borderId="0" applyNumberFormat="0" applyBorder="0" applyAlignment="0" applyProtection="0"/>
    <xf numFmtId="0" fontId="128" fillId="95" borderId="0" applyNumberFormat="0" applyBorder="0" applyAlignment="0" applyProtection="0"/>
    <xf numFmtId="0" fontId="128" fillId="92" borderId="0" applyNumberFormat="0" applyBorder="0" applyAlignment="0" applyProtection="0"/>
    <xf numFmtId="0" fontId="128" fillId="95" borderId="0" applyNumberFormat="0" applyBorder="0" applyAlignment="0" applyProtection="0"/>
    <xf numFmtId="0" fontId="128" fillId="92" borderId="0" applyNumberFormat="0" applyBorder="0" applyAlignment="0" applyProtection="0"/>
    <xf numFmtId="0" fontId="128" fillId="95" borderId="0" applyNumberFormat="0" applyBorder="0" applyAlignment="0" applyProtection="0"/>
    <xf numFmtId="0" fontId="128" fillId="95" borderId="0" applyNumberFormat="0" applyBorder="0" applyAlignment="0" applyProtection="0"/>
    <xf numFmtId="0" fontId="137" fillId="97" borderId="0" applyBorder="0" applyAlignment="0"/>
    <xf numFmtId="0" fontId="136" fillId="97" borderId="0" applyBorder="0">
      <alignment horizontal="right" vertical="center"/>
    </xf>
    <xf numFmtId="4" fontId="136" fillId="70" borderId="0" applyBorder="0">
      <alignment horizontal="right" vertical="center"/>
    </xf>
    <xf numFmtId="4" fontId="136" fillId="70" borderId="0" applyBorder="0">
      <alignment horizontal="right" vertical="center"/>
    </xf>
    <xf numFmtId="0" fontId="150" fillId="70" borderId="28">
      <alignment horizontal="right" vertical="center"/>
    </xf>
    <xf numFmtId="0" fontId="151" fillId="70" borderId="28">
      <alignment horizontal="right" vertical="center"/>
    </xf>
    <xf numFmtId="0" fontId="150" fillId="101" borderId="28">
      <alignment horizontal="right" vertical="center"/>
    </xf>
    <xf numFmtId="0" fontId="150" fillId="101" borderId="28">
      <alignment horizontal="right" vertical="center"/>
    </xf>
    <xf numFmtId="0" fontId="150" fillId="101" borderId="30">
      <alignment horizontal="right" vertical="center"/>
    </xf>
    <xf numFmtId="0" fontId="150" fillId="101" borderId="43">
      <alignment horizontal="right" vertical="center"/>
    </xf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38" fillId="98" borderId="31" applyNumberFormat="0" applyAlignment="0" applyProtection="0"/>
    <xf numFmtId="0" fontId="152" fillId="109" borderId="31" applyNumberFormat="0" applyAlignment="0" applyProtection="0"/>
    <xf numFmtId="0" fontId="152" fillId="109" borderId="31" applyNumberFormat="0" applyAlignment="0" applyProtection="0"/>
    <xf numFmtId="0" fontId="152" fillId="109" borderId="31" applyNumberFormat="0" applyAlignment="0" applyProtection="0"/>
    <xf numFmtId="0" fontId="138" fillId="98" borderId="31" applyNumberFormat="0" applyAlignment="0" applyProtection="0"/>
    <xf numFmtId="0" fontId="152" fillId="109" borderId="31" applyNumberFormat="0" applyAlignment="0" applyProtection="0"/>
    <xf numFmtId="0" fontId="152" fillId="109" borderId="31" applyNumberFormat="0" applyAlignment="0" applyProtection="0"/>
    <xf numFmtId="0" fontId="138" fillId="98" borderId="31" applyNumberFormat="0" applyAlignment="0" applyProtection="0"/>
    <xf numFmtId="0" fontId="153" fillId="98" borderId="23" applyNumberFormat="0" applyAlignment="0" applyProtection="0"/>
    <xf numFmtId="0" fontId="153" fillId="98" borderId="23" applyNumberFormat="0" applyAlignment="0" applyProtection="0"/>
    <xf numFmtId="0" fontId="153" fillId="98" borderId="23" applyNumberFormat="0" applyAlignment="0" applyProtection="0"/>
    <xf numFmtId="0" fontId="138" fillId="98" borderId="31" applyNumberFormat="0" applyAlignment="0" applyProtection="0"/>
    <xf numFmtId="0" fontId="138" fillId="98" borderId="31" applyNumberFormat="0" applyAlignment="0" applyProtection="0"/>
    <xf numFmtId="0" fontId="138" fillId="98" borderId="31" applyNumberFormat="0" applyAlignment="0" applyProtection="0"/>
    <xf numFmtId="0" fontId="138" fillId="98" borderId="31" applyNumberFormat="0" applyAlignment="0" applyProtection="0"/>
    <xf numFmtId="0" fontId="138" fillId="98" borderId="31" applyNumberFormat="0" applyAlignment="0" applyProtection="0"/>
    <xf numFmtId="0" fontId="138" fillId="98" borderId="31" applyNumberFormat="0" applyAlignment="0" applyProtection="0"/>
    <xf numFmtId="0" fontId="138" fillId="98" borderId="31" applyNumberFormat="0" applyAlignment="0" applyProtection="0"/>
    <xf numFmtId="0" fontId="138" fillId="98" borderId="31" applyNumberFormat="0" applyAlignment="0" applyProtection="0"/>
    <xf numFmtId="0" fontId="138" fillId="98" borderId="31" applyNumberFormat="0" applyAlignment="0" applyProtection="0"/>
    <xf numFmtId="0" fontId="138" fillId="98" borderId="31" applyNumberFormat="0" applyAlignment="0" applyProtection="0"/>
    <xf numFmtId="0" fontId="152" fillId="98" borderId="31" applyNumberFormat="0" applyAlignment="0" applyProtection="0"/>
    <xf numFmtId="0" fontId="138" fillId="98" borderId="31" applyNumberFormat="0" applyAlignment="0" applyProtection="0"/>
    <xf numFmtId="0" fontId="138" fillId="98" borderId="31" applyNumberFormat="0" applyAlignment="0" applyProtection="0"/>
    <xf numFmtId="0" fontId="138" fillId="98" borderId="31" applyNumberFormat="0" applyAlignment="0" applyProtection="0"/>
    <xf numFmtId="0" fontId="138" fillId="98" borderId="31" applyNumberFormat="0" applyAlignment="0" applyProtection="0"/>
    <xf numFmtId="0" fontId="154" fillId="0" borderId="29"/>
    <xf numFmtId="0" fontId="129" fillId="0" borderId="32" applyNumberFormat="0" applyFill="0" applyAlignment="0" applyProtection="0"/>
    <xf numFmtId="0" fontId="155" fillId="0" borderId="44" applyNumberFormat="0" applyFill="0" applyAlignment="0" applyProtection="0"/>
    <xf numFmtId="0" fontId="155" fillId="0" borderId="44" applyNumberFormat="0" applyFill="0" applyAlignment="0" applyProtection="0"/>
    <xf numFmtId="0" fontId="155" fillId="0" borderId="44" applyNumberFormat="0" applyFill="0" applyAlignment="0" applyProtection="0"/>
    <xf numFmtId="0" fontId="129" fillId="0" borderId="32" applyNumberFormat="0" applyFill="0" applyAlignment="0" applyProtection="0"/>
    <xf numFmtId="0" fontId="155" fillId="0" borderId="44" applyNumberFormat="0" applyFill="0" applyAlignment="0" applyProtection="0"/>
    <xf numFmtId="0" fontId="155" fillId="0" borderId="44" applyNumberFormat="0" applyFill="0" applyAlignment="0" applyProtection="0"/>
    <xf numFmtId="0" fontId="129" fillId="0" borderId="32" applyNumberFormat="0" applyFill="0" applyAlignment="0" applyProtection="0"/>
    <xf numFmtId="0" fontId="129" fillId="0" borderId="32" applyNumberFormat="0" applyFill="0" applyAlignment="0" applyProtection="0"/>
    <xf numFmtId="0" fontId="129" fillId="0" borderId="32" applyNumberFormat="0" applyFill="0" applyAlignment="0" applyProtection="0"/>
    <xf numFmtId="0" fontId="129" fillId="0" borderId="32" applyNumberFormat="0" applyFill="0" applyAlignment="0" applyProtection="0"/>
    <xf numFmtId="0" fontId="129" fillId="0" borderId="32" applyNumberFormat="0" applyFill="0" applyAlignment="0" applyProtection="0"/>
    <xf numFmtId="0" fontId="129" fillId="0" borderId="32" applyNumberFormat="0" applyFill="0" applyAlignment="0" applyProtection="0"/>
    <xf numFmtId="0" fontId="129" fillId="0" borderId="32" applyNumberFormat="0" applyFill="0" applyAlignment="0" applyProtection="0"/>
    <xf numFmtId="0" fontId="129" fillId="0" borderId="32" applyNumberFormat="0" applyFill="0" applyAlignment="0" applyProtection="0"/>
    <xf numFmtId="0" fontId="129" fillId="0" borderId="32" applyNumberFormat="0" applyFill="0" applyAlignment="0" applyProtection="0"/>
    <xf numFmtId="0" fontId="129" fillId="0" borderId="32" applyNumberFormat="0" applyFill="0" applyAlignment="0" applyProtection="0"/>
    <xf numFmtId="0" fontId="129" fillId="0" borderId="32" applyNumberFormat="0" applyFill="0" applyAlignment="0" applyProtection="0"/>
    <xf numFmtId="0" fontId="129" fillId="0" borderId="32" applyNumberFormat="0" applyFill="0" applyAlignment="0" applyProtection="0"/>
    <xf numFmtId="0" fontId="129" fillId="0" borderId="32" applyNumberFormat="0" applyFill="0" applyAlignment="0" applyProtection="0"/>
    <xf numFmtId="0" fontId="129" fillId="0" borderId="32" applyNumberFormat="0" applyFill="0" applyAlignment="0" applyProtection="0"/>
    <xf numFmtId="0" fontId="155" fillId="0" borderId="44" applyNumberFormat="0" applyFill="0" applyAlignment="0" applyProtection="0"/>
    <xf numFmtId="0" fontId="129" fillId="0" borderId="32" applyNumberFormat="0" applyFill="0" applyAlignment="0" applyProtection="0"/>
    <xf numFmtId="0" fontId="129" fillId="0" borderId="32" applyNumberFormat="0" applyFill="0" applyAlignment="0" applyProtection="0"/>
    <xf numFmtId="0" fontId="129" fillId="0" borderId="32" applyNumberFormat="0" applyFill="0" applyAlignment="0" applyProtection="0"/>
    <xf numFmtId="0" fontId="129" fillId="0" borderId="32" applyNumberFormat="0" applyFill="0" applyAlignment="0" applyProtection="0"/>
    <xf numFmtId="41" fontId="79" fillId="0" borderId="0" applyFont="0" applyFill="0" applyBorder="0" applyAlignment="0" applyProtection="0"/>
    <xf numFmtId="41" fontId="79" fillId="0" borderId="0" applyFont="0" applyFill="0" applyBorder="0" applyAlignment="0" applyProtection="0"/>
    <xf numFmtId="41" fontId="79" fillId="0" borderId="0" applyFont="0" applyFill="0" applyBorder="0" applyAlignment="0" applyProtection="0"/>
    <xf numFmtId="41" fontId="79" fillId="0" borderId="0" applyFont="0" applyFill="0" applyBorder="0" applyAlignment="0" applyProtection="0"/>
    <xf numFmtId="41" fontId="79" fillId="0" borderId="0" applyFont="0" applyFill="0" applyBorder="0" applyAlignment="0" applyProtection="0"/>
    <xf numFmtId="41" fontId="79" fillId="0" borderId="0" applyFont="0" applyFill="0" applyBorder="0" applyAlignment="0" applyProtection="0"/>
    <xf numFmtId="41" fontId="79" fillId="0" borderId="0" applyFont="0" applyFill="0" applyBorder="0" applyAlignment="0" applyProtection="0"/>
    <xf numFmtId="41" fontId="79" fillId="0" borderId="0" applyFont="0" applyFill="0" applyBorder="0" applyAlignment="0" applyProtection="0"/>
    <xf numFmtId="41" fontId="79" fillId="0" borderId="0" applyFont="0" applyFill="0" applyBorder="0" applyAlignment="0" applyProtection="0"/>
    <xf numFmtId="41" fontId="79" fillId="0" borderId="0" applyFont="0" applyFill="0" applyBorder="0" applyAlignment="0" applyProtection="0"/>
    <xf numFmtId="41" fontId="79" fillId="0" borderId="0" applyFont="0" applyFill="0" applyBorder="0" applyAlignment="0" applyProtection="0"/>
    <xf numFmtId="49" fontId="79" fillId="90" borderId="28">
      <protection locked="0"/>
    </xf>
    <xf numFmtId="0" fontId="96" fillId="86" borderId="33" applyNumberFormat="0" applyFont="0" applyAlignment="0" applyProtection="0"/>
    <xf numFmtId="0" fontId="79" fillId="86" borderId="33" applyNumberFormat="0" applyFont="0" applyAlignment="0" applyProtection="0"/>
    <xf numFmtId="0" fontId="79" fillId="90" borderId="26" applyNumberFormat="0" applyFont="0" applyAlignment="0" applyProtection="0"/>
    <xf numFmtId="0" fontId="79" fillId="86" borderId="33" applyNumberFormat="0" applyFont="0" applyAlignment="0" applyProtection="0"/>
    <xf numFmtId="0" fontId="79" fillId="90" borderId="26" applyNumberFormat="0" applyFont="0" applyAlignment="0" applyProtection="0"/>
    <xf numFmtId="0" fontId="79" fillId="86" borderId="33" applyNumberFormat="0" applyFont="0" applyAlignment="0" applyProtection="0"/>
    <xf numFmtId="0" fontId="79" fillId="86" borderId="33" applyNumberFormat="0" applyFont="0" applyAlignment="0" applyProtection="0"/>
    <xf numFmtId="0" fontId="79" fillId="86" borderId="33" applyNumberFormat="0" applyFont="0" applyAlignment="0" applyProtection="0"/>
    <xf numFmtId="0" fontId="96" fillId="86" borderId="33" applyNumberFormat="0" applyFont="0" applyAlignment="0" applyProtection="0"/>
    <xf numFmtId="0" fontId="79" fillId="86" borderId="33" applyNumberFormat="0" applyFont="0" applyAlignment="0" applyProtection="0"/>
    <xf numFmtId="0" fontId="96" fillId="86" borderId="33" applyNumberFormat="0" applyFont="0" applyAlignment="0" applyProtection="0"/>
    <xf numFmtId="0" fontId="79" fillId="86" borderId="33" applyNumberFormat="0" applyFont="0" applyAlignment="0" applyProtection="0"/>
    <xf numFmtId="0" fontId="79" fillId="90" borderId="26" applyNumberFormat="0" applyFont="0" applyAlignment="0" applyProtection="0"/>
    <xf numFmtId="0" fontId="79" fillId="86" borderId="33" applyNumberFormat="0" applyFont="0" applyAlignment="0" applyProtection="0"/>
    <xf numFmtId="0" fontId="79" fillId="90" borderId="26" applyNumberFormat="0" applyFont="0" applyAlignment="0" applyProtection="0"/>
    <xf numFmtId="0" fontId="79" fillId="86" borderId="33" applyNumberFormat="0" applyFont="0" applyAlignment="0" applyProtection="0"/>
    <xf numFmtId="0" fontId="96" fillId="86" borderId="33" applyNumberFormat="0" applyFont="0" applyAlignment="0" applyProtection="0"/>
    <xf numFmtId="0" fontId="79" fillId="90" borderId="26" applyNumberFormat="0" applyFont="0" applyAlignment="0" applyProtection="0"/>
    <xf numFmtId="0" fontId="79" fillId="86" borderId="33" applyNumberFormat="0" applyFont="0" applyAlignment="0" applyProtection="0"/>
    <xf numFmtId="0" fontId="79" fillId="86" borderId="33" applyNumberFormat="0" applyFont="0" applyAlignment="0" applyProtection="0"/>
    <xf numFmtId="0" fontId="96" fillId="86" borderId="33" applyNumberFormat="0" applyFont="0" applyAlignment="0" applyProtection="0"/>
    <xf numFmtId="0" fontId="79" fillId="86" borderId="33" applyNumberFormat="0" applyFont="0" applyAlignment="0" applyProtection="0"/>
    <xf numFmtId="0" fontId="79" fillId="86" borderId="33" applyNumberFormat="0" applyFont="0" applyAlignment="0" applyProtection="0"/>
    <xf numFmtId="0" fontId="79" fillId="86" borderId="33" applyNumberFormat="0" applyFont="0" applyAlignment="0" applyProtection="0"/>
    <xf numFmtId="0" fontId="79" fillId="90" borderId="26" applyNumberFormat="0" applyFont="0" applyAlignment="0" applyProtection="0"/>
    <xf numFmtId="0" fontId="79" fillId="86" borderId="33" applyNumberFormat="0" applyFont="0" applyAlignment="0" applyProtection="0"/>
    <xf numFmtId="0" fontId="79" fillId="86" borderId="33" applyNumberFormat="0" applyFont="0" applyAlignment="0" applyProtection="0"/>
    <xf numFmtId="0" fontId="79" fillId="86" borderId="33" applyNumberFormat="0" applyFont="0" applyAlignment="0" applyProtection="0"/>
    <xf numFmtId="0" fontId="79" fillId="86" borderId="33" applyNumberFormat="0" applyFont="0" applyAlignment="0" applyProtection="0"/>
    <xf numFmtId="0" fontId="79" fillId="86" borderId="33" applyNumberFormat="0" applyFont="0" applyAlignment="0" applyProtection="0"/>
    <xf numFmtId="0" fontId="79" fillId="86" borderId="33" applyNumberFormat="0" applyFont="0" applyAlignment="0" applyProtection="0"/>
    <xf numFmtId="0" fontId="79" fillId="90" borderId="26" applyNumberFormat="0" applyFont="0" applyAlignment="0" applyProtection="0"/>
    <xf numFmtId="0" fontId="79" fillId="86" borderId="33" applyNumberFormat="0" applyFont="0" applyAlignment="0" applyProtection="0"/>
    <xf numFmtId="0" fontId="79" fillId="86" borderId="33" applyNumberFormat="0" applyFont="0" applyAlignment="0" applyProtection="0"/>
    <xf numFmtId="0" fontId="79" fillId="86" borderId="33" applyNumberFormat="0" applyFont="0" applyAlignment="0" applyProtection="0"/>
    <xf numFmtId="0" fontId="79" fillId="86" borderId="33" applyNumberFormat="0" applyFont="0" applyAlignment="0" applyProtection="0"/>
    <xf numFmtId="0" fontId="79" fillId="90" borderId="26" applyNumberFormat="0" applyFont="0" applyAlignment="0" applyProtection="0"/>
    <xf numFmtId="0" fontId="79" fillId="86" borderId="33" applyNumberFormat="0" applyFont="0" applyAlignment="0" applyProtection="0"/>
    <xf numFmtId="0" fontId="79" fillId="86" borderId="33" applyNumberFormat="0" applyFont="0" applyAlignment="0" applyProtection="0"/>
    <xf numFmtId="0" fontId="79" fillId="86" borderId="33" applyNumberFormat="0" applyFont="0" applyAlignment="0" applyProtection="0"/>
    <xf numFmtId="0" fontId="79" fillId="86" borderId="33" applyNumberFormat="0" applyFont="0" applyAlignment="0" applyProtection="0"/>
    <xf numFmtId="0" fontId="79" fillId="86" borderId="33" applyNumberFormat="0" applyFont="0" applyAlignment="0" applyProtection="0"/>
    <xf numFmtId="0" fontId="79" fillId="90" borderId="26" applyNumberFormat="0" applyFont="0" applyAlignment="0" applyProtection="0"/>
    <xf numFmtId="0" fontId="79" fillId="90" borderId="26" applyNumberFormat="0" applyFont="0" applyAlignment="0" applyProtection="0"/>
    <xf numFmtId="0" fontId="79" fillId="90" borderId="26" applyNumberFormat="0" applyFont="0" applyAlignment="0" applyProtection="0"/>
    <xf numFmtId="0" fontId="79" fillId="86" borderId="33" applyNumberFormat="0" applyFont="0" applyAlignment="0" applyProtection="0"/>
    <xf numFmtId="0" fontId="150" fillId="0" borderId="0" applyNumberFormat="0">
      <alignment horizontal="right"/>
    </xf>
    <xf numFmtId="181" fontId="79" fillId="0" borderId="0" applyFont="0" applyFill="0" applyBorder="0" applyAlignment="0" applyProtection="0"/>
    <xf numFmtId="181" fontId="79" fillId="0" borderId="0" applyFont="0" applyFill="0" applyBorder="0" applyAlignment="0" applyProtection="0"/>
    <xf numFmtId="181" fontId="79" fillId="0" borderId="0" applyFont="0" applyFill="0" applyBorder="0" applyAlignment="0" applyProtection="0"/>
    <xf numFmtId="181" fontId="79" fillId="0" borderId="0" applyFont="0" applyFill="0" applyBorder="0" applyAlignment="0" applyProtection="0"/>
    <xf numFmtId="181" fontId="79" fillId="0" borderId="0" applyFont="0" applyFill="0" applyBorder="0" applyAlignment="0" applyProtection="0"/>
    <xf numFmtId="181" fontId="79" fillId="0" borderId="0" applyFont="0" applyFill="0" applyBorder="0" applyAlignment="0" applyProtection="0"/>
    <xf numFmtId="181" fontId="79" fillId="0" borderId="0" applyFont="0" applyFill="0" applyBorder="0" applyAlignment="0" applyProtection="0"/>
    <xf numFmtId="181" fontId="79" fillId="0" borderId="0" applyFont="0" applyFill="0" applyBorder="0" applyAlignment="0" applyProtection="0"/>
    <xf numFmtId="181" fontId="79" fillId="0" borderId="0" applyFont="0" applyFill="0" applyBorder="0" applyAlignment="0" applyProtection="0"/>
    <xf numFmtId="181" fontId="79" fillId="0" borderId="0" applyFont="0" applyFill="0" applyBorder="0" applyAlignment="0" applyProtection="0"/>
    <xf numFmtId="181" fontId="79" fillId="0" borderId="0" applyFont="0" applyFill="0" applyBorder="0" applyAlignment="0" applyProtection="0"/>
    <xf numFmtId="0" fontId="136" fillId="101" borderId="42">
      <alignment horizontal="left" vertical="center" wrapText="1" indent="2"/>
    </xf>
    <xf numFmtId="0" fontId="136" fillId="0" borderId="42">
      <alignment horizontal="left" vertical="center" wrapText="1" indent="2"/>
    </xf>
    <xf numFmtId="0" fontId="136" fillId="70" borderId="30">
      <alignment horizontal="left" vertical="center"/>
    </xf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Fon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Font="0" applyFill="0" applyBorder="0" applyAlignment="0" applyProtection="0"/>
    <xf numFmtId="0" fontId="82" fillId="0" borderId="0" applyFon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Fon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185" fontId="120" fillId="0" borderId="45" applyFont="0" applyFill="0" applyBorder="0" applyAlignment="0" applyProtection="0">
      <alignment horizontal="right"/>
    </xf>
    <xf numFmtId="186" fontId="120" fillId="0" borderId="45" applyFont="0" applyFill="0" applyBorder="0" applyAlignment="0" applyProtection="0">
      <alignment horizontal="right"/>
    </xf>
    <xf numFmtId="187" fontId="120" fillId="0" borderId="45" applyFont="0" applyFill="0" applyBorder="0" applyAlignment="0" applyProtection="0">
      <alignment horizontal="right"/>
    </xf>
    <xf numFmtId="188" fontId="120" fillId="0" borderId="45" applyFont="0" applyFill="0" applyBorder="0" applyAlignment="0" applyProtection="0">
      <alignment horizontal="right"/>
    </xf>
    <xf numFmtId="0" fontId="148" fillId="125" borderId="0" applyNumberFormat="0" applyBorder="0" applyAlignment="0" applyProtection="0"/>
    <xf numFmtId="0" fontId="148" fillId="126" borderId="0" applyNumberFormat="0" applyBorder="0" applyAlignment="0" applyProtection="0"/>
    <xf numFmtId="0" fontId="148" fillId="127" borderId="0" applyNumberFormat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122" fillId="0" borderId="0" applyNumberFormat="0" applyFill="0" applyBorder="0" applyAlignment="0" applyProtection="0"/>
    <xf numFmtId="0" fontId="82" fillId="0" borderId="0" applyNumberFormat="0" applyFont="0" applyFill="0" applyBorder="0" applyAlignment="0" applyProtection="0"/>
    <xf numFmtId="0" fontId="123" fillId="0" borderId="0" applyNumberForma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123" fillId="0" borderId="0" applyNumberFormat="0" applyFill="0" applyBorder="0" applyAlignment="0" applyProtection="0"/>
    <xf numFmtId="0" fontId="82" fillId="0" borderId="0" applyNumberFormat="0" applyFont="0" applyFill="0" applyBorder="0" applyAlignment="0" applyProtection="0"/>
    <xf numFmtId="1" fontId="156" fillId="0" borderId="27">
      <alignment horizontal="center"/>
    </xf>
    <xf numFmtId="0" fontId="130" fillId="85" borderId="31" applyNumberFormat="0" applyAlignment="0" applyProtection="0"/>
    <xf numFmtId="0" fontId="130" fillId="88" borderId="31" applyNumberFormat="0" applyAlignment="0" applyProtection="0"/>
    <xf numFmtId="0" fontId="130" fillId="88" borderId="31" applyNumberFormat="0" applyAlignment="0" applyProtection="0"/>
    <xf numFmtId="0" fontId="130" fillId="88" borderId="31" applyNumberFormat="0" applyAlignment="0" applyProtection="0"/>
    <xf numFmtId="0" fontId="130" fillId="85" borderId="31" applyNumberFormat="0" applyAlignment="0" applyProtection="0"/>
    <xf numFmtId="0" fontId="130" fillId="88" borderId="31" applyNumberFormat="0" applyAlignment="0" applyProtection="0"/>
    <xf numFmtId="0" fontId="130" fillId="88" borderId="31" applyNumberFormat="0" applyAlignment="0" applyProtection="0"/>
    <xf numFmtId="0" fontId="130" fillId="85" borderId="31" applyNumberFormat="0" applyAlignment="0" applyProtection="0"/>
    <xf numFmtId="0" fontId="71" fillId="85" borderId="23" applyNumberFormat="0" applyAlignment="0" applyProtection="0"/>
    <xf numFmtId="0" fontId="71" fillId="85" borderId="23" applyNumberFormat="0" applyAlignment="0" applyProtection="0"/>
    <xf numFmtId="0" fontId="71" fillId="85" borderId="23" applyNumberFormat="0" applyAlignment="0" applyProtection="0"/>
    <xf numFmtId="0" fontId="130" fillId="85" borderId="31" applyNumberFormat="0" applyAlignment="0" applyProtection="0"/>
    <xf numFmtId="0" fontId="130" fillId="85" borderId="31" applyNumberFormat="0" applyAlignment="0" applyProtection="0"/>
    <xf numFmtId="0" fontId="130" fillId="86" borderId="31" applyNumberFormat="0" applyAlignment="0" applyProtection="0"/>
    <xf numFmtId="0" fontId="130" fillId="85" borderId="31" applyNumberFormat="0" applyAlignment="0" applyProtection="0"/>
    <xf numFmtId="0" fontId="130" fillId="85" borderId="31" applyNumberFormat="0" applyAlignment="0" applyProtection="0"/>
    <xf numFmtId="0" fontId="130" fillId="85" borderId="31" applyNumberFormat="0" applyAlignment="0" applyProtection="0"/>
    <xf numFmtId="0" fontId="130" fillId="85" borderId="31" applyNumberFormat="0" applyAlignment="0" applyProtection="0"/>
    <xf numFmtId="0" fontId="130" fillId="85" borderId="31" applyNumberFormat="0" applyAlignment="0" applyProtection="0"/>
    <xf numFmtId="0" fontId="130" fillId="85" borderId="31" applyNumberFormat="0" applyAlignment="0" applyProtection="0"/>
    <xf numFmtId="0" fontId="130" fillId="85" borderId="31" applyNumberFormat="0" applyAlignment="0" applyProtection="0"/>
    <xf numFmtId="0" fontId="130" fillId="85" borderId="31" applyNumberFormat="0" applyAlignment="0" applyProtection="0"/>
    <xf numFmtId="0" fontId="130" fillId="86" borderId="31" applyNumberFormat="0" applyAlignment="0" applyProtection="0"/>
    <xf numFmtId="0" fontId="130" fillId="85" borderId="31" applyNumberFormat="0" applyAlignment="0" applyProtection="0"/>
    <xf numFmtId="0" fontId="130" fillId="85" borderId="31" applyNumberFormat="0" applyAlignment="0" applyProtection="0"/>
    <xf numFmtId="0" fontId="130" fillId="85" borderId="31" applyNumberFormat="0" applyAlignment="0" applyProtection="0"/>
    <xf numFmtId="0" fontId="130" fillId="85" borderId="31" applyNumberFormat="0" applyAlignment="0" applyProtection="0"/>
    <xf numFmtId="189" fontId="127" fillId="0" borderId="0" applyFont="0" applyFill="0" applyBorder="0" applyAlignment="0" applyProtection="0"/>
    <xf numFmtId="44" fontId="79" fillId="0" borderId="0" applyFont="0" applyFill="0" applyBorder="0" applyAlignment="0" applyProtection="0"/>
    <xf numFmtId="189" fontId="127" fillId="0" borderId="0" applyFont="0" applyFill="0" applyBorder="0" applyAlignment="0" applyProtection="0"/>
    <xf numFmtId="190" fontId="127" fillId="0" borderId="0" applyFont="0" applyFill="0" applyBorder="0" applyAlignment="0" applyProtection="0"/>
    <xf numFmtId="166" fontId="79" fillId="0" borderId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0" fontId="82" fillId="0" borderId="0" applyNumberFormat="0" applyFont="0" applyFill="0" applyBorder="0" applyAlignment="0" applyProtection="0"/>
    <xf numFmtId="3" fontId="82" fillId="0" borderId="0" applyFont="0" applyFill="0" applyBorder="0" applyAlignment="0" applyProtection="0"/>
    <xf numFmtId="3" fontId="82" fillId="0" borderId="0" applyFont="0" applyFill="0" applyBorder="0" applyAlignment="0" applyProtection="0"/>
    <xf numFmtId="3" fontId="82" fillId="0" borderId="0" applyFont="0" applyFill="0" applyBorder="0" applyAlignment="0" applyProtection="0"/>
    <xf numFmtId="3" fontId="82" fillId="0" borderId="0" applyFont="0" applyFill="0" applyBorder="0" applyAlignment="0" applyProtection="0"/>
    <xf numFmtId="3" fontId="82" fillId="0" borderId="0" applyFont="0" applyFill="0" applyBorder="0" applyAlignment="0" applyProtection="0"/>
    <xf numFmtId="3" fontId="82" fillId="0" borderId="0" applyFont="0" applyFill="0" applyBorder="0" applyAlignment="0" applyProtection="0"/>
    <xf numFmtId="3" fontId="82" fillId="0" borderId="0" applyFont="0" applyFill="0" applyBorder="0" applyAlignment="0" applyProtection="0"/>
    <xf numFmtId="3" fontId="82" fillId="0" borderId="0" applyFont="0" applyFill="0" applyBorder="0" applyAlignment="0" applyProtection="0"/>
    <xf numFmtId="3" fontId="82" fillId="0" borderId="0" applyFont="0" applyFill="0" applyBorder="0" applyAlignment="0" applyProtection="0"/>
    <xf numFmtId="3" fontId="82" fillId="0" borderId="0" applyFont="0" applyFill="0" applyBorder="0" applyAlignment="0" applyProtection="0"/>
    <xf numFmtId="3" fontId="82" fillId="0" borderId="0" applyFont="0" applyFill="0" applyBorder="0" applyAlignment="0" applyProtection="0"/>
    <xf numFmtId="3" fontId="82" fillId="0" borderId="0" applyFont="0" applyFill="0" applyBorder="0" applyAlignment="0" applyProtection="0"/>
    <xf numFmtId="3" fontId="82" fillId="0" borderId="0" applyFont="0" applyFill="0" applyBorder="0" applyAlignment="0" applyProtection="0"/>
    <xf numFmtId="3" fontId="82" fillId="0" borderId="0" applyFont="0" applyFill="0" applyBorder="0" applyAlignment="0" applyProtection="0"/>
    <xf numFmtId="3" fontId="82" fillId="0" borderId="0" applyFont="0" applyFill="0" applyBorder="0" applyAlignment="0" applyProtection="0"/>
    <xf numFmtId="3" fontId="82" fillId="0" borderId="0" applyFont="0" applyFill="0" applyBorder="0" applyAlignment="0" applyProtection="0"/>
    <xf numFmtId="3" fontId="82" fillId="0" borderId="0" applyFont="0" applyFill="0" applyBorder="0" applyAlignment="0" applyProtection="0"/>
    <xf numFmtId="3" fontId="82" fillId="0" borderId="0" applyFont="0" applyFill="0" applyBorder="0" applyAlignment="0" applyProtection="0"/>
    <xf numFmtId="3" fontId="82" fillId="0" borderId="0" applyFont="0" applyFill="0" applyBorder="0" applyAlignment="0" applyProtection="0"/>
    <xf numFmtId="3" fontId="82" fillId="0" borderId="0" applyFont="0" applyFill="0" applyBorder="0" applyAlignment="0" applyProtection="0"/>
    <xf numFmtId="3" fontId="82" fillId="0" borderId="0" applyFont="0" applyFill="0" applyBorder="0" applyAlignment="0" applyProtection="0"/>
    <xf numFmtId="3" fontId="82" fillId="0" borderId="0" applyFont="0" applyFill="0" applyBorder="0" applyAlignment="0" applyProtection="0"/>
    <xf numFmtId="3" fontId="82" fillId="0" borderId="0" applyFont="0" applyFill="0" applyBorder="0" applyAlignment="0" applyProtection="0"/>
    <xf numFmtId="3" fontId="82" fillId="0" borderId="0" applyFont="0" applyFill="0" applyBorder="0" applyAlignment="0" applyProtection="0"/>
    <xf numFmtId="3" fontId="82" fillId="0" borderId="0" applyFont="0" applyFill="0" applyBorder="0" applyAlignment="0" applyProtection="0"/>
    <xf numFmtId="3" fontId="82" fillId="0" borderId="0" applyFont="0" applyFill="0" applyBorder="0" applyAlignment="0" applyProtection="0"/>
    <xf numFmtId="3" fontId="82" fillId="0" borderId="0" applyFont="0" applyFill="0" applyBorder="0" applyAlignment="0" applyProtection="0"/>
    <xf numFmtId="3" fontId="82" fillId="0" borderId="0" applyFont="0" applyFill="0" applyBorder="0" applyAlignment="0" applyProtection="0"/>
    <xf numFmtId="3" fontId="82" fillId="0" borderId="0" applyFont="0" applyFill="0" applyBorder="0" applyAlignment="0" applyProtection="0"/>
    <xf numFmtId="3" fontId="82" fillId="0" borderId="0" applyFont="0" applyFill="0" applyBorder="0" applyAlignment="0" applyProtection="0"/>
    <xf numFmtId="3" fontId="82" fillId="0" borderId="0" applyFont="0" applyFill="0" applyBorder="0" applyAlignment="0" applyProtection="0"/>
    <xf numFmtId="3" fontId="82" fillId="0" borderId="0" applyFont="0" applyFill="0" applyBorder="0" applyAlignment="0" applyProtection="0"/>
    <xf numFmtId="3" fontId="82" fillId="0" borderId="0" applyFont="0" applyFill="0" applyBorder="0" applyAlignment="0" applyProtection="0"/>
    <xf numFmtId="3" fontId="82" fillId="0" borderId="0" applyFont="0" applyFill="0" applyBorder="0" applyAlignment="0" applyProtection="0"/>
    <xf numFmtId="3" fontId="82" fillId="0" borderId="0" applyFont="0" applyFill="0" applyBorder="0" applyAlignment="0" applyProtection="0"/>
    <xf numFmtId="3" fontId="82" fillId="0" borderId="0" applyFont="0" applyFill="0" applyBorder="0" applyAlignment="0" applyProtection="0"/>
    <xf numFmtId="3" fontId="82" fillId="0" borderId="0" applyFont="0" applyFill="0" applyBorder="0" applyAlignment="0" applyProtection="0"/>
    <xf numFmtId="3" fontId="82" fillId="0" borderId="0" applyFont="0" applyFill="0" applyBorder="0" applyAlignment="0" applyProtection="0"/>
    <xf numFmtId="2" fontId="82" fillId="0" borderId="0" applyFill="0" applyBorder="0" applyAlignment="0" applyProtection="0"/>
    <xf numFmtId="2" fontId="82" fillId="0" borderId="0" applyFont="0" applyFill="0" applyBorder="0" applyAlignment="0" applyProtection="0"/>
    <xf numFmtId="2" fontId="82" fillId="0" borderId="0" applyFont="0" applyFill="0" applyBorder="0" applyAlignment="0" applyProtection="0"/>
    <xf numFmtId="2" fontId="82" fillId="0" borderId="0" applyFill="0" applyBorder="0" applyAlignment="0" applyProtection="0"/>
    <xf numFmtId="2" fontId="82" fillId="0" borderId="0" applyFont="0" applyFill="0" applyBorder="0" applyAlignment="0" applyProtection="0"/>
    <xf numFmtId="0" fontId="80" fillId="0" borderId="0"/>
    <xf numFmtId="2" fontId="79" fillId="89" borderId="0">
      <protection locked="0"/>
    </xf>
    <xf numFmtId="3" fontId="116" fillId="0" borderId="26">
      <alignment horizontal="center"/>
      <protection locked="0"/>
    </xf>
    <xf numFmtId="4" fontId="136" fillId="0" borderId="0" applyBorder="0">
      <alignment horizontal="right" vertical="center"/>
    </xf>
    <xf numFmtId="0" fontId="136" fillId="0" borderId="28">
      <alignment horizontal="right" vertical="center"/>
    </xf>
    <xf numFmtId="0" fontId="131" fillId="87" borderId="0" applyNumberFormat="0" applyBorder="0" applyAlignment="0" applyProtection="0"/>
    <xf numFmtId="0" fontId="131" fillId="84" borderId="0" applyNumberFormat="0" applyBorder="0" applyAlignment="0" applyProtection="0"/>
    <xf numFmtId="0" fontId="131" fillId="84" borderId="0" applyNumberFormat="0" applyBorder="0" applyAlignment="0" applyProtection="0"/>
    <xf numFmtId="0" fontId="131" fillId="84" borderId="0" applyNumberFormat="0" applyBorder="0" applyAlignment="0" applyProtection="0"/>
    <xf numFmtId="0" fontId="131" fillId="87" borderId="0" applyNumberFormat="0" applyBorder="0" applyAlignment="0" applyProtection="0"/>
    <xf numFmtId="0" fontId="131" fillId="84" borderId="0" applyNumberFormat="0" applyBorder="0" applyAlignment="0" applyProtection="0"/>
    <xf numFmtId="0" fontId="131" fillId="84" borderId="0" applyNumberFormat="0" applyBorder="0" applyAlignment="0" applyProtection="0"/>
    <xf numFmtId="0" fontId="131" fillId="87" borderId="0" applyNumberFormat="0" applyBorder="0" applyAlignment="0" applyProtection="0"/>
    <xf numFmtId="0" fontId="70" fillId="87" borderId="0" applyNumberFormat="0" applyBorder="0" applyAlignment="0" applyProtection="0"/>
    <xf numFmtId="0" fontId="70" fillId="87" borderId="0" applyNumberFormat="0" applyBorder="0" applyAlignment="0" applyProtection="0"/>
    <xf numFmtId="0" fontId="70" fillId="87" borderId="0" applyNumberFormat="0" applyBorder="0" applyAlignment="0" applyProtection="0"/>
    <xf numFmtId="0" fontId="131" fillId="87" borderId="0" applyNumberFormat="0" applyBorder="0" applyAlignment="0" applyProtection="0"/>
    <xf numFmtId="0" fontId="131" fillId="87" borderId="0" applyNumberFormat="0" applyBorder="0" applyAlignment="0" applyProtection="0"/>
    <xf numFmtId="0" fontId="131" fillId="87" borderId="0" applyNumberFormat="0" applyBorder="0" applyAlignment="0" applyProtection="0"/>
    <xf numFmtId="0" fontId="131" fillId="87" borderId="0" applyNumberFormat="0" applyBorder="0" applyAlignment="0" applyProtection="0"/>
    <xf numFmtId="0" fontId="131" fillId="87" borderId="0" applyNumberFormat="0" applyBorder="0" applyAlignment="0" applyProtection="0"/>
    <xf numFmtId="0" fontId="131" fillId="87" borderId="0" applyNumberFormat="0" applyBorder="0" applyAlignment="0" applyProtection="0"/>
    <xf numFmtId="0" fontId="131" fillId="87" borderId="0" applyNumberFormat="0" applyBorder="0" applyAlignment="0" applyProtection="0"/>
    <xf numFmtId="0" fontId="131" fillId="87" borderId="0" applyNumberFormat="0" applyBorder="0" applyAlignment="0" applyProtection="0"/>
    <xf numFmtId="0" fontId="131" fillId="87" borderId="0" applyNumberFormat="0" applyBorder="0" applyAlignment="0" applyProtection="0"/>
    <xf numFmtId="0" fontId="131" fillId="87" borderId="0" applyNumberFormat="0" applyBorder="0" applyAlignment="0" applyProtection="0"/>
    <xf numFmtId="0" fontId="131" fillId="84" borderId="0" applyNumberFormat="0" applyBorder="0" applyAlignment="0" applyProtection="0"/>
    <xf numFmtId="0" fontId="131" fillId="87" borderId="0" applyNumberFormat="0" applyBorder="0" applyAlignment="0" applyProtection="0"/>
    <xf numFmtId="0" fontId="131" fillId="87" borderId="0" applyNumberFormat="0" applyBorder="0" applyAlignment="0" applyProtection="0"/>
    <xf numFmtId="0" fontId="131" fillId="87" borderId="0" applyNumberFormat="0" applyBorder="0" applyAlignment="0" applyProtection="0"/>
    <xf numFmtId="0" fontId="131" fillId="87" borderId="0" applyNumberFormat="0" applyBorder="0" applyAlignment="0" applyProtection="0"/>
    <xf numFmtId="1" fontId="157" fillId="70" borderId="0" applyBorder="0">
      <alignment horizontal="right" vertical="center"/>
    </xf>
    <xf numFmtId="3" fontId="120" fillId="103" borderId="0" applyFill="0" applyBorder="0">
      <alignment vertical="center"/>
      <protection locked="0"/>
    </xf>
    <xf numFmtId="0" fontId="158" fillId="0" borderId="0" applyNumberFormat="0" applyFill="0" applyBorder="0" applyAlignment="0" applyProtection="0">
      <alignment vertical="top"/>
      <protection locked="0"/>
    </xf>
    <xf numFmtId="0" fontId="159" fillId="0" borderId="0" applyNumberFormat="0" applyFill="0" applyBorder="0" applyAlignment="0" applyProtection="0">
      <alignment vertical="top"/>
      <protection locked="0"/>
    </xf>
    <xf numFmtId="0" fontId="141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1" fillId="0" borderId="0" applyNumberFormat="0" applyFill="0" applyBorder="0" applyAlignment="0" applyProtection="0">
      <alignment vertical="top"/>
      <protection locked="0"/>
    </xf>
    <xf numFmtId="0" fontId="125" fillId="0" borderId="0" applyNumberFormat="0" applyFill="0" applyBorder="0" applyAlignment="0" applyProtection="0">
      <alignment vertical="top"/>
      <protection locked="0"/>
    </xf>
    <xf numFmtId="0" fontId="141" fillId="0" borderId="0" applyNumberFormat="0" applyFill="0" applyBorder="0" applyAlignment="0" applyProtection="0">
      <alignment vertical="top"/>
      <protection locked="0"/>
    </xf>
    <xf numFmtId="0" fontId="125" fillId="0" borderId="0" applyNumberFormat="0" applyFill="0" applyBorder="0" applyAlignment="0" applyProtection="0">
      <alignment vertical="top"/>
      <protection locked="0"/>
    </xf>
    <xf numFmtId="0" fontId="125" fillId="0" borderId="0" applyNumberFormat="0" applyFill="0" applyBorder="0" applyAlignment="0" applyProtection="0">
      <alignment vertical="top"/>
      <protection locked="0"/>
    </xf>
    <xf numFmtId="0" fontId="125" fillId="0" borderId="0" applyNumberFormat="0" applyFill="0" applyBorder="0" applyAlignment="0" applyProtection="0">
      <alignment vertical="top"/>
      <protection locked="0"/>
    </xf>
    <xf numFmtId="0" fontId="125" fillId="0" borderId="0" applyNumberFormat="0" applyFill="0" applyBorder="0" applyAlignment="0" applyProtection="0">
      <alignment vertical="top"/>
      <protection locked="0"/>
    </xf>
    <xf numFmtId="0" fontId="141" fillId="0" borderId="0" applyNumberFormat="0" applyFill="0" applyBorder="0" applyAlignment="0" applyProtection="0">
      <alignment vertical="top"/>
      <protection locked="0"/>
    </xf>
    <xf numFmtId="0" fontId="125" fillId="0" borderId="0" applyNumberFormat="0" applyFill="0" applyBorder="0" applyAlignment="0" applyProtection="0">
      <alignment vertical="top"/>
      <protection locked="0"/>
    </xf>
    <xf numFmtId="0" fontId="160" fillId="0" borderId="0" applyNumberFormat="0" applyFill="0" applyBorder="0" applyAlignment="0" applyProtection="0">
      <alignment vertical="top"/>
      <protection locked="0"/>
    </xf>
    <xf numFmtId="165" fontId="79" fillId="0" borderId="0"/>
    <xf numFmtId="179" fontId="96" fillId="0" borderId="0" applyFont="0" applyFill="0" applyBorder="0" applyAlignment="0" applyProtection="0"/>
    <xf numFmtId="179" fontId="96" fillId="0" borderId="0" applyFont="0" applyFill="0" applyBorder="0" applyAlignment="0" applyProtection="0"/>
    <xf numFmtId="179" fontId="79" fillId="0" borderId="0" applyFont="0" applyFill="0" applyBorder="0" applyAlignment="0" applyProtection="0"/>
    <xf numFmtId="179" fontId="79" fillId="0" borderId="0" applyFont="0" applyFill="0" applyBorder="0" applyAlignment="0" applyProtection="0"/>
    <xf numFmtId="179" fontId="96" fillId="0" borderId="0" applyFont="0" applyFill="0" applyBorder="0" applyAlignment="0" applyProtection="0"/>
    <xf numFmtId="183" fontId="127" fillId="0" borderId="0" applyFont="0" applyFill="0" applyBorder="0" applyAlignment="0" applyProtection="0"/>
    <xf numFmtId="179" fontId="79" fillId="0" borderId="0" applyFont="0" applyFill="0" applyBorder="0" applyAlignment="0" applyProtection="0"/>
    <xf numFmtId="179" fontId="96" fillId="0" borderId="0" applyFont="0" applyFill="0" applyBorder="0" applyAlignment="0" applyProtection="0"/>
    <xf numFmtId="179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9" fontId="79" fillId="0" borderId="0" applyFont="0" applyFill="0" applyBorder="0" applyAlignment="0" applyProtection="0"/>
    <xf numFmtId="179" fontId="96" fillId="0" borderId="0" applyFont="0" applyFill="0" applyBorder="0" applyAlignment="0" applyProtection="0"/>
    <xf numFmtId="179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79" fontId="79" fillId="0" borderId="0" applyFont="0" applyFill="0" applyBorder="0" applyAlignment="0" applyProtection="0"/>
    <xf numFmtId="4" fontId="82" fillId="0" borderId="0" applyFill="0" applyBorder="0" applyAlignment="0" applyProtection="0"/>
    <xf numFmtId="183" fontId="79" fillId="0" borderId="0" applyFont="0" applyFill="0" applyBorder="0" applyAlignment="0" applyProtection="0"/>
    <xf numFmtId="179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79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79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79" fontId="79" fillId="0" borderId="0" applyFont="0" applyFill="0" applyBorder="0" applyAlignment="0" applyProtection="0"/>
    <xf numFmtId="179" fontId="79" fillId="0" borderId="0" applyFont="0" applyFill="0" applyBorder="0" applyAlignment="0" applyProtection="0"/>
    <xf numFmtId="179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79" fontId="79" fillId="0" borderId="0" applyFont="0" applyFill="0" applyBorder="0" applyAlignment="0" applyProtection="0"/>
    <xf numFmtId="179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79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79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79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79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79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79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79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79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79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79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79" fontId="79" fillId="0" borderId="0" applyFont="0" applyFill="0" applyBorder="0" applyAlignment="0" applyProtection="0"/>
    <xf numFmtId="4" fontId="82" fillId="0" borderId="0" applyFill="0" applyBorder="0" applyAlignment="0" applyProtection="0"/>
    <xf numFmtId="179" fontId="79" fillId="0" borderId="0" applyFont="0" applyFill="0" applyBorder="0" applyAlignment="0" applyProtection="0"/>
    <xf numFmtId="179" fontId="79" fillId="0" borderId="0" applyFont="0" applyFill="0" applyBorder="0" applyAlignment="0" applyProtection="0"/>
    <xf numFmtId="4" fontId="82" fillId="0" borderId="0" applyFill="0" applyBorder="0" applyAlignment="0" applyProtection="0"/>
    <xf numFmtId="183" fontId="127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4" fontId="82" fillId="0" borderId="0" applyFill="0" applyBorder="0" applyAlignment="0" applyProtection="0"/>
    <xf numFmtId="179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79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79" fontId="79" fillId="0" borderId="0" applyFont="0" applyFill="0" applyBorder="0" applyAlignment="0" applyProtection="0"/>
    <xf numFmtId="179" fontId="79" fillId="0" borderId="0" applyFont="0" applyFill="0" applyBorder="0" applyAlignment="0" applyProtection="0"/>
    <xf numFmtId="179" fontId="96" fillId="0" borderId="0" applyFont="0" applyFill="0" applyBorder="0" applyAlignment="0" applyProtection="0"/>
    <xf numFmtId="183" fontId="79" fillId="0" borderId="0" applyFont="0" applyFill="0" applyBorder="0" applyAlignment="0" applyProtection="0"/>
    <xf numFmtId="183" fontId="127" fillId="0" borderId="0" applyFont="0" applyFill="0" applyBorder="0" applyAlignment="0" applyProtection="0"/>
    <xf numFmtId="179" fontId="79" fillId="0" borderId="0" applyFont="0" applyFill="0" applyBorder="0" applyAlignment="0" applyProtection="0"/>
    <xf numFmtId="179" fontId="96" fillId="0" borderId="0" applyFont="0" applyFill="0" applyBorder="0" applyAlignment="0" applyProtection="0"/>
    <xf numFmtId="179" fontId="79" fillId="0" borderId="0" applyFont="0" applyFill="0" applyBorder="0" applyAlignment="0" applyProtection="0"/>
    <xf numFmtId="179" fontId="79" fillId="0" borderId="0" applyFont="0" applyFill="0" applyBorder="0" applyAlignment="0" applyProtection="0"/>
    <xf numFmtId="179" fontId="96" fillId="0" borderId="0" applyFont="0" applyFill="0" applyBorder="0" applyAlignment="0" applyProtection="0"/>
    <xf numFmtId="179" fontId="96" fillId="0" borderId="0" applyFont="0" applyFill="0" applyBorder="0" applyAlignment="0" applyProtection="0"/>
    <xf numFmtId="179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79" fontId="96" fillId="0" borderId="0" applyFont="0" applyFill="0" applyBorder="0" applyAlignment="0" applyProtection="0"/>
    <xf numFmtId="179" fontId="96" fillId="0" borderId="0" applyFont="0" applyFill="0" applyBorder="0" applyAlignment="0" applyProtection="0"/>
    <xf numFmtId="179" fontId="96" fillId="0" borderId="0" applyFont="0" applyFill="0" applyBorder="0" applyAlignment="0" applyProtection="0"/>
    <xf numFmtId="179" fontId="79" fillId="0" borderId="0" applyFont="0" applyFill="0" applyBorder="0" applyAlignment="0" applyProtection="0"/>
    <xf numFmtId="183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79" fillId="0" borderId="0" applyFont="0" applyFill="0" applyBorder="0" applyAlignment="0" applyProtection="0"/>
    <xf numFmtId="180" fontId="82" fillId="0" borderId="0" applyFont="0" applyFill="0" applyBorder="0" applyAlignment="0" applyProtection="0"/>
    <xf numFmtId="180" fontId="82" fillId="0" borderId="0" applyFont="0" applyFill="0" applyBorder="0" applyAlignment="0" applyProtection="0"/>
    <xf numFmtId="180" fontId="82" fillId="0" borderId="0" applyFont="0" applyFill="0" applyBorder="0" applyAlignment="0" applyProtection="0"/>
    <xf numFmtId="180" fontId="82" fillId="0" borderId="0" applyFont="0" applyFill="0" applyBorder="0" applyAlignment="0" applyProtection="0"/>
    <xf numFmtId="180" fontId="82" fillId="0" borderId="0" applyFont="0" applyFill="0" applyBorder="0" applyAlignment="0" applyProtection="0"/>
    <xf numFmtId="180" fontId="82" fillId="0" borderId="0" applyFont="0" applyFill="0" applyBorder="0" applyAlignment="0" applyProtection="0"/>
    <xf numFmtId="180" fontId="82" fillId="0" borderId="0" applyFont="0" applyFill="0" applyBorder="0" applyAlignment="0" applyProtection="0"/>
    <xf numFmtId="180" fontId="82" fillId="0" borderId="0" applyFont="0" applyFill="0" applyBorder="0" applyAlignment="0" applyProtection="0"/>
    <xf numFmtId="180" fontId="82" fillId="0" borderId="0" applyFont="0" applyFill="0" applyBorder="0" applyAlignment="0" applyProtection="0"/>
    <xf numFmtId="180" fontId="82" fillId="0" borderId="0" applyFont="0" applyFill="0" applyBorder="0" applyAlignment="0" applyProtection="0"/>
    <xf numFmtId="180" fontId="82" fillId="0" borderId="0" applyFont="0" applyFill="0" applyBorder="0" applyAlignment="0" applyProtection="0"/>
    <xf numFmtId="180" fontId="82" fillId="0" borderId="0" applyFont="0" applyFill="0" applyBorder="0" applyAlignment="0" applyProtection="0"/>
    <xf numFmtId="180" fontId="82" fillId="0" borderId="0" applyFont="0" applyFill="0" applyBorder="0" applyAlignment="0" applyProtection="0"/>
    <xf numFmtId="180" fontId="82" fillId="0" borderId="0" applyFont="0" applyFill="0" applyBorder="0" applyAlignment="0" applyProtection="0"/>
    <xf numFmtId="180" fontId="82" fillId="0" borderId="0" applyFont="0" applyFill="0" applyBorder="0" applyAlignment="0" applyProtection="0"/>
    <xf numFmtId="180" fontId="82" fillId="0" borderId="0" applyFont="0" applyFill="0" applyBorder="0" applyAlignment="0" applyProtection="0"/>
    <xf numFmtId="180" fontId="82" fillId="0" borderId="0" applyFont="0" applyFill="0" applyBorder="0" applyAlignment="0" applyProtection="0"/>
    <xf numFmtId="180" fontId="82" fillId="0" borderId="0" applyFont="0" applyFill="0" applyBorder="0" applyAlignment="0" applyProtection="0"/>
    <xf numFmtId="180" fontId="82" fillId="0" borderId="0" applyFont="0" applyFill="0" applyBorder="0" applyAlignment="0" applyProtection="0"/>
    <xf numFmtId="180" fontId="82" fillId="0" borderId="0" applyFont="0" applyFill="0" applyBorder="0" applyAlignment="0" applyProtection="0"/>
    <xf numFmtId="180" fontId="82" fillId="0" borderId="0" applyFont="0" applyFill="0" applyBorder="0" applyAlignment="0" applyProtection="0"/>
    <xf numFmtId="180" fontId="82" fillId="0" borderId="0" applyFont="0" applyFill="0" applyBorder="0" applyAlignment="0" applyProtection="0"/>
    <xf numFmtId="180" fontId="82" fillId="0" borderId="0" applyFont="0" applyFill="0" applyBorder="0" applyAlignment="0" applyProtection="0"/>
    <xf numFmtId="180" fontId="82" fillId="0" borderId="0" applyFont="0" applyFill="0" applyBorder="0" applyAlignment="0" applyProtection="0"/>
    <xf numFmtId="180" fontId="82" fillId="0" borderId="0" applyFont="0" applyFill="0" applyBorder="0" applyAlignment="0" applyProtection="0"/>
    <xf numFmtId="180" fontId="82" fillId="0" borderId="0" applyFont="0" applyFill="0" applyBorder="0" applyAlignment="0" applyProtection="0"/>
    <xf numFmtId="180" fontId="82" fillId="0" borderId="0" applyFont="0" applyFill="0" applyBorder="0" applyAlignment="0" applyProtection="0"/>
    <xf numFmtId="180" fontId="82" fillId="0" borderId="0" applyFont="0" applyFill="0" applyBorder="0" applyAlignment="0" applyProtection="0"/>
    <xf numFmtId="180" fontId="82" fillId="0" borderId="0" applyFont="0" applyFill="0" applyBorder="0" applyAlignment="0" applyProtection="0"/>
    <xf numFmtId="180" fontId="82" fillId="0" borderId="0" applyFont="0" applyFill="0" applyBorder="0" applyAlignment="0" applyProtection="0"/>
    <xf numFmtId="180" fontId="82" fillId="0" borderId="0" applyFont="0" applyFill="0" applyBorder="0" applyAlignment="0" applyProtection="0"/>
    <xf numFmtId="180" fontId="82" fillId="0" borderId="0" applyFont="0" applyFill="0" applyBorder="0" applyAlignment="0" applyProtection="0"/>
    <xf numFmtId="180" fontId="82" fillId="0" borderId="0" applyFont="0" applyFill="0" applyBorder="0" applyAlignment="0" applyProtection="0"/>
    <xf numFmtId="180" fontId="82" fillId="0" borderId="0" applyFont="0" applyFill="0" applyBorder="0" applyAlignment="0" applyProtection="0"/>
    <xf numFmtId="180" fontId="82" fillId="0" borderId="0" applyFont="0" applyFill="0" applyBorder="0" applyAlignment="0" applyProtection="0"/>
    <xf numFmtId="180" fontId="82" fillId="0" borderId="0" applyFont="0" applyFill="0" applyBorder="0" applyAlignment="0" applyProtection="0"/>
    <xf numFmtId="180" fontId="82" fillId="0" borderId="0" applyFont="0" applyFill="0" applyBorder="0" applyAlignment="0" applyProtection="0"/>
    <xf numFmtId="180" fontId="82" fillId="0" borderId="0" applyFont="0" applyFill="0" applyBorder="0" applyAlignment="0" applyProtection="0"/>
    <xf numFmtId="0" fontId="142" fillId="90" borderId="0" applyNumberFormat="0" applyBorder="0" applyAlignment="0" applyProtection="0"/>
    <xf numFmtId="0" fontId="161" fillId="86" borderId="0" applyNumberFormat="0" applyBorder="0" applyAlignment="0" applyProtection="0"/>
    <xf numFmtId="0" fontId="161" fillId="86" borderId="0" applyNumberFormat="0" applyBorder="0" applyAlignment="0" applyProtection="0"/>
    <xf numFmtId="0" fontId="161" fillId="86" borderId="0" applyNumberFormat="0" applyBorder="0" applyAlignment="0" applyProtection="0"/>
    <xf numFmtId="0" fontId="142" fillId="90" borderId="0" applyNumberFormat="0" applyBorder="0" applyAlignment="0" applyProtection="0"/>
    <xf numFmtId="0" fontId="161" fillId="86" borderId="0" applyNumberFormat="0" applyBorder="0" applyAlignment="0" applyProtection="0"/>
    <xf numFmtId="0" fontId="161" fillId="86" borderId="0" applyNumberFormat="0" applyBorder="0" applyAlignment="0" applyProtection="0"/>
    <xf numFmtId="0" fontId="142" fillId="90" borderId="0" applyNumberFormat="0" applyBorder="0" applyAlignment="0" applyProtection="0"/>
    <xf numFmtId="0" fontId="142" fillId="90" borderId="0" applyNumberFormat="0" applyBorder="0" applyAlignment="0" applyProtection="0"/>
    <xf numFmtId="0" fontId="142" fillId="90" borderId="0" applyNumberFormat="0" applyBorder="0" applyAlignment="0" applyProtection="0"/>
    <xf numFmtId="0" fontId="142" fillId="90" borderId="0" applyNumberFormat="0" applyBorder="0" applyAlignment="0" applyProtection="0"/>
    <xf numFmtId="0" fontId="142" fillId="90" borderId="0" applyNumberFormat="0" applyBorder="0" applyAlignment="0" applyProtection="0"/>
    <xf numFmtId="0" fontId="142" fillId="90" borderId="0" applyNumberFormat="0" applyBorder="0" applyAlignment="0" applyProtection="0"/>
    <xf numFmtId="0" fontId="142" fillId="86" borderId="0" applyNumberFormat="0" applyBorder="0" applyAlignment="0" applyProtection="0"/>
    <xf numFmtId="0" fontId="142" fillId="90" borderId="0" applyNumberFormat="0" applyBorder="0" applyAlignment="0" applyProtection="0"/>
    <xf numFmtId="0" fontId="142" fillId="90" borderId="0" applyNumberFormat="0" applyBorder="0" applyAlignment="0" applyProtection="0"/>
    <xf numFmtId="0" fontId="142" fillId="90" borderId="0" applyNumberFormat="0" applyBorder="0" applyAlignment="0" applyProtection="0"/>
    <xf numFmtId="0" fontId="142" fillId="90" borderId="0" applyNumberFormat="0" applyBorder="0" applyAlignment="0" applyProtection="0"/>
    <xf numFmtId="0" fontId="142" fillId="90" borderId="0" applyNumberFormat="0" applyBorder="0" applyAlignment="0" applyProtection="0"/>
    <xf numFmtId="0" fontId="142" fillId="90" borderId="0" applyNumberFormat="0" applyBorder="0" applyAlignment="0" applyProtection="0"/>
    <xf numFmtId="0" fontId="142" fillId="90" borderId="0" applyNumberFormat="0" applyBorder="0" applyAlignment="0" applyProtection="0"/>
    <xf numFmtId="0" fontId="142" fillId="90" borderId="0" applyNumberFormat="0" applyBorder="0" applyAlignment="0" applyProtection="0"/>
    <xf numFmtId="0" fontId="161" fillId="86" borderId="0" applyNumberFormat="0" applyBorder="0" applyAlignment="0" applyProtection="0"/>
    <xf numFmtId="0" fontId="142" fillId="90" borderId="0" applyNumberFormat="0" applyBorder="0" applyAlignment="0" applyProtection="0"/>
    <xf numFmtId="0" fontId="142" fillId="90" borderId="0" applyNumberFormat="0" applyBorder="0" applyAlignment="0" applyProtection="0"/>
    <xf numFmtId="0" fontId="142" fillId="90" borderId="0" applyNumberFormat="0" applyBorder="0" applyAlignment="0" applyProtection="0"/>
    <xf numFmtId="0" fontId="142" fillId="90" borderId="0" applyNumberFormat="0" applyBorder="0" applyAlignment="0" applyProtection="0"/>
    <xf numFmtId="0" fontId="154" fillId="0" borderId="28">
      <alignment vertical="top" wrapText="1"/>
    </xf>
    <xf numFmtId="0" fontId="124" fillId="0" borderId="0"/>
    <xf numFmtId="0" fontId="162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6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/>
    <xf numFmtId="0" fontId="96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1" fillId="0" borderId="0"/>
    <xf numFmtId="0" fontId="79" fillId="0" borderId="0"/>
    <xf numFmtId="0" fontId="79" fillId="0" borderId="0"/>
    <xf numFmtId="0" fontId="79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6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/>
    <xf numFmtId="0" fontId="96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1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1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1" fillId="0" borderId="0"/>
    <xf numFmtId="0" fontId="1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82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79" fillId="0" borderId="0"/>
    <xf numFmtId="0" fontId="79" fillId="0" borderId="0"/>
    <xf numFmtId="0" fontId="1" fillId="0" borderId="0"/>
    <xf numFmtId="0" fontId="7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9" fillId="0" borderId="0"/>
    <xf numFmtId="0" fontId="82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96" fillId="0" borderId="0"/>
    <xf numFmtId="0" fontId="96" fillId="0" borderId="0"/>
    <xf numFmtId="0" fontId="96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9" fillId="0" borderId="0"/>
    <xf numFmtId="0" fontId="127" fillId="0" borderId="0"/>
    <xf numFmtId="0" fontId="79" fillId="0" borderId="0"/>
    <xf numFmtId="0" fontId="1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1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1" fillId="0" borderId="0"/>
    <xf numFmtId="0" fontId="79" fillId="0" borderId="0"/>
    <xf numFmtId="0" fontId="1" fillId="0" borderId="0"/>
    <xf numFmtId="0" fontId="79" fillId="0" borderId="0"/>
    <xf numFmtId="0" fontId="79" fillId="0" borderId="0"/>
    <xf numFmtId="0" fontId="79" fillId="0" borderId="0"/>
    <xf numFmtId="0" fontId="1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1" fillId="0" borderId="0"/>
    <xf numFmtId="0" fontId="79" fillId="0" borderId="0"/>
    <xf numFmtId="0" fontId="79" fillId="0" borderId="0"/>
    <xf numFmtId="0" fontId="79" fillId="0" borderId="0"/>
    <xf numFmtId="0" fontId="1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1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1" fillId="0" borderId="0"/>
    <xf numFmtId="0" fontId="79" fillId="0" borderId="0"/>
    <xf numFmtId="0" fontId="1" fillId="0" borderId="0"/>
    <xf numFmtId="0" fontId="1" fillId="0" borderId="0"/>
    <xf numFmtId="0" fontId="79" fillId="0" borderId="0"/>
    <xf numFmtId="0" fontId="1" fillId="0" borderId="0"/>
    <xf numFmtId="0" fontId="1" fillId="0" borderId="0"/>
    <xf numFmtId="0" fontId="79" fillId="0" borderId="0"/>
    <xf numFmtId="0" fontId="1" fillId="0" borderId="0"/>
    <xf numFmtId="0" fontId="1" fillId="0" borderId="0"/>
    <xf numFmtId="0" fontId="79" fillId="0" borderId="0"/>
    <xf numFmtId="0" fontId="1" fillId="0" borderId="0"/>
    <xf numFmtId="0" fontId="1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1" fillId="0" borderId="0"/>
    <xf numFmtId="0" fontId="1" fillId="0" borderId="0"/>
    <xf numFmtId="0" fontId="82" fillId="0" borderId="0"/>
    <xf numFmtId="0" fontId="79" fillId="0" borderId="0"/>
    <xf numFmtId="0" fontId="1" fillId="0" borderId="0"/>
    <xf numFmtId="0" fontId="1" fillId="0" borderId="0"/>
    <xf numFmtId="0" fontId="79" fillId="0" borderId="0"/>
    <xf numFmtId="0" fontId="1" fillId="0" borderId="0"/>
    <xf numFmtId="0" fontId="82" fillId="0" borderId="0"/>
    <xf numFmtId="0" fontId="79" fillId="0" borderId="0"/>
    <xf numFmtId="0" fontId="1" fillId="0" borderId="0"/>
    <xf numFmtId="0" fontId="82" fillId="0" borderId="0"/>
    <xf numFmtId="0" fontId="82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82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82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82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82" fillId="0" borderId="0"/>
    <xf numFmtId="0" fontId="1" fillId="0" borderId="0"/>
    <xf numFmtId="0" fontId="82" fillId="0" borderId="0"/>
    <xf numFmtId="0" fontId="1" fillId="0" borderId="0"/>
    <xf numFmtId="0" fontId="1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96" fillId="0" borderId="0"/>
    <xf numFmtId="0" fontId="96" fillId="0" borderId="0"/>
    <xf numFmtId="0" fontId="96" fillId="0" borderId="0"/>
    <xf numFmtId="0" fontId="79" fillId="0" borderId="0"/>
    <xf numFmtId="0" fontId="79" fillId="0" borderId="0"/>
    <xf numFmtId="0" fontId="79" fillId="0" borderId="0"/>
    <xf numFmtId="0" fontId="96" fillId="0" borderId="0"/>
    <xf numFmtId="0" fontId="79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82" fillId="0" borderId="0"/>
    <xf numFmtId="0" fontId="79" fillId="0" borderId="0"/>
    <xf numFmtId="0" fontId="79" fillId="0" borderId="0"/>
    <xf numFmtId="0" fontId="127" fillId="0" borderId="0"/>
    <xf numFmtId="0" fontId="1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49" fontId="137" fillId="0" borderId="28" applyNumberFormat="0" applyFill="0" applyBorder="0" applyProtection="0">
      <alignment horizontal="left" vertical="center"/>
    </xf>
    <xf numFmtId="0" fontId="136" fillId="0" borderId="28" applyNumberFormat="0" applyFill="0" applyAlignment="0" applyProtection="0"/>
    <xf numFmtId="0" fontId="143" fillId="72" borderId="0" applyNumberFormat="0" applyFont="0" applyBorder="0" applyAlignment="0" applyProtection="0"/>
    <xf numFmtId="0" fontId="143" fillId="72" borderId="0" applyNumberFormat="0" applyFont="0" applyBorder="0" applyAlignment="0" applyProtection="0"/>
    <xf numFmtId="0" fontId="143" fillId="72" borderId="0" applyNumberFormat="0" applyFont="0" applyBorder="0" applyAlignment="0" applyProtection="0"/>
    <xf numFmtId="0" fontId="143" fillId="72" borderId="0" applyNumberFormat="0" applyFont="0" applyBorder="0" applyAlignment="0" applyProtection="0"/>
    <xf numFmtId="0" fontId="143" fillId="72" borderId="0" applyNumberFormat="0" applyFont="0" applyBorder="0" applyAlignment="0" applyProtection="0"/>
    <xf numFmtId="0" fontId="143" fillId="72" borderId="0" applyNumberFormat="0" applyFont="0" applyBorder="0" applyAlignment="0" applyProtection="0"/>
    <xf numFmtId="0" fontId="143" fillId="72" borderId="0" applyNumberFormat="0" applyFont="0" applyBorder="0" applyAlignment="0" applyProtection="0"/>
    <xf numFmtId="0" fontId="79" fillId="105" borderId="0" applyNumberFormat="0" applyFont="0" applyBorder="0" applyAlignment="0" applyProtection="0"/>
    <xf numFmtId="0" fontId="143" fillId="72" borderId="0" applyNumberFormat="0" applyFont="0" applyBorder="0" applyAlignment="0" applyProtection="0"/>
    <xf numFmtId="0" fontId="143" fillId="72" borderId="0" applyNumberFormat="0" applyFont="0" applyBorder="0" applyAlignment="0" applyProtection="0"/>
    <xf numFmtId="0" fontId="143" fillId="72" borderId="0" applyNumberFormat="0" applyFont="0" applyBorder="0" applyAlignment="0" applyProtection="0"/>
    <xf numFmtId="0" fontId="143" fillId="72" borderId="0" applyNumberFormat="0" applyFont="0" applyBorder="0" applyAlignment="0" applyProtection="0"/>
    <xf numFmtId="0" fontId="143" fillId="72" borderId="0" applyNumberFormat="0" applyFont="0" applyBorder="0" applyAlignment="0" applyProtection="0"/>
    <xf numFmtId="0" fontId="143" fillId="72" borderId="0" applyNumberFormat="0" applyFont="0" applyBorder="0" applyAlignment="0" applyProtection="0"/>
    <xf numFmtId="0" fontId="143" fillId="72" borderId="0" applyNumberFormat="0" applyFont="0" applyBorder="0" applyAlignment="0" applyProtection="0"/>
    <xf numFmtId="0" fontId="143" fillId="72" borderId="0" applyNumberFormat="0" applyFont="0" applyBorder="0" applyAlignment="0" applyProtection="0"/>
    <xf numFmtId="0" fontId="79" fillId="0" borderId="0" applyNumberFormat="0" applyFill="0" applyBorder="0" applyAlignment="0" applyProtection="0"/>
    <xf numFmtId="191" fontId="163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127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10" fontId="82" fillId="0" borderId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127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127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4" fontId="124" fillId="71" borderId="46" applyNumberFormat="0" applyProtection="0">
      <alignment vertical="center"/>
    </xf>
    <xf numFmtId="4" fontId="126" fillId="71" borderId="46" applyNumberFormat="0" applyProtection="0">
      <alignment vertical="center"/>
    </xf>
    <xf numFmtId="4" fontId="120" fillId="71" borderId="46" applyNumberFormat="0" applyProtection="0">
      <alignment horizontal="left" vertical="center" indent="1"/>
    </xf>
    <xf numFmtId="0" fontId="115" fillId="71" borderId="46" applyNumberFormat="0" applyProtection="0">
      <alignment horizontal="left" vertical="top" indent="1"/>
    </xf>
    <xf numFmtId="4" fontId="120" fillId="129" borderId="0" applyNumberFormat="0" applyProtection="0">
      <alignment horizontal="left" vertical="center" indent="1"/>
    </xf>
    <xf numFmtId="4" fontId="120" fillId="69" borderId="46" applyNumberFormat="0" applyProtection="0">
      <alignment horizontal="right" vertical="center"/>
    </xf>
    <xf numFmtId="4" fontId="120" fillId="104" borderId="46" applyNumberFormat="0" applyProtection="0">
      <alignment horizontal="right" vertical="center"/>
    </xf>
    <xf numFmtId="4" fontId="120" fillId="130" borderId="46" applyNumberFormat="0" applyProtection="0">
      <alignment horizontal="right" vertical="center"/>
    </xf>
    <xf numFmtId="4" fontId="120" fillId="70" borderId="46" applyNumberFormat="0" applyProtection="0">
      <alignment horizontal="right" vertical="center"/>
    </xf>
    <xf numFmtId="4" fontId="120" fillId="131" borderId="46" applyNumberFormat="0" applyProtection="0">
      <alignment horizontal="right" vertical="center"/>
    </xf>
    <xf numFmtId="4" fontId="120" fillId="101" borderId="46" applyNumberFormat="0" applyProtection="0">
      <alignment horizontal="right" vertical="center"/>
    </xf>
    <xf numFmtId="4" fontId="120" fillId="132" borderId="46" applyNumberFormat="0" applyProtection="0">
      <alignment horizontal="right" vertical="center"/>
    </xf>
    <xf numFmtId="4" fontId="120" fillId="133" borderId="46" applyNumberFormat="0" applyProtection="0">
      <alignment horizontal="right" vertical="center"/>
    </xf>
    <xf numFmtId="4" fontId="120" fillId="134" borderId="46" applyNumberFormat="0" applyProtection="0">
      <alignment horizontal="right" vertical="center"/>
    </xf>
    <xf numFmtId="4" fontId="121" fillId="135" borderId="47" applyNumberFormat="0" applyProtection="0">
      <alignment horizontal="left" vertical="center" indent="1"/>
    </xf>
    <xf numFmtId="4" fontId="121" fillId="136" borderId="0" applyNumberFormat="0" applyProtection="0">
      <alignment horizontal="left" vertical="center" indent="1"/>
    </xf>
    <xf numFmtId="4" fontId="121" fillId="129" borderId="0" applyNumberFormat="0" applyProtection="0">
      <alignment horizontal="left" vertical="center" indent="1"/>
    </xf>
    <xf numFmtId="4" fontId="120" fillId="136" borderId="46" applyNumberFormat="0" applyProtection="0">
      <alignment horizontal="right" vertical="center"/>
    </xf>
    <xf numFmtId="4" fontId="164" fillId="136" borderId="0" applyNumberFormat="0" applyProtection="0">
      <alignment horizontal="left" vertical="center" indent="1"/>
    </xf>
    <xf numFmtId="4" fontId="164" fillId="129" borderId="0" applyNumberFormat="0" applyProtection="0">
      <alignment horizontal="left" vertical="center" indent="1"/>
    </xf>
    <xf numFmtId="0" fontId="79" fillId="129" borderId="46" applyNumberFormat="0" applyProtection="0">
      <alignment horizontal="left" vertical="center" indent="1"/>
    </xf>
    <xf numFmtId="0" fontId="79" fillId="129" borderId="46" applyNumberFormat="0" applyProtection="0">
      <alignment horizontal="left" vertical="top" indent="1"/>
    </xf>
    <xf numFmtId="0" fontId="79" fillId="137" borderId="46" applyNumberFormat="0" applyProtection="0">
      <alignment horizontal="left" vertical="center" indent="1"/>
    </xf>
    <xf numFmtId="0" fontId="79" fillId="137" borderId="46" applyNumberFormat="0" applyProtection="0">
      <alignment horizontal="left" vertical="top" indent="1"/>
    </xf>
    <xf numFmtId="0" fontId="79" fillId="136" borderId="46" applyNumberFormat="0" applyProtection="0">
      <alignment horizontal="left" vertical="center" indent="1"/>
    </xf>
    <xf numFmtId="0" fontId="79" fillId="136" borderId="46" applyNumberFormat="0" applyProtection="0">
      <alignment horizontal="left" vertical="top" indent="1"/>
    </xf>
    <xf numFmtId="0" fontId="79" fillId="106" borderId="46" applyNumberFormat="0" applyProtection="0">
      <alignment horizontal="left" vertical="center" indent="1"/>
    </xf>
    <xf numFmtId="0" fontId="79" fillId="106" borderId="46" applyNumberFormat="0" applyProtection="0">
      <alignment horizontal="left" vertical="top" indent="1"/>
    </xf>
    <xf numFmtId="4" fontId="120" fillId="106" borderId="46" applyNumberFormat="0" applyProtection="0">
      <alignment vertical="center"/>
    </xf>
    <xf numFmtId="4" fontId="165" fillId="106" borderId="46" applyNumberFormat="0" applyProtection="0">
      <alignment vertical="center"/>
    </xf>
    <xf numFmtId="4" fontId="121" fillId="136" borderId="48" applyNumberFormat="0" applyProtection="0">
      <alignment horizontal="left" vertical="center" indent="1"/>
    </xf>
    <xf numFmtId="0" fontId="78" fillId="102" borderId="46" applyNumberFormat="0" applyProtection="0">
      <alignment horizontal="left" vertical="top" indent="1"/>
    </xf>
    <xf numFmtId="4" fontId="120" fillId="106" borderId="46" applyNumberFormat="0" applyProtection="0">
      <alignment horizontal="right" vertical="center"/>
    </xf>
    <xf numFmtId="4" fontId="165" fillId="106" borderId="46" applyNumberFormat="0" applyProtection="0">
      <alignment horizontal="right" vertical="center"/>
    </xf>
    <xf numFmtId="4" fontId="121" fillId="136" borderId="46" applyNumberFormat="0" applyProtection="0">
      <alignment horizontal="center" vertical="center" wrapText="1"/>
    </xf>
    <xf numFmtId="0" fontId="78" fillId="137" borderId="46" applyNumberFormat="0" applyProtection="0">
      <alignment horizontal="left" vertical="top" indent="1"/>
    </xf>
    <xf numFmtId="4" fontId="166" fillId="137" borderId="48" applyNumberFormat="0" applyProtection="0">
      <alignment horizontal="left" vertical="center" indent="1"/>
    </xf>
    <xf numFmtId="4" fontId="167" fillId="106" borderId="46" applyNumberFormat="0" applyProtection="0">
      <alignment horizontal="right" vertical="center"/>
    </xf>
    <xf numFmtId="0" fontId="132" fillId="89" borderId="0" applyNumberFormat="0" applyBorder="0" applyAlignment="0" applyProtection="0"/>
    <xf numFmtId="0" fontId="132" fillId="108" borderId="0" applyNumberFormat="0" applyBorder="0" applyAlignment="0" applyProtection="0"/>
    <xf numFmtId="0" fontId="132" fillId="108" borderId="0" applyNumberFormat="0" applyBorder="0" applyAlignment="0" applyProtection="0"/>
    <xf numFmtId="0" fontId="132" fillId="108" borderId="0" applyNumberFormat="0" applyBorder="0" applyAlignment="0" applyProtection="0"/>
    <xf numFmtId="0" fontId="132" fillId="89" borderId="0" applyNumberFormat="0" applyBorder="0" applyAlignment="0" applyProtection="0"/>
    <xf numFmtId="0" fontId="132" fillId="108" borderId="0" applyNumberFormat="0" applyBorder="0" applyAlignment="0" applyProtection="0"/>
    <xf numFmtId="0" fontId="132" fillId="108" borderId="0" applyNumberFormat="0" applyBorder="0" applyAlignment="0" applyProtection="0"/>
    <xf numFmtId="0" fontId="132" fillId="89" borderId="0" applyNumberFormat="0" applyBorder="0" applyAlignment="0" applyProtection="0"/>
    <xf numFmtId="0" fontId="69" fillId="89" borderId="0" applyNumberFormat="0" applyBorder="0" applyAlignment="0" applyProtection="0"/>
    <xf numFmtId="0" fontId="69" fillId="89" borderId="0" applyNumberFormat="0" applyBorder="0" applyAlignment="0" applyProtection="0"/>
    <xf numFmtId="0" fontId="69" fillId="89" borderId="0" applyNumberFormat="0" applyBorder="0" applyAlignment="0" applyProtection="0"/>
    <xf numFmtId="0" fontId="132" fillId="89" borderId="0" applyNumberFormat="0" applyBorder="0" applyAlignment="0" applyProtection="0"/>
    <xf numFmtId="0" fontId="132" fillId="89" borderId="0" applyNumberFormat="0" applyBorder="0" applyAlignment="0" applyProtection="0"/>
    <xf numFmtId="0" fontId="132" fillId="89" borderId="0" applyNumberFormat="0" applyBorder="0" applyAlignment="0" applyProtection="0"/>
    <xf numFmtId="0" fontId="132" fillId="89" borderId="0" applyNumberFormat="0" applyBorder="0" applyAlignment="0" applyProtection="0"/>
    <xf numFmtId="0" fontId="132" fillId="89" borderId="0" applyNumberFormat="0" applyBorder="0" applyAlignment="0" applyProtection="0"/>
    <xf numFmtId="0" fontId="132" fillId="89" borderId="0" applyNumberFormat="0" applyBorder="0" applyAlignment="0" applyProtection="0"/>
    <xf numFmtId="0" fontId="132" fillId="89" borderId="0" applyNumberFormat="0" applyBorder="0" applyAlignment="0" applyProtection="0"/>
    <xf numFmtId="0" fontId="132" fillId="89" borderId="0" applyNumberFormat="0" applyBorder="0" applyAlignment="0" applyProtection="0"/>
    <xf numFmtId="0" fontId="132" fillId="89" borderId="0" applyNumberFormat="0" applyBorder="0" applyAlignment="0" applyProtection="0"/>
    <xf numFmtId="0" fontId="132" fillId="89" borderId="0" applyNumberFormat="0" applyBorder="0" applyAlignment="0" applyProtection="0"/>
    <xf numFmtId="0" fontId="132" fillId="108" borderId="0" applyNumberFormat="0" applyBorder="0" applyAlignment="0" applyProtection="0"/>
    <xf numFmtId="0" fontId="132" fillId="89" borderId="0" applyNumberFormat="0" applyBorder="0" applyAlignment="0" applyProtection="0"/>
    <xf numFmtId="0" fontId="132" fillId="89" borderId="0" applyNumberFormat="0" applyBorder="0" applyAlignment="0" applyProtection="0"/>
    <xf numFmtId="0" fontId="132" fillId="89" borderId="0" applyNumberFormat="0" applyBorder="0" applyAlignment="0" applyProtection="0"/>
    <xf numFmtId="0" fontId="132" fillId="89" borderId="0" applyNumberFormat="0" applyBorder="0" applyAlignment="0" applyProtection="0"/>
    <xf numFmtId="0" fontId="168" fillId="0" borderId="0">
      <alignment horizontal="right"/>
    </xf>
    <xf numFmtId="0" fontId="136" fillId="105" borderId="28"/>
    <xf numFmtId="0" fontId="133" fillId="98" borderId="34" applyNumberFormat="0" applyAlignment="0" applyProtection="0"/>
    <xf numFmtId="0" fontId="133" fillId="109" borderId="34" applyNumberFormat="0" applyAlignment="0" applyProtection="0"/>
    <xf numFmtId="0" fontId="133" fillId="109" borderId="34" applyNumberFormat="0" applyAlignment="0" applyProtection="0"/>
    <xf numFmtId="0" fontId="133" fillId="109" borderId="34" applyNumberFormat="0" applyAlignment="0" applyProtection="0"/>
    <xf numFmtId="0" fontId="133" fillId="98" borderId="34" applyNumberFormat="0" applyAlignment="0" applyProtection="0"/>
    <xf numFmtId="0" fontId="133" fillId="109" borderId="34" applyNumberFormat="0" applyAlignment="0" applyProtection="0"/>
    <xf numFmtId="0" fontId="133" fillId="109" borderId="34" applyNumberFormat="0" applyAlignment="0" applyProtection="0"/>
    <xf numFmtId="0" fontId="133" fillId="98" borderId="34" applyNumberFormat="0" applyAlignment="0" applyProtection="0"/>
    <xf numFmtId="0" fontId="72" fillId="98" borderId="24" applyNumberFormat="0" applyAlignment="0" applyProtection="0"/>
    <xf numFmtId="0" fontId="72" fillId="98" borderId="24" applyNumberFormat="0" applyAlignment="0" applyProtection="0"/>
    <xf numFmtId="0" fontId="72" fillId="98" borderId="24" applyNumberFormat="0" applyAlignment="0" applyProtection="0"/>
    <xf numFmtId="0" fontId="133" fillId="98" borderId="34" applyNumberFormat="0" applyAlignment="0" applyProtection="0"/>
    <xf numFmtId="0" fontId="133" fillId="98" borderId="34" applyNumberFormat="0" applyAlignment="0" applyProtection="0"/>
    <xf numFmtId="0" fontId="133" fillId="98" borderId="34" applyNumberFormat="0" applyAlignment="0" applyProtection="0"/>
    <xf numFmtId="0" fontId="133" fillId="98" borderId="34" applyNumberFormat="0" applyAlignment="0" applyProtection="0"/>
    <xf numFmtId="0" fontId="133" fillId="98" borderId="34" applyNumberFormat="0" applyAlignment="0" applyProtection="0"/>
    <xf numFmtId="0" fontId="133" fillId="98" borderId="34" applyNumberFormat="0" applyAlignment="0" applyProtection="0"/>
    <xf numFmtId="0" fontId="133" fillId="98" borderId="34" applyNumberFormat="0" applyAlignment="0" applyProtection="0"/>
    <xf numFmtId="0" fontId="133" fillId="98" borderId="34" applyNumberFormat="0" applyAlignment="0" applyProtection="0"/>
    <xf numFmtId="0" fontId="133" fillId="98" borderId="34" applyNumberFormat="0" applyAlignment="0" applyProtection="0"/>
    <xf numFmtId="0" fontId="133" fillId="98" borderId="34" applyNumberFormat="0" applyAlignment="0" applyProtection="0"/>
    <xf numFmtId="0" fontId="133" fillId="98" borderId="34" applyNumberFormat="0" applyAlignment="0" applyProtection="0"/>
    <xf numFmtId="0" fontId="133" fillId="98" borderId="34" applyNumberFormat="0" applyAlignment="0" applyProtection="0"/>
    <xf numFmtId="0" fontId="133" fillId="98" borderId="34" applyNumberFormat="0" applyAlignment="0" applyProtection="0"/>
    <xf numFmtId="0" fontId="133" fillId="98" borderId="34" applyNumberFormat="0" applyAlignment="0" applyProtection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169" fillId="102" borderId="0" applyNumberFormat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81" fillId="128" borderId="28">
      <alignment horizontal="center" vertical="center" wrapText="1"/>
    </xf>
    <xf numFmtId="0" fontId="170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70" fillId="0" borderId="0" applyNumberFormat="0" applyFill="0" applyBorder="0" applyAlignment="0" applyProtection="0"/>
    <xf numFmtId="0" fontId="170" fillId="0" borderId="0" applyNumberFormat="0" applyFill="0" applyBorder="0" applyAlignment="0" applyProtection="0"/>
    <xf numFmtId="0" fontId="170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70" fillId="0" borderId="0" applyNumberFormat="0" applyFill="0" applyBorder="0" applyAlignment="0" applyProtection="0"/>
    <xf numFmtId="0" fontId="170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35" applyNumberFormat="0" applyFill="0" applyAlignment="0" applyProtection="0"/>
    <xf numFmtId="0" fontId="171" fillId="0" borderId="49" applyNumberFormat="0" applyFill="0" applyAlignment="0" applyProtection="0"/>
    <xf numFmtId="0" fontId="171" fillId="0" borderId="49" applyNumberFormat="0" applyFill="0" applyAlignment="0" applyProtection="0"/>
    <xf numFmtId="0" fontId="171" fillId="0" borderId="49" applyNumberFormat="0" applyFill="0" applyAlignment="0" applyProtection="0"/>
    <xf numFmtId="0" fontId="145" fillId="0" borderId="35" applyNumberFormat="0" applyFill="0" applyAlignment="0" applyProtection="0"/>
    <xf numFmtId="0" fontId="171" fillId="0" borderId="49" applyNumberFormat="0" applyFill="0" applyAlignment="0" applyProtection="0"/>
    <xf numFmtId="0" fontId="171" fillId="0" borderId="49" applyNumberFormat="0" applyFill="0" applyAlignment="0" applyProtection="0"/>
    <xf numFmtId="0" fontId="145" fillId="0" borderId="35" applyNumberFormat="0" applyFill="0" applyAlignment="0" applyProtection="0"/>
    <xf numFmtId="0" fontId="145" fillId="0" borderId="35" applyNumberFormat="0" applyFill="0" applyAlignment="0" applyProtection="0"/>
    <xf numFmtId="0" fontId="145" fillId="0" borderId="35" applyNumberFormat="0" applyFill="0" applyAlignment="0" applyProtection="0"/>
    <xf numFmtId="0" fontId="145" fillId="0" borderId="35" applyNumberFormat="0" applyFill="0" applyAlignment="0" applyProtection="0"/>
    <xf numFmtId="0" fontId="145" fillId="0" borderId="35" applyNumberFormat="0" applyFill="0" applyAlignment="0" applyProtection="0"/>
    <xf numFmtId="0" fontId="145" fillId="0" borderId="35" applyNumberFormat="0" applyFill="0" applyAlignment="0" applyProtection="0"/>
    <xf numFmtId="0" fontId="145" fillId="0" borderId="35" applyNumberFormat="0" applyFill="0" applyAlignment="0" applyProtection="0"/>
    <xf numFmtId="0" fontId="145" fillId="0" borderId="35" applyNumberFormat="0" applyFill="0" applyAlignment="0" applyProtection="0"/>
    <xf numFmtId="0" fontId="145" fillId="0" borderId="35" applyNumberFormat="0" applyFill="0" applyAlignment="0" applyProtection="0"/>
    <xf numFmtId="0" fontId="145" fillId="0" borderId="35" applyNumberFormat="0" applyFill="0" applyAlignment="0" applyProtection="0"/>
    <xf numFmtId="0" fontId="145" fillId="0" borderId="35" applyNumberFormat="0" applyFill="0" applyAlignment="0" applyProtection="0"/>
    <xf numFmtId="0" fontId="145" fillId="0" borderId="35" applyNumberFormat="0" applyFill="0" applyAlignment="0" applyProtection="0"/>
    <xf numFmtId="0" fontId="145" fillId="0" borderId="35" applyNumberFormat="0" applyFill="0" applyAlignment="0" applyProtection="0"/>
    <xf numFmtId="0" fontId="145" fillId="0" borderId="35" applyNumberFormat="0" applyFill="0" applyAlignment="0" applyProtection="0"/>
    <xf numFmtId="0" fontId="145" fillId="0" borderId="50" applyNumberFormat="0" applyFill="0" applyAlignment="0" applyProtection="0"/>
    <xf numFmtId="0" fontId="145" fillId="0" borderId="35" applyNumberFormat="0" applyFill="0" applyAlignment="0" applyProtection="0"/>
    <xf numFmtId="0" fontId="145" fillId="0" borderId="35" applyNumberFormat="0" applyFill="0" applyAlignment="0" applyProtection="0"/>
    <xf numFmtId="0" fontId="145" fillId="0" borderId="35" applyNumberFormat="0" applyFill="0" applyAlignment="0" applyProtection="0"/>
    <xf numFmtId="0" fontId="145" fillId="0" borderId="35" applyNumberFormat="0" applyFill="0" applyAlignment="0" applyProtection="0"/>
    <xf numFmtId="0" fontId="146" fillId="0" borderId="36" applyNumberFormat="0" applyFill="0" applyAlignment="0" applyProtection="0"/>
    <xf numFmtId="0" fontId="172" fillId="0" borderId="51" applyNumberFormat="0" applyFill="0" applyAlignment="0" applyProtection="0"/>
    <xf numFmtId="0" fontId="172" fillId="0" borderId="51" applyNumberFormat="0" applyFill="0" applyAlignment="0" applyProtection="0"/>
    <xf numFmtId="0" fontId="172" fillId="0" borderId="51" applyNumberFormat="0" applyFill="0" applyAlignment="0" applyProtection="0"/>
    <xf numFmtId="0" fontId="146" fillId="0" borderId="36" applyNumberFormat="0" applyFill="0" applyAlignment="0" applyProtection="0"/>
    <xf numFmtId="0" fontId="172" fillId="0" borderId="51" applyNumberFormat="0" applyFill="0" applyAlignment="0" applyProtection="0"/>
    <xf numFmtId="0" fontId="172" fillId="0" borderId="51" applyNumberFormat="0" applyFill="0" applyAlignment="0" applyProtection="0"/>
    <xf numFmtId="0" fontId="146" fillId="0" borderId="36" applyNumberFormat="0" applyFill="0" applyAlignment="0" applyProtection="0"/>
    <xf numFmtId="0" fontId="146" fillId="0" borderId="36" applyNumberFormat="0" applyFill="0" applyAlignment="0" applyProtection="0"/>
    <xf numFmtId="0" fontId="146" fillId="0" borderId="36" applyNumberFormat="0" applyFill="0" applyAlignment="0" applyProtection="0"/>
    <xf numFmtId="0" fontId="146" fillId="0" borderId="36" applyNumberFormat="0" applyFill="0" applyAlignment="0" applyProtection="0"/>
    <xf numFmtId="0" fontId="146" fillId="0" borderId="36" applyNumberFormat="0" applyFill="0" applyAlignment="0" applyProtection="0"/>
    <xf numFmtId="0" fontId="146" fillId="0" borderId="36" applyNumberFormat="0" applyFill="0" applyAlignment="0" applyProtection="0"/>
    <xf numFmtId="0" fontId="146" fillId="0" borderId="36" applyNumberFormat="0" applyFill="0" applyAlignment="0" applyProtection="0"/>
    <xf numFmtId="0" fontId="146" fillId="0" borderId="36" applyNumberFormat="0" applyFill="0" applyAlignment="0" applyProtection="0"/>
    <xf numFmtId="0" fontId="146" fillId="0" borderId="36" applyNumberFormat="0" applyFill="0" applyAlignment="0" applyProtection="0"/>
    <xf numFmtId="0" fontId="146" fillId="0" borderId="36" applyNumberFormat="0" applyFill="0" applyAlignment="0" applyProtection="0"/>
    <xf numFmtId="0" fontId="146" fillId="0" borderId="36" applyNumberFormat="0" applyFill="0" applyAlignment="0" applyProtection="0"/>
    <xf numFmtId="0" fontId="146" fillId="0" borderId="36" applyNumberFormat="0" applyFill="0" applyAlignment="0" applyProtection="0"/>
    <xf numFmtId="0" fontId="146" fillId="0" borderId="36" applyNumberFormat="0" applyFill="0" applyAlignment="0" applyProtection="0"/>
    <xf numFmtId="0" fontId="146" fillId="0" borderId="36" applyNumberFormat="0" applyFill="0" applyAlignment="0" applyProtection="0"/>
    <xf numFmtId="0" fontId="146" fillId="0" borderId="51" applyNumberFormat="0" applyFill="0" applyAlignment="0" applyProtection="0"/>
    <xf numFmtId="0" fontId="146" fillId="0" borderId="36" applyNumberFormat="0" applyFill="0" applyAlignment="0" applyProtection="0"/>
    <xf numFmtId="0" fontId="146" fillId="0" borderId="36" applyNumberFormat="0" applyFill="0" applyAlignment="0" applyProtection="0"/>
    <xf numFmtId="0" fontId="146" fillId="0" borderId="36" applyNumberFormat="0" applyFill="0" applyAlignment="0" applyProtection="0"/>
    <xf numFmtId="0" fontId="146" fillId="0" borderId="36" applyNumberFormat="0" applyFill="0" applyAlignment="0" applyProtection="0"/>
    <xf numFmtId="0" fontId="147" fillId="0" borderId="37" applyNumberFormat="0" applyFill="0" applyAlignment="0" applyProtection="0"/>
    <xf numFmtId="0" fontId="173" fillId="0" borderId="52" applyNumberFormat="0" applyFill="0" applyAlignment="0" applyProtection="0"/>
    <xf numFmtId="0" fontId="173" fillId="0" borderId="52" applyNumberFormat="0" applyFill="0" applyAlignment="0" applyProtection="0"/>
    <xf numFmtId="0" fontId="173" fillId="0" borderId="52" applyNumberFormat="0" applyFill="0" applyAlignment="0" applyProtection="0"/>
    <xf numFmtId="0" fontId="147" fillId="0" borderId="37" applyNumberFormat="0" applyFill="0" applyAlignment="0" applyProtection="0"/>
    <xf numFmtId="0" fontId="173" fillId="0" borderId="52" applyNumberFormat="0" applyFill="0" applyAlignment="0" applyProtection="0"/>
    <xf numFmtId="0" fontId="173" fillId="0" borderId="52" applyNumberFormat="0" applyFill="0" applyAlignment="0" applyProtection="0"/>
    <xf numFmtId="0" fontId="147" fillId="0" borderId="37" applyNumberFormat="0" applyFill="0" applyAlignment="0" applyProtection="0"/>
    <xf numFmtId="0" fontId="147" fillId="0" borderId="37" applyNumberFormat="0" applyFill="0" applyAlignment="0" applyProtection="0"/>
    <xf numFmtId="0" fontId="147" fillId="0" borderId="37" applyNumberFormat="0" applyFill="0" applyAlignment="0" applyProtection="0"/>
    <xf numFmtId="0" fontId="147" fillId="0" borderId="37" applyNumberFormat="0" applyFill="0" applyAlignment="0" applyProtection="0"/>
    <xf numFmtId="0" fontId="147" fillId="0" borderId="37" applyNumberFormat="0" applyFill="0" applyAlignment="0" applyProtection="0"/>
    <xf numFmtId="0" fontId="147" fillId="0" borderId="37" applyNumberFormat="0" applyFill="0" applyAlignment="0" applyProtection="0"/>
    <xf numFmtId="0" fontId="147" fillId="0" borderId="37" applyNumberFormat="0" applyFill="0" applyAlignment="0" applyProtection="0"/>
    <xf numFmtId="0" fontId="147" fillId="0" borderId="37" applyNumberFormat="0" applyFill="0" applyAlignment="0" applyProtection="0"/>
    <xf numFmtId="0" fontId="147" fillId="0" borderId="37" applyNumberFormat="0" applyFill="0" applyAlignment="0" applyProtection="0"/>
    <xf numFmtId="0" fontId="147" fillId="0" borderId="37" applyNumberFormat="0" applyFill="0" applyAlignment="0" applyProtection="0"/>
    <xf numFmtId="0" fontId="147" fillId="0" borderId="37" applyNumberFormat="0" applyFill="0" applyAlignment="0" applyProtection="0"/>
    <xf numFmtId="0" fontId="147" fillId="0" borderId="37" applyNumberFormat="0" applyFill="0" applyAlignment="0" applyProtection="0"/>
    <xf numFmtId="0" fontId="147" fillId="0" borderId="37" applyNumberFormat="0" applyFill="0" applyAlignment="0" applyProtection="0"/>
    <xf numFmtId="0" fontId="147" fillId="0" borderId="37" applyNumberFormat="0" applyFill="0" applyAlignment="0" applyProtection="0"/>
    <xf numFmtId="0" fontId="147" fillId="0" borderId="53" applyNumberFormat="0" applyFill="0" applyAlignment="0" applyProtection="0"/>
    <xf numFmtId="0" fontId="147" fillId="0" borderId="37" applyNumberFormat="0" applyFill="0" applyAlignment="0" applyProtection="0"/>
    <xf numFmtId="0" fontId="147" fillId="0" borderId="37" applyNumberFormat="0" applyFill="0" applyAlignment="0" applyProtection="0"/>
    <xf numFmtId="0" fontId="147" fillId="0" borderId="37" applyNumberFormat="0" applyFill="0" applyAlignment="0" applyProtection="0"/>
    <xf numFmtId="0" fontId="147" fillId="0" borderId="37" applyNumberFormat="0" applyFill="0" applyAlignment="0" applyProtection="0"/>
    <xf numFmtId="0" fontId="147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8" fillId="0" borderId="39" applyNumberFormat="0" applyFill="0" applyAlignment="0" applyProtection="0"/>
    <xf numFmtId="0" fontId="82" fillId="0" borderId="40" applyNumberFormat="0" applyFill="0" applyAlignment="0" applyProtection="0"/>
    <xf numFmtId="0" fontId="82" fillId="0" borderId="38" applyNumberFormat="0" applyFont="0" applyFill="0" applyAlignment="0" applyProtection="0"/>
    <xf numFmtId="0" fontId="82" fillId="0" borderId="40" applyNumberFormat="0" applyFill="0" applyAlignment="0" applyProtection="0"/>
    <xf numFmtId="0" fontId="82" fillId="0" borderId="38" applyNumberFormat="0" applyFont="0" applyFill="0" applyAlignment="0" applyProtection="0"/>
    <xf numFmtId="0" fontId="82" fillId="0" borderId="38" applyNumberFormat="0" applyFont="0" applyFill="0" applyAlignment="0" applyProtection="0"/>
    <xf numFmtId="0" fontId="148" fillId="0" borderId="39" applyNumberFormat="0" applyFill="0" applyAlignment="0" applyProtection="0"/>
    <xf numFmtId="0" fontId="82" fillId="0" borderId="38" applyNumberFormat="0" applyFont="0" applyFill="0" applyAlignment="0" applyProtection="0"/>
    <xf numFmtId="0" fontId="82" fillId="0" borderId="40" applyNumberFormat="0" applyFill="0" applyAlignment="0" applyProtection="0"/>
    <xf numFmtId="0" fontId="82" fillId="0" borderId="38" applyNumberFormat="0" applyFont="0" applyFill="0" applyAlignment="0" applyProtection="0"/>
    <xf numFmtId="0" fontId="148" fillId="0" borderId="39" applyNumberFormat="0" applyFill="0" applyAlignment="0" applyProtection="0"/>
    <xf numFmtId="0" fontId="76" fillId="0" borderId="39" applyNumberFormat="0" applyFill="0" applyAlignment="0" applyProtection="0"/>
    <xf numFmtId="0" fontId="82" fillId="0" borderId="40" applyNumberFormat="0" applyFill="0" applyAlignment="0" applyProtection="0"/>
    <xf numFmtId="0" fontId="76" fillId="0" borderId="39" applyNumberFormat="0" applyFill="0" applyAlignment="0" applyProtection="0"/>
    <xf numFmtId="0" fontId="82" fillId="0" borderId="40" applyNumberFormat="0" applyFill="0" applyAlignment="0" applyProtection="0"/>
    <xf numFmtId="0" fontId="76" fillId="0" borderId="39" applyNumberFormat="0" applyFill="0" applyAlignment="0" applyProtection="0"/>
    <xf numFmtId="0" fontId="82" fillId="0" borderId="40" applyNumberFormat="0" applyFill="0" applyAlignment="0" applyProtection="0"/>
    <xf numFmtId="0" fontId="82" fillId="0" borderId="40" applyNumberFormat="0" applyFill="0" applyAlignment="0" applyProtection="0"/>
    <xf numFmtId="0" fontId="82" fillId="0" borderId="40" applyNumberFormat="0" applyFill="0" applyAlignment="0" applyProtection="0"/>
    <xf numFmtId="0" fontId="82" fillId="0" borderId="40" applyNumberFormat="0" applyFill="0" applyAlignment="0" applyProtection="0"/>
    <xf numFmtId="0" fontId="82" fillId="0" borderId="40" applyNumberFormat="0" applyFill="0" applyAlignment="0" applyProtection="0"/>
    <xf numFmtId="0" fontId="82" fillId="0" borderId="38" applyNumberFormat="0" applyFont="0" applyFill="0" applyAlignment="0" applyProtection="0"/>
    <xf numFmtId="0" fontId="82" fillId="0" borderId="40" applyNumberFormat="0" applyFill="0" applyAlignment="0" applyProtection="0"/>
    <xf numFmtId="0" fontId="82" fillId="0" borderId="40" applyNumberFormat="0" applyFill="0" applyAlignment="0" applyProtection="0"/>
    <xf numFmtId="0" fontId="82" fillId="0" borderId="40" applyNumberFormat="0" applyFill="0" applyAlignment="0" applyProtection="0"/>
    <xf numFmtId="0" fontId="82" fillId="0" borderId="40" applyNumberFormat="0" applyFill="0" applyAlignment="0" applyProtection="0"/>
    <xf numFmtId="0" fontId="148" fillId="0" borderId="39" applyNumberFormat="0" applyFill="0" applyAlignment="0" applyProtection="0"/>
    <xf numFmtId="0" fontId="148" fillId="0" borderId="39" applyNumberFormat="0" applyFill="0" applyAlignment="0" applyProtection="0"/>
    <xf numFmtId="0" fontId="82" fillId="0" borderId="40" applyNumberFormat="0" applyFill="0" applyAlignment="0" applyProtection="0"/>
    <xf numFmtId="0" fontId="82" fillId="0" borderId="40" applyNumberFormat="0" applyFill="0" applyAlignment="0" applyProtection="0"/>
    <xf numFmtId="0" fontId="82" fillId="0" borderId="40" applyNumberFormat="0" applyFill="0" applyAlignment="0" applyProtection="0"/>
    <xf numFmtId="0" fontId="82" fillId="0" borderId="40" applyNumberFormat="0" applyFill="0" applyAlignment="0" applyProtection="0"/>
    <xf numFmtId="0" fontId="148" fillId="0" borderId="39" applyNumberFormat="0" applyFill="0" applyAlignment="0" applyProtection="0"/>
    <xf numFmtId="0" fontId="82" fillId="0" borderId="40" applyNumberFormat="0" applyFill="0" applyAlignment="0" applyProtection="0"/>
    <xf numFmtId="0" fontId="148" fillId="0" borderId="39" applyNumberFormat="0" applyFill="0" applyAlignment="0" applyProtection="0"/>
    <xf numFmtId="0" fontId="82" fillId="0" borderId="40" applyNumberFormat="0" applyFill="0" applyAlignment="0" applyProtection="0"/>
    <xf numFmtId="0" fontId="82" fillId="0" borderId="40" applyNumberFormat="0" applyFill="0" applyAlignment="0" applyProtection="0"/>
    <xf numFmtId="0" fontId="82" fillId="0" borderId="40" applyNumberFormat="0" applyFill="0" applyAlignment="0" applyProtection="0"/>
    <xf numFmtId="0" fontId="82" fillId="0" borderId="40" applyNumberFormat="0" applyFill="0" applyAlignment="0" applyProtection="0"/>
    <xf numFmtId="0" fontId="82" fillId="0" borderId="40" applyNumberFormat="0" applyFill="0" applyAlignment="0" applyProtection="0"/>
    <xf numFmtId="0" fontId="82" fillId="0" borderId="40" applyNumberFormat="0" applyFill="0" applyAlignment="0" applyProtection="0"/>
    <xf numFmtId="0" fontId="82" fillId="0" borderId="40" applyNumberFormat="0" applyFill="0" applyAlignment="0" applyProtection="0"/>
    <xf numFmtId="0" fontId="82" fillId="0" borderId="40" applyNumberFormat="0" applyFill="0" applyAlignment="0" applyProtection="0"/>
    <xf numFmtId="0" fontId="82" fillId="0" borderId="40" applyNumberFormat="0" applyFill="0" applyAlignment="0" applyProtection="0"/>
    <xf numFmtId="0" fontId="82" fillId="0" borderId="40" applyNumberFormat="0" applyFill="0" applyAlignment="0" applyProtection="0"/>
    <xf numFmtId="0" fontId="148" fillId="0" borderId="39" applyNumberFormat="0" applyFill="0" applyAlignment="0" applyProtection="0"/>
    <xf numFmtId="0" fontId="82" fillId="0" borderId="40" applyNumberFormat="0" applyFill="0" applyAlignment="0" applyProtection="0"/>
    <xf numFmtId="0" fontId="148" fillId="0" borderId="39" applyNumberFormat="0" applyFill="0" applyAlignment="0" applyProtection="0"/>
    <xf numFmtId="0" fontId="82" fillId="0" borderId="40" applyNumberFormat="0" applyFill="0" applyAlignment="0" applyProtection="0"/>
    <xf numFmtId="0" fontId="82" fillId="0" borderId="40" applyNumberFormat="0" applyFill="0" applyAlignment="0" applyProtection="0"/>
    <xf numFmtId="0" fontId="148" fillId="0" borderId="39" applyNumberFormat="0" applyFill="0" applyAlignment="0" applyProtection="0"/>
    <xf numFmtId="0" fontId="82" fillId="0" borderId="40" applyNumberFormat="0" applyFill="0" applyAlignment="0" applyProtection="0"/>
    <xf numFmtId="0" fontId="148" fillId="0" borderId="39" applyNumberFormat="0" applyFill="0" applyAlignment="0" applyProtection="0"/>
    <xf numFmtId="0" fontId="82" fillId="0" borderId="40" applyNumberFormat="0" applyFill="0" applyAlignment="0" applyProtection="0"/>
    <xf numFmtId="0" fontId="148" fillId="0" borderId="39" applyNumberFormat="0" applyFill="0" applyAlignment="0" applyProtection="0"/>
    <xf numFmtId="0" fontId="148" fillId="0" borderId="39" applyNumberFormat="0" applyFill="0" applyAlignment="0" applyProtection="0"/>
    <xf numFmtId="0" fontId="82" fillId="0" borderId="40" applyNumberFormat="0" applyFill="0" applyAlignment="0" applyProtection="0"/>
    <xf numFmtId="0" fontId="148" fillId="0" borderId="39" applyNumberFormat="0" applyFill="0" applyAlignment="0" applyProtection="0"/>
    <xf numFmtId="0" fontId="82" fillId="0" borderId="38" applyNumberFormat="0" applyFont="0" applyFill="0" applyAlignment="0" applyProtection="0"/>
    <xf numFmtId="0" fontId="148" fillId="0" borderId="54" applyNumberFormat="0" applyFill="0" applyAlignment="0" applyProtection="0"/>
    <xf numFmtId="0" fontId="82" fillId="0" borderId="40" applyNumberFormat="0" applyFill="0" applyAlignment="0" applyProtection="0"/>
    <xf numFmtId="0" fontId="148" fillId="0" borderId="39" applyNumberFormat="0" applyFill="0" applyAlignment="0" applyProtection="0"/>
    <xf numFmtId="0" fontId="148" fillId="0" borderId="39" applyNumberFormat="0" applyFill="0" applyAlignment="0" applyProtection="0"/>
    <xf numFmtId="0" fontId="82" fillId="0" borderId="40" applyNumberFormat="0" applyFill="0" applyAlignment="0" applyProtection="0"/>
    <xf numFmtId="0" fontId="148" fillId="0" borderId="39" applyNumberFormat="0" applyFill="0" applyAlignment="0" applyProtection="0"/>
    <xf numFmtId="0" fontId="82" fillId="0" borderId="40" applyNumberFormat="0" applyFill="0" applyAlignment="0" applyProtection="0"/>
    <xf numFmtId="0" fontId="135" fillId="100" borderId="41" applyNumberFormat="0" applyAlignment="0" applyProtection="0"/>
    <xf numFmtId="0" fontId="135" fillId="100" borderId="41" applyNumberFormat="0" applyAlignment="0" applyProtection="0"/>
    <xf numFmtId="0" fontId="135" fillId="100" borderId="41" applyNumberFormat="0" applyAlignment="0" applyProtection="0"/>
    <xf numFmtId="0" fontId="135" fillId="100" borderId="41" applyNumberFormat="0" applyAlignment="0" applyProtection="0"/>
    <xf numFmtId="0" fontId="73" fillId="65" borderId="25" applyNumberFormat="0" applyAlignment="0" applyProtection="0"/>
    <xf numFmtId="0" fontId="135" fillId="100" borderId="41" applyNumberFormat="0" applyAlignment="0" applyProtection="0"/>
    <xf numFmtId="0" fontId="135" fillId="100" borderId="41" applyNumberFormat="0" applyAlignment="0" applyProtection="0"/>
    <xf numFmtId="0" fontId="135" fillId="100" borderId="41" applyNumberFormat="0" applyAlignment="0" applyProtection="0"/>
    <xf numFmtId="0" fontId="135" fillId="100" borderId="41" applyNumberFormat="0" applyAlignment="0" applyProtection="0"/>
    <xf numFmtId="0" fontId="135" fillId="100" borderId="41" applyNumberFormat="0" applyAlignment="0" applyProtection="0"/>
    <xf numFmtId="0" fontId="135" fillId="100" borderId="41" applyNumberFormat="0" applyAlignment="0" applyProtection="0"/>
    <xf numFmtId="0" fontId="135" fillId="100" borderId="41" applyNumberFormat="0" applyAlignment="0" applyProtection="0"/>
    <xf numFmtId="0" fontId="135" fillId="100" borderId="41" applyNumberFormat="0" applyAlignment="0" applyProtection="0"/>
    <xf numFmtId="0" fontId="135" fillId="100" borderId="41" applyNumberFormat="0" applyAlignment="0" applyProtection="0"/>
    <xf numFmtId="0" fontId="135" fillId="100" borderId="41" applyNumberFormat="0" applyAlignment="0" applyProtection="0"/>
    <xf numFmtId="0" fontId="135" fillId="100" borderId="41" applyNumberFormat="0" applyAlignment="0" applyProtection="0"/>
    <xf numFmtId="0" fontId="135" fillId="100" borderId="41" applyNumberFormat="0" applyAlignment="0" applyProtection="0"/>
    <xf numFmtId="0" fontId="135" fillId="100" borderId="41" applyNumberFormat="0" applyAlignment="0" applyProtection="0"/>
    <xf numFmtId="0" fontId="135" fillId="100" borderId="41" applyNumberFormat="0" applyAlignment="0" applyProtection="0"/>
    <xf numFmtId="2" fontId="82" fillId="0" borderId="0" applyFont="0" applyFill="0" applyBorder="0" applyAlignment="0" applyProtection="0"/>
    <xf numFmtId="2" fontId="82" fillId="0" borderId="0" applyFont="0" applyFill="0" applyBorder="0" applyAlignment="0" applyProtection="0"/>
    <xf numFmtId="2" fontId="82" fillId="0" borderId="0" applyFont="0" applyFill="0" applyBorder="0" applyAlignment="0" applyProtection="0"/>
    <xf numFmtId="2" fontId="82" fillId="0" borderId="0" applyFont="0" applyFill="0" applyBorder="0" applyAlignment="0" applyProtection="0"/>
    <xf numFmtId="2" fontId="82" fillId="0" borderId="0" applyFont="0" applyFill="0" applyBorder="0" applyAlignment="0" applyProtection="0"/>
    <xf numFmtId="2" fontId="82" fillId="0" borderId="0" applyFont="0" applyFill="0" applyBorder="0" applyAlignment="0" applyProtection="0"/>
    <xf numFmtId="2" fontId="82" fillId="0" borderId="0" applyFont="0" applyFill="0" applyBorder="0" applyAlignment="0" applyProtection="0"/>
    <xf numFmtId="2" fontId="82" fillId="0" borderId="0" applyFont="0" applyFill="0" applyBorder="0" applyAlignment="0" applyProtection="0"/>
    <xf numFmtId="2" fontId="82" fillId="0" borderId="0" applyFont="0" applyFill="0" applyBorder="0" applyAlignment="0" applyProtection="0"/>
    <xf numFmtId="2" fontId="82" fillId="0" borderId="0" applyFont="0" applyFill="0" applyBorder="0" applyAlignment="0" applyProtection="0"/>
    <xf numFmtId="2" fontId="82" fillId="0" borderId="0" applyFont="0" applyFill="0" applyBorder="0" applyAlignment="0" applyProtection="0"/>
    <xf numFmtId="2" fontId="82" fillId="0" borderId="0" applyFont="0" applyFill="0" applyBorder="0" applyAlignment="0" applyProtection="0"/>
    <xf numFmtId="2" fontId="82" fillId="0" borderId="0" applyFont="0" applyFill="0" applyBorder="0" applyAlignment="0" applyProtection="0"/>
    <xf numFmtId="2" fontId="82" fillId="0" borderId="0" applyFont="0" applyFill="0" applyBorder="0" applyAlignment="0" applyProtection="0"/>
    <xf numFmtId="2" fontId="82" fillId="0" borderId="0" applyFont="0" applyFill="0" applyBorder="0" applyAlignment="0" applyProtection="0"/>
    <xf numFmtId="2" fontId="82" fillId="0" borderId="0" applyFont="0" applyFill="0" applyBorder="0" applyAlignment="0" applyProtection="0"/>
    <xf numFmtId="2" fontId="82" fillId="0" borderId="0" applyFont="0" applyFill="0" applyBorder="0" applyAlignment="0" applyProtection="0"/>
    <xf numFmtId="2" fontId="82" fillId="0" borderId="0" applyFont="0" applyFill="0" applyBorder="0" applyAlignment="0" applyProtection="0"/>
    <xf numFmtId="2" fontId="82" fillId="0" borderId="0" applyFont="0" applyFill="0" applyBorder="0" applyAlignment="0" applyProtection="0"/>
    <xf numFmtId="2" fontId="82" fillId="0" borderId="0" applyFont="0" applyFill="0" applyBorder="0" applyAlignment="0" applyProtection="0"/>
    <xf numFmtId="2" fontId="82" fillId="0" borderId="0" applyFont="0" applyFill="0" applyBorder="0" applyAlignment="0" applyProtection="0"/>
    <xf numFmtId="2" fontId="82" fillId="0" borderId="0" applyFont="0" applyFill="0" applyBorder="0" applyAlignment="0" applyProtection="0"/>
    <xf numFmtId="2" fontId="82" fillId="0" borderId="0" applyFont="0" applyFill="0" applyBorder="0" applyAlignment="0" applyProtection="0"/>
    <xf numFmtId="2" fontId="82" fillId="0" borderId="0" applyFont="0" applyFill="0" applyBorder="0" applyAlignment="0" applyProtection="0"/>
    <xf numFmtId="2" fontId="82" fillId="0" borderId="0" applyFont="0" applyFill="0" applyBorder="0" applyAlignment="0" applyProtection="0"/>
    <xf numFmtId="2" fontId="82" fillId="0" borderId="0" applyFont="0" applyFill="0" applyBorder="0" applyAlignment="0" applyProtection="0"/>
    <xf numFmtId="2" fontId="82" fillId="0" borderId="0" applyFont="0" applyFill="0" applyBorder="0" applyAlignment="0" applyProtection="0"/>
    <xf numFmtId="2" fontId="82" fillId="0" borderId="0" applyFont="0" applyFill="0" applyBorder="0" applyAlignment="0" applyProtection="0"/>
    <xf numFmtId="2" fontId="82" fillId="0" borderId="0" applyFont="0" applyFill="0" applyBorder="0" applyAlignment="0" applyProtection="0"/>
    <xf numFmtId="2" fontId="82" fillId="0" borderId="0" applyFont="0" applyFill="0" applyBorder="0" applyAlignment="0" applyProtection="0"/>
    <xf numFmtId="2" fontId="82" fillId="0" borderId="0" applyFont="0" applyFill="0" applyBorder="0" applyAlignment="0" applyProtection="0"/>
    <xf numFmtId="2" fontId="82" fillId="0" borderId="0" applyFont="0" applyFill="0" applyBorder="0" applyAlignment="0" applyProtection="0"/>
    <xf numFmtId="2" fontId="82" fillId="0" borderId="0" applyFont="0" applyFill="0" applyBorder="0" applyAlignment="0" applyProtection="0"/>
    <xf numFmtId="2" fontId="82" fillId="0" borderId="0" applyFont="0" applyFill="0" applyBorder="0" applyAlignment="0" applyProtection="0"/>
    <xf numFmtId="2" fontId="82" fillId="0" borderId="0" applyFont="0" applyFill="0" applyBorder="0" applyAlignment="0" applyProtection="0"/>
    <xf numFmtId="2" fontId="82" fillId="0" borderId="0" applyFont="0" applyFill="0" applyBorder="0" applyAlignment="0" applyProtection="0"/>
    <xf numFmtId="2" fontId="82" fillId="0" borderId="0" applyFont="0" applyFill="0" applyBorder="0" applyAlignment="0" applyProtection="0"/>
    <xf numFmtId="2" fontId="82" fillId="0" borderId="0" applyFont="0" applyFill="0" applyBorder="0" applyAlignment="0" applyProtection="0"/>
    <xf numFmtId="0" fontId="79" fillId="138" borderId="0" applyNumberFormat="0" applyFont="0" applyBorder="0" applyAlignment="0" applyProtection="0"/>
    <xf numFmtId="0" fontId="79" fillId="110" borderId="0" applyNumberFormat="0" applyFont="0" applyBorder="0" applyAlignment="0" applyProtection="0"/>
    <xf numFmtId="0" fontId="79" fillId="113" borderId="0" applyNumberFormat="0" applyFont="0" applyBorder="0" applyAlignment="0" applyProtection="0"/>
    <xf numFmtId="0" fontId="79" fillId="95" borderId="0" applyNumberFormat="0" applyFont="0" applyBorder="0" applyAlignment="0" applyProtection="0"/>
    <xf numFmtId="0" fontId="79" fillId="139" borderId="0" applyNumberFormat="0" applyFont="0" applyBorder="0" applyAlignment="0" applyProtection="0"/>
    <xf numFmtId="0" fontId="174" fillId="0" borderId="0" applyNumberFormat="0" applyFill="0" applyBorder="0" applyAlignment="0" applyProtection="0"/>
    <xf numFmtId="0" fontId="175" fillId="0" borderId="0" applyAlignment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1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1" fillId="0" borderId="0"/>
    <xf numFmtId="0" fontId="79" fillId="0" borderId="0"/>
    <xf numFmtId="0" fontId="79" fillId="0" borderId="0"/>
    <xf numFmtId="0" fontId="79" fillId="0" borderId="0"/>
    <xf numFmtId="0" fontId="1" fillId="0" borderId="0"/>
    <xf numFmtId="0" fontId="79" fillId="0" borderId="0"/>
    <xf numFmtId="0" fontId="79" fillId="0" borderId="0"/>
    <xf numFmtId="9" fontId="79" fillId="0" borderId="0" applyFont="0" applyFill="0" applyBorder="0" applyAlignment="0" applyProtection="0"/>
    <xf numFmtId="0" fontId="82" fillId="0" borderId="0"/>
    <xf numFmtId="0" fontId="83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3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1" fillId="0" borderId="0"/>
    <xf numFmtId="10" fontId="82" fillId="0" borderId="0" applyFill="0" applyBorder="0" applyAlignment="0" applyProtection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1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96" fillId="83" borderId="0" applyNumberFormat="0" applyBorder="0" applyAlignment="0" applyProtection="0"/>
    <xf numFmtId="0" fontId="96" fillId="83" borderId="0" applyNumberFormat="0" applyBorder="0" applyAlignment="0" applyProtection="0"/>
    <xf numFmtId="0" fontId="96" fillId="83" borderId="0" applyNumberFormat="0" applyBorder="0" applyAlignment="0" applyProtection="0"/>
    <xf numFmtId="0" fontId="96" fillId="83" borderId="0" applyNumberFormat="0" applyBorder="0" applyAlignment="0" applyProtection="0"/>
    <xf numFmtId="0" fontId="96" fillId="83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6" borderId="0" applyNumberFormat="0" applyBorder="0" applyAlignment="0" applyProtection="0"/>
    <xf numFmtId="0" fontId="96" fillId="86" borderId="0" applyNumberFormat="0" applyBorder="0" applyAlignment="0" applyProtection="0"/>
    <xf numFmtId="0" fontId="96" fillId="86" borderId="0" applyNumberFormat="0" applyBorder="0" applyAlignment="0" applyProtection="0"/>
    <xf numFmtId="0" fontId="96" fillId="86" borderId="0" applyNumberFormat="0" applyBorder="0" applyAlignment="0" applyProtection="0"/>
    <xf numFmtId="0" fontId="96" fillId="86" borderId="0" applyNumberFormat="0" applyBorder="0" applyAlignment="0" applyProtection="0"/>
    <xf numFmtId="0" fontId="96" fillId="88" borderId="0" applyNumberFormat="0" applyBorder="0" applyAlignment="0" applyProtection="0"/>
    <xf numFmtId="0" fontId="96" fillId="88" borderId="0" applyNumberFormat="0" applyBorder="0" applyAlignment="0" applyProtection="0"/>
    <xf numFmtId="0" fontId="96" fillId="88" borderId="0" applyNumberFormat="0" applyBorder="0" applyAlignment="0" applyProtection="0"/>
    <xf numFmtId="0" fontId="96" fillId="88" borderId="0" applyNumberFormat="0" applyBorder="0" applyAlignment="0" applyProtection="0"/>
    <xf numFmtId="0" fontId="96" fillId="88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6" borderId="0" applyNumberFormat="0" applyBorder="0" applyAlignment="0" applyProtection="0"/>
    <xf numFmtId="0" fontId="96" fillId="86" borderId="0" applyNumberFormat="0" applyBorder="0" applyAlignment="0" applyProtection="0"/>
    <xf numFmtId="0" fontId="96" fillId="86" borderId="0" applyNumberFormat="0" applyBorder="0" applyAlignment="0" applyProtection="0"/>
    <xf numFmtId="0" fontId="96" fillId="86" borderId="0" applyNumberFormat="0" applyBorder="0" applyAlignment="0" applyProtection="0"/>
    <xf numFmtId="0" fontId="96" fillId="86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90" borderId="0" applyNumberFormat="0" applyBorder="0" applyAlignment="0" applyProtection="0"/>
    <xf numFmtId="0" fontId="96" fillId="90" borderId="0" applyNumberFormat="0" applyBorder="0" applyAlignment="0" applyProtection="0"/>
    <xf numFmtId="0" fontId="96" fillId="90" borderId="0" applyNumberFormat="0" applyBorder="0" applyAlignment="0" applyProtection="0"/>
    <xf numFmtId="0" fontId="96" fillId="90" borderId="0" applyNumberFormat="0" applyBorder="0" applyAlignment="0" applyProtection="0"/>
    <xf numFmtId="0" fontId="96" fillId="90" borderId="0" applyNumberFormat="0" applyBorder="0" applyAlignment="0" applyProtection="0"/>
    <xf numFmtId="0" fontId="96" fillId="84" borderId="0" applyNumberFormat="0" applyBorder="0" applyAlignment="0" applyProtection="0"/>
    <xf numFmtId="0" fontId="96" fillId="84" borderId="0" applyNumberFormat="0" applyBorder="0" applyAlignment="0" applyProtection="0"/>
    <xf numFmtId="0" fontId="96" fillId="84" borderId="0" applyNumberFormat="0" applyBorder="0" applyAlignment="0" applyProtection="0"/>
    <xf numFmtId="0" fontId="96" fillId="84" borderId="0" applyNumberFormat="0" applyBorder="0" applyAlignment="0" applyProtection="0"/>
    <xf numFmtId="0" fontId="96" fillId="84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90" borderId="0" applyNumberFormat="0" applyBorder="0" applyAlignment="0" applyProtection="0"/>
    <xf numFmtId="0" fontId="96" fillId="90" borderId="0" applyNumberFormat="0" applyBorder="0" applyAlignment="0" applyProtection="0"/>
    <xf numFmtId="0" fontId="96" fillId="90" borderId="0" applyNumberFormat="0" applyBorder="0" applyAlignment="0" applyProtection="0"/>
    <xf numFmtId="0" fontId="96" fillId="90" borderId="0" applyNumberFormat="0" applyBorder="0" applyAlignment="0" applyProtection="0"/>
    <xf numFmtId="0" fontId="96" fillId="90" borderId="0" applyNumberFormat="0" applyBorder="0" applyAlignment="0" applyProtection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83" borderId="0" applyNumberFormat="0" applyBorder="0" applyAlignment="0" applyProtection="0"/>
    <xf numFmtId="0" fontId="96" fillId="107" borderId="0" applyNumberFormat="0" applyBorder="0" applyAlignment="0" applyProtection="0"/>
    <xf numFmtId="0" fontId="96" fillId="107" borderId="0" applyNumberFormat="0" applyBorder="0" applyAlignment="0" applyProtection="0"/>
    <xf numFmtId="0" fontId="96" fillId="107" borderId="0" applyNumberFormat="0" applyBorder="0" applyAlignment="0" applyProtection="0"/>
    <xf numFmtId="0" fontId="96" fillId="83" borderId="0" applyNumberFormat="0" applyBorder="0" applyAlignment="0" applyProtection="0"/>
    <xf numFmtId="0" fontId="96" fillId="107" borderId="0" applyNumberFormat="0" applyBorder="0" applyAlignment="0" applyProtection="0"/>
    <xf numFmtId="0" fontId="96" fillId="107" borderId="0" applyNumberFormat="0" applyBorder="0" applyAlignment="0" applyProtection="0"/>
    <xf numFmtId="0" fontId="96" fillId="83" borderId="0" applyNumberFormat="0" applyBorder="0" applyAlignment="0" applyProtection="0"/>
    <xf numFmtId="0" fontId="96" fillId="83" borderId="0" applyNumberFormat="0" applyBorder="0" applyAlignment="0" applyProtection="0"/>
    <xf numFmtId="0" fontId="96" fillId="83" borderId="0" applyNumberFormat="0" applyBorder="0" applyAlignment="0" applyProtection="0"/>
    <xf numFmtId="0" fontId="96" fillId="83" borderId="0" applyNumberFormat="0" applyBorder="0" applyAlignment="0" applyProtection="0"/>
    <xf numFmtId="0" fontId="96" fillId="83" borderId="0" applyNumberFormat="0" applyBorder="0" applyAlignment="0" applyProtection="0"/>
    <xf numFmtId="0" fontId="96" fillId="83" borderId="0" applyNumberFormat="0" applyBorder="0" applyAlignment="0" applyProtection="0"/>
    <xf numFmtId="0" fontId="96" fillId="83" borderId="0" applyNumberFormat="0" applyBorder="0" applyAlignment="0" applyProtection="0"/>
    <xf numFmtId="0" fontId="96" fillId="83" borderId="0" applyNumberFormat="0" applyBorder="0" applyAlignment="0" applyProtection="0"/>
    <xf numFmtId="0" fontId="96" fillId="83" borderId="0" applyNumberFormat="0" applyBorder="0" applyAlignment="0" applyProtection="0"/>
    <xf numFmtId="0" fontId="96" fillId="83" borderId="0" applyNumberFormat="0" applyBorder="0" applyAlignment="0" applyProtection="0"/>
    <xf numFmtId="0" fontId="96" fillId="107" borderId="0" applyNumberFormat="0" applyBorder="0" applyAlignment="0" applyProtection="0"/>
    <xf numFmtId="0" fontId="96" fillId="83" borderId="0" applyNumberFormat="0" applyBorder="0" applyAlignment="0" applyProtection="0"/>
    <xf numFmtId="0" fontId="96" fillId="83" borderId="0" applyNumberFormat="0" applyBorder="0" applyAlignment="0" applyProtection="0"/>
    <xf numFmtId="0" fontId="96" fillId="83" borderId="0" applyNumberFormat="0" applyBorder="0" applyAlignment="0" applyProtection="0"/>
    <xf numFmtId="0" fontId="96" fillId="83" borderId="0" applyNumberFormat="0" applyBorder="0" applyAlignment="0" applyProtection="0"/>
    <xf numFmtId="0" fontId="96" fillId="85" borderId="0" applyNumberFormat="0" applyBorder="0" applyAlignment="0" applyProtection="0"/>
    <xf numFmtId="0" fontId="96" fillId="84" borderId="0" applyNumberFormat="0" applyBorder="0" applyAlignment="0" applyProtection="0"/>
    <xf numFmtId="0" fontId="96" fillId="84" borderId="0" applyNumberFormat="0" applyBorder="0" applyAlignment="0" applyProtection="0"/>
    <xf numFmtId="0" fontId="96" fillId="84" borderId="0" applyNumberFormat="0" applyBorder="0" applyAlignment="0" applyProtection="0"/>
    <xf numFmtId="0" fontId="96" fillId="85" borderId="0" applyNumberFormat="0" applyBorder="0" applyAlignment="0" applyProtection="0"/>
    <xf numFmtId="0" fontId="96" fillId="84" borderId="0" applyNumberFormat="0" applyBorder="0" applyAlignment="0" applyProtection="0"/>
    <xf numFmtId="0" fontId="96" fillId="84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4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6" borderId="0" applyNumberFormat="0" applyBorder="0" applyAlignment="0" applyProtection="0"/>
    <xf numFmtId="0" fontId="96" fillId="108" borderId="0" applyNumberFormat="0" applyBorder="0" applyAlignment="0" applyProtection="0"/>
    <xf numFmtId="0" fontId="96" fillId="108" borderId="0" applyNumberFormat="0" applyBorder="0" applyAlignment="0" applyProtection="0"/>
    <xf numFmtId="0" fontId="96" fillId="108" borderId="0" applyNumberFormat="0" applyBorder="0" applyAlignment="0" applyProtection="0"/>
    <xf numFmtId="0" fontId="96" fillId="86" borderId="0" applyNumberFormat="0" applyBorder="0" applyAlignment="0" applyProtection="0"/>
    <xf numFmtId="0" fontId="96" fillId="108" borderId="0" applyNumberFormat="0" applyBorder="0" applyAlignment="0" applyProtection="0"/>
    <xf numFmtId="0" fontId="96" fillId="108" borderId="0" applyNumberFormat="0" applyBorder="0" applyAlignment="0" applyProtection="0"/>
    <xf numFmtId="0" fontId="96" fillId="86" borderId="0" applyNumberFormat="0" applyBorder="0" applyAlignment="0" applyProtection="0"/>
    <xf numFmtId="0" fontId="96" fillId="86" borderId="0" applyNumberFormat="0" applyBorder="0" applyAlignment="0" applyProtection="0"/>
    <xf numFmtId="0" fontId="96" fillId="90" borderId="0" applyNumberFormat="0" applyBorder="0" applyAlignment="0" applyProtection="0"/>
    <xf numFmtId="0" fontId="96" fillId="86" borderId="0" applyNumberFormat="0" applyBorder="0" applyAlignment="0" applyProtection="0"/>
    <xf numFmtId="0" fontId="96" fillId="86" borderId="0" applyNumberFormat="0" applyBorder="0" applyAlignment="0" applyProtection="0"/>
    <xf numFmtId="0" fontId="96" fillId="86" borderId="0" applyNumberFormat="0" applyBorder="0" applyAlignment="0" applyProtection="0"/>
    <xf numFmtId="0" fontId="96" fillId="86" borderId="0" applyNumberFormat="0" applyBorder="0" applyAlignment="0" applyProtection="0"/>
    <xf numFmtId="0" fontId="96" fillId="86" borderId="0" applyNumberFormat="0" applyBorder="0" applyAlignment="0" applyProtection="0"/>
    <xf numFmtId="0" fontId="96" fillId="86" borderId="0" applyNumberFormat="0" applyBorder="0" applyAlignment="0" applyProtection="0"/>
    <xf numFmtId="0" fontId="96" fillId="86" borderId="0" applyNumberFormat="0" applyBorder="0" applyAlignment="0" applyProtection="0"/>
    <xf numFmtId="0" fontId="96" fillId="86" borderId="0" applyNumberFormat="0" applyBorder="0" applyAlignment="0" applyProtection="0"/>
    <xf numFmtId="0" fontId="96" fillId="108" borderId="0" applyNumberFormat="0" applyBorder="0" applyAlignment="0" applyProtection="0"/>
    <xf numFmtId="0" fontId="96" fillId="86" borderId="0" applyNumberFormat="0" applyBorder="0" applyAlignment="0" applyProtection="0"/>
    <xf numFmtId="0" fontId="96" fillId="86" borderId="0" applyNumberFormat="0" applyBorder="0" applyAlignment="0" applyProtection="0"/>
    <xf numFmtId="0" fontId="96" fillId="86" borderId="0" applyNumberFormat="0" applyBorder="0" applyAlignment="0" applyProtection="0"/>
    <xf numFmtId="0" fontId="96" fillId="86" borderId="0" applyNumberFormat="0" applyBorder="0" applyAlignment="0" applyProtection="0"/>
    <xf numFmtId="0" fontId="96" fillId="88" borderId="0" applyNumberFormat="0" applyBorder="0" applyAlignment="0" applyProtection="0"/>
    <xf numFmtId="0" fontId="96" fillId="87" borderId="0" applyNumberFormat="0" applyBorder="0" applyAlignment="0" applyProtection="0"/>
    <xf numFmtId="0" fontId="96" fillId="87" borderId="0" applyNumberFormat="0" applyBorder="0" applyAlignment="0" applyProtection="0"/>
    <xf numFmtId="0" fontId="96" fillId="87" borderId="0" applyNumberFormat="0" applyBorder="0" applyAlignment="0" applyProtection="0"/>
    <xf numFmtId="0" fontId="96" fillId="88" borderId="0" applyNumberFormat="0" applyBorder="0" applyAlignment="0" applyProtection="0"/>
    <xf numFmtId="0" fontId="96" fillId="87" borderId="0" applyNumberFormat="0" applyBorder="0" applyAlignment="0" applyProtection="0"/>
    <xf numFmtId="0" fontId="96" fillId="87" borderId="0" applyNumberFormat="0" applyBorder="0" applyAlignment="0" applyProtection="0"/>
    <xf numFmtId="0" fontId="96" fillId="88" borderId="0" applyNumberFormat="0" applyBorder="0" applyAlignment="0" applyProtection="0"/>
    <xf numFmtId="0" fontId="96" fillId="88" borderId="0" applyNumberFormat="0" applyBorder="0" applyAlignment="0" applyProtection="0"/>
    <xf numFmtId="0" fontId="96" fillId="88" borderId="0" applyNumberFormat="0" applyBorder="0" applyAlignment="0" applyProtection="0"/>
    <xf numFmtId="0" fontId="96" fillId="88" borderId="0" applyNumberFormat="0" applyBorder="0" applyAlignment="0" applyProtection="0"/>
    <xf numFmtId="0" fontId="96" fillId="88" borderId="0" applyNumberFormat="0" applyBorder="0" applyAlignment="0" applyProtection="0"/>
    <xf numFmtId="0" fontId="96" fillId="88" borderId="0" applyNumberFormat="0" applyBorder="0" applyAlignment="0" applyProtection="0"/>
    <xf numFmtId="0" fontId="96" fillId="88" borderId="0" applyNumberFormat="0" applyBorder="0" applyAlignment="0" applyProtection="0"/>
    <xf numFmtId="0" fontId="96" fillId="88" borderId="0" applyNumberFormat="0" applyBorder="0" applyAlignment="0" applyProtection="0"/>
    <xf numFmtId="0" fontId="96" fillId="88" borderId="0" applyNumberFormat="0" applyBorder="0" applyAlignment="0" applyProtection="0"/>
    <xf numFmtId="0" fontId="96" fillId="88" borderId="0" applyNumberFormat="0" applyBorder="0" applyAlignment="0" applyProtection="0"/>
    <xf numFmtId="0" fontId="96" fillId="87" borderId="0" applyNumberFormat="0" applyBorder="0" applyAlignment="0" applyProtection="0"/>
    <xf numFmtId="0" fontId="96" fillId="88" borderId="0" applyNumberFormat="0" applyBorder="0" applyAlignment="0" applyProtection="0"/>
    <xf numFmtId="0" fontId="96" fillId="88" borderId="0" applyNumberFormat="0" applyBorder="0" applyAlignment="0" applyProtection="0"/>
    <xf numFmtId="0" fontId="96" fillId="88" borderId="0" applyNumberFormat="0" applyBorder="0" applyAlignment="0" applyProtection="0"/>
    <xf numFmtId="0" fontId="96" fillId="88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6" borderId="0" applyNumberFormat="0" applyBorder="0" applyAlignment="0" applyProtection="0"/>
    <xf numFmtId="0" fontId="96" fillId="88" borderId="0" applyNumberFormat="0" applyBorder="0" applyAlignment="0" applyProtection="0"/>
    <xf numFmtId="0" fontId="96" fillId="88" borderId="0" applyNumberFormat="0" applyBorder="0" applyAlignment="0" applyProtection="0"/>
    <xf numFmtId="0" fontId="96" fillId="88" borderId="0" applyNumberFormat="0" applyBorder="0" applyAlignment="0" applyProtection="0"/>
    <xf numFmtId="0" fontId="96" fillId="86" borderId="0" applyNumberFormat="0" applyBorder="0" applyAlignment="0" applyProtection="0"/>
    <xf numFmtId="0" fontId="96" fillId="88" borderId="0" applyNumberFormat="0" applyBorder="0" applyAlignment="0" applyProtection="0"/>
    <xf numFmtId="0" fontId="96" fillId="88" borderId="0" applyNumberFormat="0" applyBorder="0" applyAlignment="0" applyProtection="0"/>
    <xf numFmtId="0" fontId="96" fillId="86" borderId="0" applyNumberFormat="0" applyBorder="0" applyAlignment="0" applyProtection="0"/>
    <xf numFmtId="0" fontId="96" fillId="86" borderId="0" applyNumberFormat="0" applyBorder="0" applyAlignment="0" applyProtection="0"/>
    <xf numFmtId="0" fontId="96" fillId="90" borderId="0" applyNumberFormat="0" applyBorder="0" applyAlignment="0" applyProtection="0"/>
    <xf numFmtId="0" fontId="96" fillId="86" borderId="0" applyNumberFormat="0" applyBorder="0" applyAlignment="0" applyProtection="0"/>
    <xf numFmtId="0" fontId="96" fillId="86" borderId="0" applyNumberFormat="0" applyBorder="0" applyAlignment="0" applyProtection="0"/>
    <xf numFmtId="0" fontId="96" fillId="86" borderId="0" applyNumberFormat="0" applyBorder="0" applyAlignment="0" applyProtection="0"/>
    <xf numFmtId="0" fontId="96" fillId="86" borderId="0" applyNumberFormat="0" applyBorder="0" applyAlignment="0" applyProtection="0"/>
    <xf numFmtId="0" fontId="96" fillId="86" borderId="0" applyNumberFormat="0" applyBorder="0" applyAlignment="0" applyProtection="0"/>
    <xf numFmtId="0" fontId="96" fillId="86" borderId="0" applyNumberFormat="0" applyBorder="0" applyAlignment="0" applyProtection="0"/>
    <xf numFmtId="0" fontId="96" fillId="86" borderId="0" applyNumberFormat="0" applyBorder="0" applyAlignment="0" applyProtection="0"/>
    <xf numFmtId="0" fontId="96" fillId="86" borderId="0" applyNumberFormat="0" applyBorder="0" applyAlignment="0" applyProtection="0"/>
    <xf numFmtId="0" fontId="96" fillId="88" borderId="0" applyNumberFormat="0" applyBorder="0" applyAlignment="0" applyProtection="0"/>
    <xf numFmtId="0" fontId="96" fillId="86" borderId="0" applyNumberFormat="0" applyBorder="0" applyAlignment="0" applyProtection="0"/>
    <xf numFmtId="0" fontId="96" fillId="86" borderId="0" applyNumberFormat="0" applyBorder="0" applyAlignment="0" applyProtection="0"/>
    <xf numFmtId="0" fontId="96" fillId="86" borderId="0" applyNumberFormat="0" applyBorder="0" applyAlignment="0" applyProtection="0"/>
    <xf numFmtId="0" fontId="96" fillId="86" borderId="0" applyNumberFormat="0" applyBorder="0" applyAlignment="0" applyProtection="0"/>
    <xf numFmtId="0" fontId="96" fillId="89" borderId="0" applyNumberFormat="0" applyBorder="0" applyAlignment="0" applyProtection="0"/>
    <xf numFmtId="0" fontId="96" fillId="83" borderId="0" applyNumberFormat="0" applyBorder="0" applyAlignment="0" applyProtection="0"/>
    <xf numFmtId="0" fontId="96" fillId="83" borderId="0" applyNumberFormat="0" applyBorder="0" applyAlignment="0" applyProtection="0"/>
    <xf numFmtId="0" fontId="96" fillId="83" borderId="0" applyNumberFormat="0" applyBorder="0" applyAlignment="0" applyProtection="0"/>
    <xf numFmtId="0" fontId="96" fillId="89" borderId="0" applyNumberFormat="0" applyBorder="0" applyAlignment="0" applyProtection="0"/>
    <xf numFmtId="0" fontId="96" fillId="83" borderId="0" applyNumberFormat="0" applyBorder="0" applyAlignment="0" applyProtection="0"/>
    <xf numFmtId="0" fontId="96" fillId="83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10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90" borderId="0" applyNumberFormat="0" applyBorder="0" applyAlignment="0" applyProtection="0"/>
    <xf numFmtId="0" fontId="96" fillId="110" borderId="0" applyNumberFormat="0" applyBorder="0" applyAlignment="0" applyProtection="0"/>
    <xf numFmtId="0" fontId="96" fillId="110" borderId="0" applyNumberFormat="0" applyBorder="0" applyAlignment="0" applyProtection="0"/>
    <xf numFmtId="0" fontId="96" fillId="110" borderId="0" applyNumberFormat="0" applyBorder="0" applyAlignment="0" applyProtection="0"/>
    <xf numFmtId="0" fontId="96" fillId="90" borderId="0" applyNumberFormat="0" applyBorder="0" applyAlignment="0" applyProtection="0"/>
    <xf numFmtId="0" fontId="96" fillId="110" borderId="0" applyNumberFormat="0" applyBorder="0" applyAlignment="0" applyProtection="0"/>
    <xf numFmtId="0" fontId="96" fillId="110" borderId="0" applyNumberFormat="0" applyBorder="0" applyAlignment="0" applyProtection="0"/>
    <xf numFmtId="0" fontId="96" fillId="90" borderId="0" applyNumberFormat="0" applyBorder="0" applyAlignment="0" applyProtection="0"/>
    <xf numFmtId="0" fontId="96" fillId="90" borderId="0" applyNumberFormat="0" applyBorder="0" applyAlignment="0" applyProtection="0"/>
    <xf numFmtId="0" fontId="96" fillId="86" borderId="0" applyNumberFormat="0" applyBorder="0" applyAlignment="0" applyProtection="0"/>
    <xf numFmtId="0" fontId="96" fillId="90" borderId="0" applyNumberFormat="0" applyBorder="0" applyAlignment="0" applyProtection="0"/>
    <xf numFmtId="0" fontId="96" fillId="90" borderId="0" applyNumberFormat="0" applyBorder="0" applyAlignment="0" applyProtection="0"/>
    <xf numFmtId="0" fontId="96" fillId="90" borderId="0" applyNumberFormat="0" applyBorder="0" applyAlignment="0" applyProtection="0"/>
    <xf numFmtId="0" fontId="96" fillId="90" borderId="0" applyNumberFormat="0" applyBorder="0" applyAlignment="0" applyProtection="0"/>
    <xf numFmtId="0" fontId="96" fillId="90" borderId="0" applyNumberFormat="0" applyBorder="0" applyAlignment="0" applyProtection="0"/>
    <xf numFmtId="0" fontId="96" fillId="90" borderId="0" applyNumberFormat="0" applyBorder="0" applyAlignment="0" applyProtection="0"/>
    <xf numFmtId="0" fontId="96" fillId="90" borderId="0" applyNumberFormat="0" applyBorder="0" applyAlignment="0" applyProtection="0"/>
    <xf numFmtId="0" fontId="96" fillId="90" borderId="0" applyNumberFormat="0" applyBorder="0" applyAlignment="0" applyProtection="0"/>
    <xf numFmtId="0" fontId="96" fillId="86" borderId="0" applyNumberFormat="0" applyBorder="0" applyAlignment="0" applyProtection="0"/>
    <xf numFmtId="0" fontId="96" fillId="90" borderId="0" applyNumberFormat="0" applyBorder="0" applyAlignment="0" applyProtection="0"/>
    <xf numFmtId="0" fontId="96" fillId="90" borderId="0" applyNumberFormat="0" applyBorder="0" applyAlignment="0" applyProtection="0"/>
    <xf numFmtId="0" fontId="96" fillId="90" borderId="0" applyNumberFormat="0" applyBorder="0" applyAlignment="0" applyProtection="0"/>
    <xf numFmtId="0" fontId="96" fillId="90" borderId="0" applyNumberFormat="0" applyBorder="0" applyAlignment="0" applyProtection="0"/>
    <xf numFmtId="0" fontId="96" fillId="84" borderId="0" applyNumberFormat="0" applyBorder="0" applyAlignment="0" applyProtection="0"/>
    <xf numFmtId="0" fontId="96" fillId="87" borderId="0" applyNumberFormat="0" applyBorder="0" applyAlignment="0" applyProtection="0"/>
    <xf numFmtId="0" fontId="96" fillId="87" borderId="0" applyNumberFormat="0" applyBorder="0" applyAlignment="0" applyProtection="0"/>
    <xf numFmtId="0" fontId="96" fillId="87" borderId="0" applyNumberFormat="0" applyBorder="0" applyAlignment="0" applyProtection="0"/>
    <xf numFmtId="0" fontId="96" fillId="84" borderId="0" applyNumberFormat="0" applyBorder="0" applyAlignment="0" applyProtection="0"/>
    <xf numFmtId="0" fontId="96" fillId="87" borderId="0" applyNumberFormat="0" applyBorder="0" applyAlignment="0" applyProtection="0"/>
    <xf numFmtId="0" fontId="96" fillId="87" borderId="0" applyNumberFormat="0" applyBorder="0" applyAlignment="0" applyProtection="0"/>
    <xf numFmtId="0" fontId="96" fillId="84" borderId="0" applyNumberFormat="0" applyBorder="0" applyAlignment="0" applyProtection="0"/>
    <xf numFmtId="0" fontId="96" fillId="84" borderId="0" applyNumberFormat="0" applyBorder="0" applyAlignment="0" applyProtection="0"/>
    <xf numFmtId="0" fontId="96" fillId="84" borderId="0" applyNumberFormat="0" applyBorder="0" applyAlignment="0" applyProtection="0"/>
    <xf numFmtId="0" fontId="96" fillId="84" borderId="0" applyNumberFormat="0" applyBorder="0" applyAlignment="0" applyProtection="0"/>
    <xf numFmtId="0" fontId="96" fillId="84" borderId="0" applyNumberFormat="0" applyBorder="0" applyAlignment="0" applyProtection="0"/>
    <xf numFmtId="0" fontId="96" fillId="84" borderId="0" applyNumberFormat="0" applyBorder="0" applyAlignment="0" applyProtection="0"/>
    <xf numFmtId="0" fontId="96" fillId="84" borderId="0" applyNumberFormat="0" applyBorder="0" applyAlignment="0" applyProtection="0"/>
    <xf numFmtId="0" fontId="96" fillId="84" borderId="0" applyNumberFormat="0" applyBorder="0" applyAlignment="0" applyProtection="0"/>
    <xf numFmtId="0" fontId="96" fillId="84" borderId="0" applyNumberFormat="0" applyBorder="0" applyAlignment="0" applyProtection="0"/>
    <xf numFmtId="0" fontId="96" fillId="84" borderId="0" applyNumberFormat="0" applyBorder="0" applyAlignment="0" applyProtection="0"/>
    <xf numFmtId="0" fontId="96" fillId="109" borderId="0" applyNumberFormat="0" applyBorder="0" applyAlignment="0" applyProtection="0"/>
    <xf numFmtId="0" fontId="96" fillId="84" borderId="0" applyNumberFormat="0" applyBorder="0" applyAlignment="0" applyProtection="0"/>
    <xf numFmtId="0" fontId="96" fillId="84" borderId="0" applyNumberFormat="0" applyBorder="0" applyAlignment="0" applyProtection="0"/>
    <xf numFmtId="0" fontId="96" fillId="84" borderId="0" applyNumberFormat="0" applyBorder="0" applyAlignment="0" applyProtection="0"/>
    <xf numFmtId="0" fontId="96" fillId="84" borderId="0" applyNumberFormat="0" applyBorder="0" applyAlignment="0" applyProtection="0"/>
    <xf numFmtId="0" fontId="96" fillId="89" borderId="0" applyNumberFormat="0" applyBorder="0" applyAlignment="0" applyProtection="0"/>
    <xf numFmtId="0" fontId="96" fillId="83" borderId="0" applyNumberFormat="0" applyBorder="0" applyAlignment="0" applyProtection="0"/>
    <xf numFmtId="0" fontId="96" fillId="83" borderId="0" applyNumberFormat="0" applyBorder="0" applyAlignment="0" applyProtection="0"/>
    <xf numFmtId="0" fontId="96" fillId="83" borderId="0" applyNumberFormat="0" applyBorder="0" applyAlignment="0" applyProtection="0"/>
    <xf numFmtId="0" fontId="96" fillId="89" borderId="0" applyNumberFormat="0" applyBorder="0" applyAlignment="0" applyProtection="0"/>
    <xf numFmtId="0" fontId="96" fillId="83" borderId="0" applyNumberFormat="0" applyBorder="0" applyAlignment="0" applyProtection="0"/>
    <xf numFmtId="0" fontId="96" fillId="83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3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89" borderId="0" applyNumberFormat="0" applyBorder="0" applyAlignment="0" applyProtection="0"/>
    <xf numFmtId="0" fontId="96" fillId="90" borderId="0" applyNumberFormat="0" applyBorder="0" applyAlignment="0" applyProtection="0"/>
    <xf numFmtId="0" fontId="96" fillId="91" borderId="0" applyNumberFormat="0" applyBorder="0" applyAlignment="0" applyProtection="0"/>
    <xf numFmtId="0" fontId="96" fillId="91" borderId="0" applyNumberFormat="0" applyBorder="0" applyAlignment="0" applyProtection="0"/>
    <xf numFmtId="0" fontId="96" fillId="91" borderId="0" applyNumberFormat="0" applyBorder="0" applyAlignment="0" applyProtection="0"/>
    <xf numFmtId="0" fontId="96" fillId="90" borderId="0" applyNumberFormat="0" applyBorder="0" applyAlignment="0" applyProtection="0"/>
    <xf numFmtId="0" fontId="96" fillId="91" borderId="0" applyNumberFormat="0" applyBorder="0" applyAlignment="0" applyProtection="0"/>
    <xf numFmtId="0" fontId="96" fillId="91" borderId="0" applyNumberFormat="0" applyBorder="0" applyAlignment="0" applyProtection="0"/>
    <xf numFmtId="0" fontId="96" fillId="90" borderId="0" applyNumberFormat="0" applyBorder="0" applyAlignment="0" applyProtection="0"/>
    <xf numFmtId="0" fontId="96" fillId="90" borderId="0" applyNumberFormat="0" applyBorder="0" applyAlignment="0" applyProtection="0"/>
    <xf numFmtId="0" fontId="96" fillId="90" borderId="0" applyNumberFormat="0" applyBorder="0" applyAlignment="0" applyProtection="0"/>
    <xf numFmtId="0" fontId="96" fillId="90" borderId="0" applyNumberFormat="0" applyBorder="0" applyAlignment="0" applyProtection="0"/>
    <xf numFmtId="0" fontId="96" fillId="90" borderId="0" applyNumberFormat="0" applyBorder="0" applyAlignment="0" applyProtection="0"/>
    <xf numFmtId="0" fontId="96" fillId="90" borderId="0" applyNumberFormat="0" applyBorder="0" applyAlignment="0" applyProtection="0"/>
    <xf numFmtId="0" fontId="96" fillId="90" borderId="0" applyNumberFormat="0" applyBorder="0" applyAlignment="0" applyProtection="0"/>
    <xf numFmtId="0" fontId="96" fillId="90" borderId="0" applyNumberFormat="0" applyBorder="0" applyAlignment="0" applyProtection="0"/>
    <xf numFmtId="0" fontId="96" fillId="90" borderId="0" applyNumberFormat="0" applyBorder="0" applyAlignment="0" applyProtection="0"/>
    <xf numFmtId="0" fontId="96" fillId="90" borderId="0" applyNumberFormat="0" applyBorder="0" applyAlignment="0" applyProtection="0"/>
    <xf numFmtId="0" fontId="96" fillId="86" borderId="0" applyNumberFormat="0" applyBorder="0" applyAlignment="0" applyProtection="0"/>
    <xf numFmtId="0" fontId="96" fillId="90" borderId="0" applyNumberFormat="0" applyBorder="0" applyAlignment="0" applyProtection="0"/>
    <xf numFmtId="0" fontId="96" fillId="90" borderId="0" applyNumberFormat="0" applyBorder="0" applyAlignment="0" applyProtection="0"/>
    <xf numFmtId="0" fontId="96" fillId="90" borderId="0" applyNumberFormat="0" applyBorder="0" applyAlignment="0" applyProtection="0"/>
    <xf numFmtId="0" fontId="96" fillId="90" borderId="0" applyNumberFormat="0" applyBorder="0" applyAlignment="0" applyProtection="0"/>
    <xf numFmtId="0" fontId="96" fillId="115" borderId="0" applyNumberFormat="0" applyBorder="0" applyAlignment="0" applyProtection="0"/>
    <xf numFmtId="0" fontId="96" fillId="115" borderId="0" applyNumberFormat="0" applyBorder="0" applyAlignment="0" applyProtection="0"/>
    <xf numFmtId="0" fontId="96" fillId="118" borderId="0" applyNumberFormat="0" applyBorder="0" applyAlignment="0" applyProtection="0"/>
    <xf numFmtId="0" fontId="96" fillId="119" borderId="0" applyNumberFormat="0" applyBorder="0" applyAlignment="0" applyProtection="0"/>
    <xf numFmtId="0" fontId="96" fillId="118" borderId="0" applyNumberFormat="0" applyBorder="0" applyAlignment="0" applyProtection="0"/>
    <xf numFmtId="0" fontId="96" fillId="121" borderId="0" applyNumberFormat="0" applyBorder="0" applyAlignment="0" applyProtection="0"/>
    <xf numFmtId="0" fontId="96" fillId="115" borderId="0" applyNumberFormat="0" applyBorder="0" applyAlignment="0" applyProtection="0"/>
    <xf numFmtId="0" fontId="96" fillId="119" borderId="0" applyNumberFormat="0" applyBorder="0" applyAlignment="0" applyProtection="0"/>
    <xf numFmtId="0" fontId="96" fillId="123" borderId="0" applyNumberFormat="0" applyBorder="0" applyAlignment="0" applyProtection="0"/>
    <xf numFmtId="0" fontId="96" fillId="115" borderId="0" applyNumberFormat="0" applyBorder="0" applyAlignment="0" applyProtection="0"/>
    <xf numFmtId="0" fontId="96" fillId="118" borderId="0" applyNumberFormat="0" applyBorder="0" applyAlignment="0" applyProtection="0"/>
    <xf numFmtId="0" fontId="96" fillId="124" borderId="0" applyNumberFormat="0" applyBorder="0" applyAlignment="0" applyProtection="0"/>
    <xf numFmtId="41" fontId="79" fillId="0" borderId="0" applyFont="0" applyFill="0" applyBorder="0" applyAlignment="0" applyProtection="0"/>
    <xf numFmtId="41" fontId="79" fillId="0" borderId="0" applyFont="0" applyFill="0" applyBorder="0" applyAlignment="0" applyProtection="0"/>
    <xf numFmtId="41" fontId="79" fillId="0" borderId="0" applyFont="0" applyFill="0" applyBorder="0" applyAlignment="0" applyProtection="0"/>
    <xf numFmtId="41" fontId="79" fillId="0" borderId="0" applyFont="0" applyFill="0" applyBorder="0" applyAlignment="0" applyProtection="0"/>
    <xf numFmtId="41" fontId="79" fillId="0" borderId="0" applyFont="0" applyFill="0" applyBorder="0" applyAlignment="0" applyProtection="0"/>
    <xf numFmtId="41" fontId="79" fillId="0" borderId="0" applyFont="0" applyFill="0" applyBorder="0" applyAlignment="0" applyProtection="0"/>
    <xf numFmtId="41" fontId="79" fillId="0" borderId="0" applyFont="0" applyFill="0" applyBorder="0" applyAlignment="0" applyProtection="0"/>
    <xf numFmtId="41" fontId="79" fillId="0" borderId="0" applyFont="0" applyFill="0" applyBorder="0" applyAlignment="0" applyProtection="0"/>
    <xf numFmtId="41" fontId="79" fillId="0" borderId="0" applyFont="0" applyFill="0" applyBorder="0" applyAlignment="0" applyProtection="0"/>
    <xf numFmtId="41" fontId="79" fillId="0" borderId="0" applyFont="0" applyFill="0" applyBorder="0" applyAlignment="0" applyProtection="0"/>
    <xf numFmtId="41" fontId="79" fillId="0" borderId="0" applyFont="0" applyFill="0" applyBorder="0" applyAlignment="0" applyProtection="0"/>
    <xf numFmtId="0" fontId="96" fillId="86" borderId="33" applyNumberFormat="0" applyFont="0" applyAlignment="0" applyProtection="0"/>
    <xf numFmtId="0" fontId="96" fillId="86" borderId="33" applyNumberFormat="0" applyFont="0" applyAlignment="0" applyProtection="0"/>
    <xf numFmtId="0" fontId="96" fillId="86" borderId="33" applyNumberFormat="0" applyFont="0" applyAlignment="0" applyProtection="0"/>
    <xf numFmtId="0" fontId="96" fillId="86" borderId="33" applyNumberFormat="0" applyFont="0" applyAlignment="0" applyProtection="0"/>
    <xf numFmtId="0" fontId="96" fillId="86" borderId="33" applyNumberFormat="0" applyFont="0" applyAlignment="0" applyProtection="0"/>
    <xf numFmtId="44" fontId="79" fillId="0" borderId="0" applyFont="0" applyFill="0" applyBorder="0" applyAlignment="0" applyProtection="0"/>
    <xf numFmtId="179" fontId="96" fillId="0" borderId="0" applyFont="0" applyFill="0" applyBorder="0" applyAlignment="0" applyProtection="0"/>
    <xf numFmtId="179" fontId="96" fillId="0" borderId="0" applyFont="0" applyFill="0" applyBorder="0" applyAlignment="0" applyProtection="0"/>
    <xf numFmtId="179" fontId="96" fillId="0" borderId="0" applyFont="0" applyFill="0" applyBorder="0" applyAlignment="0" applyProtection="0"/>
    <xf numFmtId="179" fontId="96" fillId="0" borderId="0" applyFont="0" applyFill="0" applyBorder="0" applyAlignment="0" applyProtection="0"/>
    <xf numFmtId="43" fontId="79" fillId="0" borderId="0" applyFont="0" applyFill="0" applyBorder="0" applyAlignment="0" applyProtection="0"/>
    <xf numFmtId="179" fontId="96" fillId="0" borderId="0" applyFont="0" applyFill="0" applyBorder="0" applyAlignment="0" applyProtection="0"/>
    <xf numFmtId="179" fontId="96" fillId="0" borderId="0" applyFont="0" applyFill="0" applyBorder="0" applyAlignment="0" applyProtection="0"/>
    <xf numFmtId="179" fontId="96" fillId="0" borderId="0" applyFont="0" applyFill="0" applyBorder="0" applyAlignment="0" applyProtection="0"/>
    <xf numFmtId="179" fontId="96" fillId="0" borderId="0" applyFont="0" applyFill="0" applyBorder="0" applyAlignment="0" applyProtection="0"/>
    <xf numFmtId="179" fontId="96" fillId="0" borderId="0" applyFont="0" applyFill="0" applyBorder="0" applyAlignment="0" applyProtection="0"/>
    <xf numFmtId="179" fontId="96" fillId="0" borderId="0" applyFont="0" applyFill="0" applyBorder="0" applyAlignment="0" applyProtection="0"/>
    <xf numFmtId="179" fontId="96" fillId="0" borderId="0" applyFont="0" applyFill="0" applyBorder="0" applyAlignment="0" applyProtection="0"/>
    <xf numFmtId="179" fontId="96" fillId="0" borderId="0" applyFont="0" applyFill="0" applyBorder="0" applyAlignment="0" applyProtection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0" fontId="79" fillId="0" borderId="0"/>
    <xf numFmtId="0" fontId="178" fillId="0" borderId="0" applyNumberFormat="0" applyBorder="0" applyProtection="0"/>
    <xf numFmtId="0" fontId="175" fillId="0" borderId="0"/>
  </cellStyleXfs>
  <cellXfs count="573">
    <xf numFmtId="0" fontId="0" fillId="0" borderId="0" xfId="0"/>
    <xf numFmtId="0" fontId="0" fillId="0" borderId="1" xfId="1540" applyFont="1" applyBorder="1"/>
    <xf numFmtId="166" fontId="0" fillId="0" borderId="2" xfId="1540" applyNumberFormat="1" applyFont="1" applyBorder="1"/>
    <xf numFmtId="0" fontId="6" fillId="33" borderId="0" xfId="1540" applyFont="1" applyFill="1"/>
    <xf numFmtId="0" fontId="0" fillId="0" borderId="0" xfId="1540" applyFont="1"/>
    <xf numFmtId="0" fontId="0" fillId="34" borderId="0" xfId="1540" applyFont="1" applyFill="1"/>
    <xf numFmtId="0" fontId="2" fillId="34" borderId="0" xfId="1540" applyFont="1" applyFill="1" applyAlignment="1">
      <alignment horizontal="center" vertical="top" wrapText="1"/>
    </xf>
    <xf numFmtId="0" fontId="2" fillId="34" borderId="0" xfId="1540" applyFont="1" applyFill="1" applyAlignment="1">
      <alignment horizontal="center" vertical="top" wrapText="1"/>
    </xf>
    <xf numFmtId="0" fontId="2" fillId="0" borderId="0" xfId="1540" applyFont="1"/>
    <xf numFmtId="1" fontId="2" fillId="0" borderId="0" xfId="1540" applyNumberFormat="1" applyFont="1"/>
    <xf numFmtId="1" fontId="5" fillId="0" borderId="0" xfId="1540" applyNumberFormat="1" applyFont="1"/>
    <xf numFmtId="1" fontId="2" fillId="0" borderId="0" xfId="1540" applyNumberFormat="1" applyFont="1"/>
    <xf numFmtId="0" fontId="2" fillId="34" borderId="0" xfId="1540" applyFont="1" applyFill="1"/>
    <xf numFmtId="1" fontId="2" fillId="34" borderId="0" xfId="1540" applyNumberFormat="1" applyFont="1" applyFill="1"/>
    <xf numFmtId="1" fontId="5" fillId="34" borderId="0" xfId="1540" applyNumberFormat="1" applyFont="1" applyFill="1"/>
    <xf numFmtId="1" fontId="2" fillId="35" borderId="0" xfId="1540" applyNumberFormat="1" applyFont="1" applyFill="1"/>
    <xf numFmtId="0" fontId="2" fillId="36" borderId="0" xfId="1540" applyFont="1" applyFill="1"/>
    <xf numFmtId="1" fontId="2" fillId="36" borderId="0" xfId="1540" applyNumberFormat="1" applyFont="1" applyFill="1"/>
    <xf numFmtId="1" fontId="5" fillId="36" borderId="0" xfId="1540" applyNumberFormat="1" applyFont="1" applyFill="1"/>
    <xf numFmtId="1" fontId="2" fillId="37" borderId="0" xfId="1540" applyNumberFormat="1" applyFont="1" applyFill="1"/>
    <xf numFmtId="0" fontId="9" fillId="34" borderId="0" xfId="1540" applyFont="1" applyFill="1" applyAlignment="1">
      <alignment horizontal="left" vertical="top"/>
    </xf>
    <xf numFmtId="0" fontId="9" fillId="34" borderId="0" xfId="1540" applyFont="1" applyFill="1" applyAlignment="1">
      <alignment horizontal="left" vertical="top" wrapText="1"/>
    </xf>
    <xf numFmtId="0" fontId="2" fillId="0" borderId="0" xfId="1540" applyFont="1"/>
    <xf numFmtId="170" fontId="2" fillId="0" borderId="0" xfId="1" applyNumberFormat="1" applyFont="1" applyBorder="1" applyAlignment="1" applyProtection="1"/>
    <xf numFmtId="0" fontId="2" fillId="34" borderId="0" xfId="1540" applyFont="1" applyFill="1"/>
    <xf numFmtId="2" fontId="0" fillId="0" borderId="0" xfId="1540" applyNumberFormat="1" applyFont="1"/>
    <xf numFmtId="0" fontId="2" fillId="36" borderId="0" xfId="1540" applyFont="1" applyFill="1"/>
    <xf numFmtId="1" fontId="0" fillId="0" borderId="0" xfId="1540" applyNumberFormat="1" applyFont="1"/>
    <xf numFmtId="1" fontId="0" fillId="3" borderId="0" xfId="1540" applyNumberFormat="1" applyFont="1" applyFill="1"/>
    <xf numFmtId="169" fontId="0" fillId="0" borderId="0" xfId="1540" applyNumberFormat="1" applyFont="1"/>
    <xf numFmtId="0" fontId="0" fillId="0" borderId="1" xfId="1540" applyFont="1" applyBorder="1"/>
    <xf numFmtId="0" fontId="0" fillId="3" borderId="1" xfId="1540" applyFont="1" applyFill="1" applyBorder="1"/>
    <xf numFmtId="3" fontId="2" fillId="3" borderId="1" xfId="1540" applyNumberFormat="1" applyFont="1" applyFill="1" applyBorder="1"/>
    <xf numFmtId="0" fontId="0" fillId="0" borderId="3" xfId="1540" applyFont="1" applyBorder="1"/>
    <xf numFmtId="0" fontId="12" fillId="0" borderId="0" xfId="1540" applyFont="1"/>
    <xf numFmtId="0" fontId="0" fillId="0" borderId="0" xfId="1540" applyFont="1" applyBorder="1"/>
    <xf numFmtId="0" fontId="0" fillId="0" borderId="5" xfId="1540" applyFont="1" applyBorder="1"/>
    <xf numFmtId="0" fontId="0" fillId="0" borderId="6" xfId="1540" applyFont="1" applyBorder="1"/>
    <xf numFmtId="2" fontId="0" fillId="0" borderId="3" xfId="1540" applyNumberFormat="1" applyFont="1" applyBorder="1"/>
    <xf numFmtId="2" fontId="0" fillId="0" borderId="1" xfId="1540" applyNumberFormat="1" applyFont="1" applyBorder="1"/>
    <xf numFmtId="2" fontId="0" fillId="0" borderId="6" xfId="1540" applyNumberFormat="1" applyFont="1" applyBorder="1"/>
    <xf numFmtId="0" fontId="0" fillId="0" borderId="1" xfId="1540" applyFont="1" applyBorder="1" applyAlignment="1">
      <alignment wrapText="1"/>
    </xf>
    <xf numFmtId="3" fontId="0" fillId="0" borderId="3" xfId="1540" applyNumberFormat="1" applyFont="1" applyBorder="1"/>
    <xf numFmtId="3" fontId="0" fillId="0" borderId="1" xfId="1540" applyNumberFormat="1" applyFont="1" applyBorder="1"/>
    <xf numFmtId="169" fontId="0" fillId="0" borderId="1" xfId="1540" applyNumberFormat="1" applyFont="1" applyBorder="1"/>
    <xf numFmtId="169" fontId="0" fillId="0" borderId="6" xfId="1540" applyNumberFormat="1" applyFont="1" applyBorder="1"/>
    <xf numFmtId="0" fontId="13" fillId="41" borderId="0" xfId="1540" applyFont="1" applyFill="1"/>
    <xf numFmtId="0" fontId="14" fillId="41" borderId="0" xfId="1540" applyFont="1" applyFill="1"/>
    <xf numFmtId="0" fontId="15" fillId="0" borderId="0" xfId="1540" applyFont="1" applyAlignment="1">
      <alignment horizontal="center" vertical="center" wrapText="1"/>
    </xf>
    <xf numFmtId="0" fontId="17" fillId="0" borderId="1" xfId="1540" applyFont="1" applyBorder="1" applyAlignment="1">
      <alignment horizontal="center"/>
    </xf>
    <xf numFmtId="0" fontId="18" fillId="3" borderId="0" xfId="1540" applyFont="1" applyFill="1"/>
    <xf numFmtId="0" fontId="19" fillId="3" borderId="0" xfId="1540" applyFont="1" applyFill="1" applyAlignment="1">
      <alignment horizontal="center" vertical="center"/>
    </xf>
    <xf numFmtId="0" fontId="21" fillId="3" borderId="1" xfId="1540" applyFont="1" applyFill="1" applyBorder="1" applyAlignment="1">
      <alignment horizontal="center" vertical="center" wrapText="1"/>
    </xf>
    <xf numFmtId="0" fontId="22" fillId="0" borderId="1" xfId="1540" applyFont="1" applyBorder="1"/>
    <xf numFmtId="0" fontId="24" fillId="0" borderId="1" xfId="1540" applyFont="1" applyBorder="1"/>
    <xf numFmtId="0" fontId="22" fillId="43" borderId="1" xfId="1540" applyFont="1" applyFill="1" applyBorder="1"/>
    <xf numFmtId="0" fontId="25" fillId="0" borderId="0" xfId="1540" applyFont="1"/>
    <xf numFmtId="0" fontId="27" fillId="3" borderId="0" xfId="1540" applyFont="1" applyFill="1"/>
    <xf numFmtId="0" fontId="28" fillId="3" borderId="0" xfId="1540" applyFont="1" applyFill="1"/>
    <xf numFmtId="0" fontId="19" fillId="3" borderId="7" xfId="1540" applyFont="1" applyFill="1" applyBorder="1" applyAlignment="1">
      <alignment horizontal="justify" vertical="center" wrapText="1"/>
    </xf>
    <xf numFmtId="0" fontId="19" fillId="0" borderId="7" xfId="1540" applyFont="1" applyBorder="1" applyAlignment="1">
      <alignment horizontal="justify" vertical="center" wrapText="1"/>
    </xf>
    <xf numFmtId="0" fontId="29" fillId="3" borderId="8" xfId="1540" applyFont="1" applyFill="1" applyBorder="1" applyAlignment="1">
      <alignment horizontal="center" vertical="center" wrapText="1"/>
    </xf>
    <xf numFmtId="0" fontId="19" fillId="3" borderId="8" xfId="1540" applyFont="1" applyFill="1" applyBorder="1" applyAlignment="1">
      <alignment horizontal="center" vertical="center" wrapText="1"/>
    </xf>
    <xf numFmtId="0" fontId="29" fillId="3" borderId="5" xfId="1540" applyFont="1" applyFill="1" applyBorder="1" applyAlignment="1">
      <alignment horizontal="center" vertical="center" wrapText="1"/>
    </xf>
    <xf numFmtId="0" fontId="19" fillId="3" borderId="5" xfId="1540" applyFont="1" applyFill="1" applyBorder="1" applyAlignment="1">
      <alignment horizontal="center" vertical="center" wrapText="1"/>
    </xf>
    <xf numFmtId="0" fontId="23" fillId="0" borderId="1" xfId="1540" applyFont="1" applyBorder="1" applyAlignment="1">
      <alignment horizontal="center" vertical="center" wrapText="1"/>
    </xf>
    <xf numFmtId="0" fontId="33" fillId="3" borderId="1" xfId="1540" applyFont="1" applyFill="1" applyBorder="1" applyAlignment="1">
      <alignment horizontal="center" vertical="center" wrapText="1"/>
    </xf>
    <xf numFmtId="0" fontId="33" fillId="0" borderId="1" xfId="1540" applyFont="1" applyBorder="1" applyAlignment="1">
      <alignment horizontal="center" vertical="center" wrapText="1"/>
    </xf>
    <xf numFmtId="0" fontId="21" fillId="0" borderId="1" xfId="1540" applyFont="1" applyBorder="1" applyAlignment="1">
      <alignment horizontal="center" vertical="center" wrapText="1"/>
    </xf>
    <xf numFmtId="0" fontId="33" fillId="0" borderId="1" xfId="1540" applyFont="1" applyBorder="1" applyAlignment="1">
      <alignment vertical="center" wrapText="1"/>
    </xf>
    <xf numFmtId="3" fontId="33" fillId="0" borderId="1" xfId="1540" applyNumberFormat="1" applyFont="1" applyBorder="1" applyAlignment="1">
      <alignment horizontal="center" vertical="center" wrapText="1"/>
    </xf>
    <xf numFmtId="3" fontId="21" fillId="0" borderId="1" xfId="1540" applyNumberFormat="1" applyFont="1" applyBorder="1" applyAlignment="1">
      <alignment horizontal="center" vertical="center" wrapText="1"/>
    </xf>
    <xf numFmtId="0" fontId="0" fillId="42" borderId="1" xfId="1540" applyFont="1" applyFill="1" applyBorder="1"/>
    <xf numFmtId="0" fontId="0" fillId="45" borderId="1" xfId="1540" applyFont="1" applyFill="1" applyBorder="1"/>
    <xf numFmtId="0" fontId="0" fillId="0" borderId="1" xfId="1540" applyFont="1" applyBorder="1" applyAlignment="1">
      <alignment horizontal="right"/>
    </xf>
    <xf numFmtId="169" fontId="0" fillId="0" borderId="1" xfId="1540" applyNumberFormat="1" applyFont="1" applyBorder="1" applyAlignment="1">
      <alignment horizontal="right"/>
    </xf>
    <xf numFmtId="0" fontId="0" fillId="0" borderId="0" xfId="1540" applyFont="1" applyBorder="1" applyAlignment="1"/>
    <xf numFmtId="0" fontId="0" fillId="16" borderId="1" xfId="1540" applyFont="1" applyFill="1" applyBorder="1"/>
    <xf numFmtId="0" fontId="0" fillId="44" borderId="1" xfId="1540" applyFont="1" applyFill="1" applyBorder="1"/>
    <xf numFmtId="168" fontId="0" fillId="16" borderId="1" xfId="1540" applyNumberFormat="1" applyFont="1" applyFill="1" applyBorder="1"/>
    <xf numFmtId="169" fontId="0" fillId="0" borderId="1" xfId="1540" applyNumberFormat="1" applyFont="1" applyBorder="1"/>
    <xf numFmtId="168" fontId="0" fillId="44" borderId="1" xfId="1540" applyNumberFormat="1" applyFont="1" applyFill="1" applyBorder="1"/>
    <xf numFmtId="169" fontId="0" fillId="16" borderId="1" xfId="1540" applyNumberFormat="1" applyFont="1" applyFill="1" applyBorder="1"/>
    <xf numFmtId="168" fontId="0" fillId="0" borderId="1" xfId="1540" applyNumberFormat="1" applyFont="1" applyBorder="1"/>
    <xf numFmtId="169" fontId="0" fillId="0" borderId="0" xfId="1540" applyNumberFormat="1" applyFont="1" applyBorder="1"/>
    <xf numFmtId="9" fontId="0" fillId="0" borderId="1" xfId="1540" applyNumberFormat="1" applyFont="1" applyBorder="1"/>
    <xf numFmtId="169" fontId="0" fillId="16" borderId="1" xfId="1540" applyNumberFormat="1" applyFont="1" applyFill="1" applyBorder="1"/>
    <xf numFmtId="168" fontId="0" fillId="42" borderId="1" xfId="1540" applyNumberFormat="1" applyFont="1" applyFill="1" applyBorder="1"/>
    <xf numFmtId="168" fontId="43" fillId="0" borderId="1" xfId="2" applyBorder="1" applyProtection="1"/>
    <xf numFmtId="168" fontId="0" fillId="0" borderId="0" xfId="1540" applyNumberFormat="1" applyFont="1"/>
    <xf numFmtId="169" fontId="0" fillId="42" borderId="1" xfId="1540" applyNumberFormat="1" applyFont="1" applyFill="1" applyBorder="1"/>
    <xf numFmtId="0" fontId="0" fillId="42" borderId="1" xfId="1540" applyFont="1" applyFill="1" applyBorder="1" applyAlignment="1">
      <alignment horizontal="right"/>
    </xf>
    <xf numFmtId="0" fontId="0" fillId="40" borderId="1" xfId="1540" applyFont="1" applyFill="1" applyBorder="1"/>
    <xf numFmtId="0" fontId="35" fillId="0" borderId="0" xfId="1540" applyFont="1"/>
    <xf numFmtId="0" fontId="35" fillId="0" borderId="0" xfId="1540" applyFont="1" applyAlignment="1">
      <alignment wrapText="1"/>
    </xf>
    <xf numFmtId="0" fontId="3" fillId="47" borderId="1" xfId="1540" applyFont="1" applyFill="1" applyBorder="1" applyAlignment="1">
      <alignment horizontal="center"/>
    </xf>
    <xf numFmtId="0" fontId="3" fillId="47" borderId="1" xfId="1540" applyFont="1" applyFill="1" applyBorder="1" applyAlignment="1">
      <alignment horizontal="center"/>
    </xf>
    <xf numFmtId="0" fontId="3" fillId="47" borderId="0" xfId="1540" applyFont="1" applyFill="1" applyAlignment="1">
      <alignment horizontal="center"/>
    </xf>
    <xf numFmtId="0" fontId="0" fillId="0" borderId="0" xfId="1540" applyFont="1" applyAlignment="1">
      <alignment horizontal="center"/>
    </xf>
    <xf numFmtId="0" fontId="0" fillId="0" borderId="1" xfId="1540" applyFont="1" applyBorder="1" applyAlignment="1">
      <alignment horizontal="center"/>
    </xf>
    <xf numFmtId="3" fontId="0" fillId="0" borderId="1" xfId="1540" applyNumberFormat="1" applyFont="1" applyBorder="1" applyAlignment="1">
      <alignment horizontal="center"/>
    </xf>
    <xf numFmtId="3" fontId="36" fillId="0" borderId="1" xfId="1540" applyNumberFormat="1" applyFont="1" applyBorder="1" applyAlignment="1">
      <alignment horizontal="center" wrapText="1"/>
    </xf>
    <xf numFmtId="0" fontId="0" fillId="0" borderId="0" xfId="1540" applyFont="1" applyAlignment="1">
      <alignment horizontal="left"/>
    </xf>
    <xf numFmtId="0" fontId="0" fillId="0" borderId="1" xfId="1540" applyFont="1" applyBorder="1" applyAlignment="1">
      <alignment horizontal="center"/>
    </xf>
    <xf numFmtId="0" fontId="35" fillId="0" borderId="1" xfId="1540" applyFont="1" applyBorder="1" applyAlignment="1">
      <alignment horizontal="center"/>
    </xf>
    <xf numFmtId="0" fontId="35" fillId="0" borderId="1" xfId="1540" applyFont="1" applyBorder="1"/>
    <xf numFmtId="0" fontId="37" fillId="47" borderId="1" xfId="1540" applyFont="1" applyFill="1" applyBorder="1" applyAlignment="1">
      <alignment horizontal="center"/>
    </xf>
    <xf numFmtId="0" fontId="38" fillId="47" borderId="1" xfId="1540" applyFont="1" applyFill="1" applyBorder="1" applyAlignment="1">
      <alignment horizontal="center"/>
    </xf>
    <xf numFmtId="0" fontId="35" fillId="0" borderId="0" xfId="1540" applyFont="1" applyAlignment="1">
      <alignment wrapText="1"/>
    </xf>
    <xf numFmtId="0" fontId="3" fillId="47" borderId="1" xfId="1540" applyFont="1" applyFill="1" applyBorder="1" applyAlignment="1">
      <alignment horizontal="left"/>
    </xf>
    <xf numFmtId="0" fontId="39" fillId="0" borderId="1" xfId="1540" applyFont="1" applyBorder="1" applyAlignment="1">
      <alignment horizontal="center"/>
    </xf>
    <xf numFmtId="3" fontId="35" fillId="0" borderId="1" xfId="1540" applyNumberFormat="1" applyFont="1" applyBorder="1" applyAlignment="1">
      <alignment horizontal="center"/>
    </xf>
    <xf numFmtId="3" fontId="35" fillId="45" borderId="1" xfId="1540" applyNumberFormat="1" applyFont="1" applyFill="1" applyBorder="1" applyAlignment="1">
      <alignment horizontal="center"/>
    </xf>
    <xf numFmtId="4" fontId="35" fillId="0" borderId="1" xfId="1540" applyNumberFormat="1" applyFont="1" applyBorder="1" applyAlignment="1">
      <alignment horizontal="center"/>
    </xf>
    <xf numFmtId="172" fontId="35" fillId="45" borderId="1" xfId="1540" applyNumberFormat="1" applyFont="1" applyFill="1" applyBorder="1" applyAlignment="1">
      <alignment horizontal="center"/>
    </xf>
    <xf numFmtId="168" fontId="35" fillId="0" borderId="0" xfId="2" applyFont="1" applyBorder="1" applyProtection="1"/>
    <xf numFmtId="4" fontId="35" fillId="45" borderId="1" xfId="1540" applyNumberFormat="1" applyFont="1" applyFill="1" applyBorder="1" applyAlignment="1">
      <alignment horizontal="center"/>
    </xf>
    <xf numFmtId="0" fontId="35" fillId="0" borderId="1" xfId="1540" applyFont="1" applyBorder="1" applyAlignment="1">
      <alignment horizontal="center"/>
    </xf>
    <xf numFmtId="0" fontId="0" fillId="0" borderId="0" xfId="1540" applyFont="1" applyAlignment="1">
      <alignment vertical="top"/>
    </xf>
    <xf numFmtId="0" fontId="0" fillId="39" borderId="1" xfId="1540" applyFont="1" applyFill="1" applyBorder="1" applyAlignment="1">
      <alignment wrapText="1"/>
    </xf>
    <xf numFmtId="0" fontId="0" fillId="0" borderId="1" xfId="1540" applyFont="1" applyBorder="1" applyAlignment="1">
      <alignment wrapText="1"/>
    </xf>
    <xf numFmtId="171" fontId="0" fillId="0" borderId="1" xfId="1" applyNumberFormat="1" applyFont="1" applyBorder="1" applyAlignment="1" applyProtection="1"/>
    <xf numFmtId="0" fontId="0" fillId="0" borderId="1" xfId="1540" applyFont="1" applyBorder="1" applyAlignment="1">
      <alignment wrapText="1"/>
    </xf>
    <xf numFmtId="168" fontId="0" fillId="0" borderId="1" xfId="1540" applyNumberFormat="1" applyFont="1" applyBorder="1"/>
    <xf numFmtId="0" fontId="0" fillId="0" borderId="1" xfId="1540" applyFont="1" applyBorder="1" applyAlignment="1">
      <alignment horizontal="right"/>
    </xf>
    <xf numFmtId="171" fontId="0" fillId="0" borderId="1" xfId="1540" applyNumberFormat="1" applyFont="1" applyBorder="1" applyAlignment="1">
      <alignment horizontal="right"/>
    </xf>
    <xf numFmtId="3" fontId="0" fillId="0" borderId="1" xfId="1540" applyNumberFormat="1" applyFont="1" applyBorder="1"/>
    <xf numFmtId="173" fontId="2" fillId="0" borderId="1" xfId="1" applyNumberFormat="1" applyFont="1" applyBorder="1" applyAlignment="1" applyProtection="1">
      <alignment horizontal="right"/>
    </xf>
    <xf numFmtId="168" fontId="0" fillId="0" borderId="1" xfId="2" applyFont="1" applyBorder="1" applyAlignment="1" applyProtection="1">
      <alignment horizontal="right"/>
    </xf>
    <xf numFmtId="171" fontId="0" fillId="0" borderId="1" xfId="1" applyNumberFormat="1" applyFont="1" applyBorder="1" applyAlignment="1" applyProtection="1">
      <alignment horizontal="right"/>
    </xf>
    <xf numFmtId="168" fontId="2" fillId="0" borderId="1" xfId="2" applyFont="1" applyBorder="1" applyAlignment="1" applyProtection="1">
      <alignment horizontal="right"/>
    </xf>
    <xf numFmtId="0" fontId="25" fillId="0" borderId="1" xfId="1540" applyFont="1" applyBorder="1" applyAlignment="1">
      <alignment wrapText="1"/>
    </xf>
    <xf numFmtId="171" fontId="25" fillId="0" borderId="1" xfId="1" applyNumberFormat="1" applyFont="1" applyBorder="1" applyAlignment="1" applyProtection="1">
      <alignment horizontal="right"/>
    </xf>
    <xf numFmtId="0" fontId="40" fillId="0" borderId="0" xfId="1540" applyFont="1"/>
    <xf numFmtId="168" fontId="0" fillId="0" borderId="1" xfId="1540" applyNumberFormat="1" applyFont="1" applyBorder="1" applyAlignment="1">
      <alignment horizontal="right"/>
    </xf>
    <xf numFmtId="0" fontId="0" fillId="48" borderId="1" xfId="1540" applyFont="1" applyFill="1" applyBorder="1" applyAlignment="1">
      <alignment wrapText="1"/>
    </xf>
    <xf numFmtId="171" fontId="0" fillId="48" borderId="1" xfId="1" applyNumberFormat="1" applyFont="1" applyFill="1" applyBorder="1" applyAlignment="1" applyProtection="1">
      <alignment horizontal="right"/>
    </xf>
    <xf numFmtId="0" fontId="0" fillId="0" borderId="1" xfId="1540" applyFont="1" applyBorder="1" applyAlignment="1">
      <alignment horizontal="right" wrapText="1"/>
    </xf>
    <xf numFmtId="168" fontId="0" fillId="0" borderId="1" xfId="2" applyFont="1" applyBorder="1" applyAlignment="1" applyProtection="1">
      <alignment horizontal="right" wrapText="1"/>
    </xf>
    <xf numFmtId="168" fontId="0" fillId="0" borderId="1" xfId="2" applyFont="1" applyBorder="1" applyProtection="1"/>
    <xf numFmtId="167" fontId="0" fillId="0" borderId="1" xfId="1" applyFont="1" applyBorder="1" applyAlignment="1" applyProtection="1">
      <alignment horizontal="right"/>
    </xf>
    <xf numFmtId="168" fontId="2" fillId="0" borderId="1" xfId="2" applyFont="1" applyBorder="1" applyAlignment="1" applyProtection="1">
      <alignment horizontal="right"/>
    </xf>
    <xf numFmtId="169" fontId="43" fillId="0" borderId="1" xfId="2" applyNumberFormat="1" applyBorder="1" applyProtection="1"/>
    <xf numFmtId="169" fontId="25" fillId="0" borderId="1" xfId="2" applyNumberFormat="1" applyFont="1" applyBorder="1" applyProtection="1"/>
    <xf numFmtId="2" fontId="25" fillId="0" borderId="1" xfId="1540" applyNumberFormat="1" applyFont="1" applyBorder="1"/>
    <xf numFmtId="0" fontId="11" fillId="0" borderId="0" xfId="1540" applyFont="1"/>
    <xf numFmtId="1" fontId="0" fillId="0" borderId="1" xfId="1540" applyNumberFormat="1" applyFont="1" applyBorder="1"/>
    <xf numFmtId="168" fontId="0" fillId="0" borderId="1" xfId="1540" applyNumberFormat="1" applyFont="1" applyBorder="1"/>
    <xf numFmtId="2" fontId="25" fillId="0" borderId="1" xfId="1540" applyNumberFormat="1" applyFont="1" applyBorder="1"/>
    <xf numFmtId="2" fontId="0" fillId="0" borderId="1" xfId="1540" applyNumberFormat="1" applyFont="1" applyBorder="1"/>
    <xf numFmtId="0" fontId="0" fillId="49" borderId="0" xfId="1540" applyFont="1" applyFill="1"/>
    <xf numFmtId="0" fontId="0" fillId="49" borderId="1" xfId="1540" applyFont="1" applyFill="1" applyBorder="1"/>
    <xf numFmtId="166" fontId="0" fillId="0" borderId="1" xfId="1540" applyNumberFormat="1" applyFont="1" applyBorder="1"/>
    <xf numFmtId="169" fontId="25" fillId="0" borderId="1" xfId="1540" applyNumberFormat="1" applyFont="1" applyBorder="1"/>
    <xf numFmtId="169" fontId="0" fillId="0" borderId="1" xfId="1540" applyNumberFormat="1" applyFont="1" applyBorder="1"/>
    <xf numFmtId="166" fontId="0" fillId="0" borderId="1" xfId="1540" applyNumberFormat="1" applyFont="1" applyBorder="1"/>
    <xf numFmtId="0" fontId="0" fillId="50" borderId="1" xfId="1540" applyFont="1" applyFill="1" applyBorder="1"/>
    <xf numFmtId="169" fontId="0" fillId="0" borderId="1" xfId="1540" applyNumberFormat="1" applyFont="1" applyBorder="1"/>
    <xf numFmtId="174" fontId="0" fillId="0" borderId="1" xfId="1540" applyNumberFormat="1" applyFont="1" applyBorder="1"/>
    <xf numFmtId="0" fontId="0" fillId="51" borderId="1" xfId="1540" applyFont="1" applyFill="1" applyBorder="1"/>
    <xf numFmtId="169" fontId="0" fillId="51" borderId="1" xfId="1540" applyNumberFormat="1" applyFont="1" applyFill="1" applyBorder="1"/>
    <xf numFmtId="0" fontId="0" fillId="0" borderId="0" xfId="1540" applyFont="1" applyBorder="1"/>
    <xf numFmtId="169" fontId="0" fillId="0" borderId="0" xfId="1540" applyNumberFormat="1" applyFont="1" applyBorder="1"/>
    <xf numFmtId="0" fontId="0" fillId="39" borderId="1" xfId="1540" applyFont="1" applyFill="1" applyBorder="1"/>
    <xf numFmtId="2" fontId="0" fillId="0" borderId="1" xfId="1540" applyNumberFormat="1" applyFont="1" applyBorder="1"/>
    <xf numFmtId="1" fontId="0" fillId="42" borderId="1" xfId="1540" applyNumberFormat="1" applyFont="1" applyFill="1" applyBorder="1" applyAlignment="1">
      <alignment horizontal="right"/>
    </xf>
    <xf numFmtId="166" fontId="0" fillId="51" borderId="1" xfId="1540" applyNumberFormat="1" applyFont="1" applyFill="1" applyBorder="1"/>
    <xf numFmtId="169" fontId="0" fillId="0" borderId="1" xfId="1540" applyNumberFormat="1" applyFont="1" applyBorder="1" applyAlignment="1">
      <alignment vertical="center"/>
    </xf>
    <xf numFmtId="2" fontId="0" fillId="51" borderId="1" xfId="1540" applyNumberFormat="1" applyFont="1" applyFill="1" applyBorder="1"/>
    <xf numFmtId="1" fontId="0" fillId="42" borderId="1" xfId="1540" applyNumberFormat="1" applyFont="1" applyFill="1" applyBorder="1"/>
    <xf numFmtId="0" fontId="0" fillId="0" borderId="0" xfId="1540" applyFont="1" applyBorder="1" applyAlignment="1">
      <alignment horizontal="center"/>
    </xf>
    <xf numFmtId="1" fontId="0" fillId="0" borderId="1" xfId="1540" applyNumberFormat="1" applyFont="1" applyBorder="1"/>
    <xf numFmtId="1" fontId="25" fillId="0" borderId="1" xfId="1540" applyNumberFormat="1" applyFont="1" applyBorder="1"/>
    <xf numFmtId="2" fontId="41" fillId="0" borderId="0" xfId="1540" applyNumberFormat="1" applyFont="1"/>
    <xf numFmtId="4" fontId="0" fillId="0" borderId="1" xfId="1540" applyNumberFormat="1" applyFont="1" applyBorder="1"/>
    <xf numFmtId="0" fontId="0" fillId="0" borderId="0" xfId="1540" applyFont="1" applyBorder="1"/>
    <xf numFmtId="0" fontId="2" fillId="0" borderId="1" xfId="1540" applyFont="1" applyBorder="1"/>
    <xf numFmtId="0" fontId="8" fillId="0" borderId="1" xfId="1540" applyFont="1" applyBorder="1"/>
    <xf numFmtId="0" fontId="25" fillId="0" borderId="0" xfId="1540" applyFont="1" applyBorder="1"/>
    <xf numFmtId="0" fontId="25" fillId="0" borderId="0" xfId="1540" applyFont="1"/>
    <xf numFmtId="0" fontId="0" fillId="0" borderId="9" xfId="1540" applyFont="1" applyBorder="1" applyAlignment="1">
      <alignment wrapText="1"/>
    </xf>
    <xf numFmtId="0" fontId="0" fillId="0" borderId="10" xfId="1540" applyFont="1" applyBorder="1" applyAlignment="1">
      <alignment wrapText="1"/>
    </xf>
    <xf numFmtId="0" fontId="0" fillId="0" borderId="11" xfId="1540" applyFont="1" applyBorder="1"/>
    <xf numFmtId="0" fontId="0" fillId="0" borderId="11" xfId="1540" applyFont="1" applyBorder="1" applyAlignment="1">
      <alignment wrapText="1"/>
    </xf>
    <xf numFmtId="2" fontId="0" fillId="0" borderId="6" xfId="1540" applyNumberFormat="1" applyFont="1" applyBorder="1" applyAlignment="1">
      <alignment wrapText="1"/>
    </xf>
    <xf numFmtId="2" fontId="0" fillId="0" borderId="10" xfId="1540" applyNumberFormat="1" applyFont="1" applyBorder="1" applyAlignment="1">
      <alignment wrapText="1"/>
    </xf>
    <xf numFmtId="2" fontId="0" fillId="0" borderId="1" xfId="1540" applyNumberFormat="1" applyFont="1" applyBorder="1" applyAlignment="1">
      <alignment wrapText="1"/>
    </xf>
    <xf numFmtId="0" fontId="0" fillId="0" borderId="10" xfId="1540" applyFont="1" applyBorder="1"/>
    <xf numFmtId="0" fontId="0" fillId="0" borderId="12" xfId="1540" applyFont="1" applyBorder="1"/>
    <xf numFmtId="0" fontId="0" fillId="0" borderId="10" xfId="1540" applyFont="1" applyBorder="1" applyAlignment="1">
      <alignment wrapText="1"/>
    </xf>
    <xf numFmtId="0" fontId="0" fillId="0" borderId="12" xfId="1540" applyFont="1" applyBorder="1" applyAlignment="1">
      <alignment wrapText="1"/>
    </xf>
    <xf numFmtId="0" fontId="0" fillId="0" borderId="10" xfId="1540" applyFont="1" applyBorder="1"/>
    <xf numFmtId="0" fontId="0" fillId="0" borderId="12" xfId="1540" applyFont="1" applyBorder="1"/>
    <xf numFmtId="2" fontId="0" fillId="0" borderId="6" xfId="1540" applyNumberFormat="1" applyFont="1" applyBorder="1"/>
    <xf numFmtId="0" fontId="0" fillId="0" borderId="12" xfId="1540" applyFont="1" applyBorder="1" applyAlignment="1">
      <alignment wrapText="1"/>
    </xf>
    <xf numFmtId="0" fontId="0" fillId="0" borderId="14" xfId="1540" applyFont="1" applyBorder="1"/>
    <xf numFmtId="2" fontId="0" fillId="0" borderId="15" xfId="1540" applyNumberFormat="1" applyFont="1" applyBorder="1"/>
    <xf numFmtId="2" fontId="0" fillId="0" borderId="15" xfId="1540" applyNumberFormat="1" applyFont="1" applyBorder="1"/>
    <xf numFmtId="0" fontId="0" fillId="0" borderId="16" xfId="1540" applyFont="1" applyBorder="1"/>
    <xf numFmtId="0" fontId="0" fillId="0" borderId="7" xfId="1540" applyFont="1" applyBorder="1"/>
    <xf numFmtId="2" fontId="0" fillId="0" borderId="15" xfId="1540" applyNumberFormat="1" applyFont="1" applyBorder="1"/>
    <xf numFmtId="0" fontId="0" fillId="0" borderId="3" xfId="1540" applyFont="1" applyBorder="1"/>
    <xf numFmtId="0" fontId="0" fillId="0" borderId="0" xfId="1540" applyFont="1" applyBorder="1" applyAlignment="1"/>
    <xf numFmtId="0" fontId="2" fillId="0" borderId="20" xfId="1540" applyFont="1" applyBorder="1"/>
    <xf numFmtId="0" fontId="35" fillId="0" borderId="3" xfId="1540" applyFont="1" applyBorder="1" applyAlignment="1">
      <alignment wrapText="1"/>
    </xf>
    <xf numFmtId="0" fontId="0" fillId="0" borderId="9" xfId="1540" applyFont="1" applyBorder="1" applyAlignment="1">
      <alignment wrapText="1"/>
    </xf>
    <xf numFmtId="0" fontId="0" fillId="0" borderId="3" xfId="1540" applyFont="1" applyBorder="1" applyAlignment="1">
      <alignment wrapText="1"/>
    </xf>
    <xf numFmtId="0" fontId="0" fillId="0" borderId="5" xfId="1540" applyFont="1" applyBorder="1"/>
    <xf numFmtId="175" fontId="0" fillId="0" borderId="16" xfId="1540" applyNumberFormat="1" applyFont="1" applyBorder="1"/>
    <xf numFmtId="2" fontId="0" fillId="0" borderId="7" xfId="1540" applyNumberFormat="1" applyFont="1" applyBorder="1"/>
    <xf numFmtId="2" fontId="0" fillId="0" borderId="6" xfId="1540" applyNumberFormat="1" applyFont="1" applyBorder="1"/>
    <xf numFmtId="0" fontId="0" fillId="0" borderId="3" xfId="1540" applyFont="1" applyBorder="1"/>
    <xf numFmtId="0" fontId="0" fillId="0" borderId="7" xfId="1540" applyFont="1" applyBorder="1"/>
    <xf numFmtId="0" fontId="0" fillId="0" borderId="15" xfId="1540" applyFont="1" applyBorder="1"/>
    <xf numFmtId="176" fontId="0" fillId="0" borderId="6" xfId="1540" applyNumberFormat="1" applyFont="1" applyBorder="1"/>
    <xf numFmtId="0" fontId="0" fillId="0" borderId="6" xfId="1540" applyFont="1" applyBorder="1" applyAlignment="1">
      <alignment wrapText="1"/>
    </xf>
    <xf numFmtId="0" fontId="0" fillId="0" borderId="0" xfId="1540" applyFont="1" applyBorder="1" applyAlignment="1">
      <alignment wrapText="1"/>
    </xf>
    <xf numFmtId="0" fontId="0" fillId="0" borderId="15" xfId="1540" applyFont="1" applyBorder="1"/>
    <xf numFmtId="0" fontId="0" fillId="0" borderId="8" xfId="1540" applyFont="1" applyBorder="1"/>
    <xf numFmtId="167" fontId="0" fillId="0" borderId="1" xfId="1" applyFont="1" applyBorder="1" applyAlignment="1" applyProtection="1"/>
    <xf numFmtId="0" fontId="0" fillId="0" borderId="8" xfId="1540" applyFont="1" applyBorder="1"/>
    <xf numFmtId="0" fontId="42" fillId="0" borderId="0" xfId="1540" applyFont="1" applyBorder="1" applyAlignment="1">
      <alignment horizontal="center"/>
    </xf>
    <xf numFmtId="0" fontId="2" fillId="34" borderId="0" xfId="1540" applyFont="1" applyFill="1" applyAlignment="1">
      <alignment horizontal="center" vertical="top" wrapText="1"/>
    </xf>
    <xf numFmtId="0" fontId="0" fillId="0" borderId="1" xfId="1540" applyFont="1" applyBorder="1" applyAlignment="1">
      <alignment horizontal="center"/>
    </xf>
    <xf numFmtId="0" fontId="0" fillId="0" borderId="3" xfId="1540" applyFont="1" applyBorder="1" applyAlignment="1">
      <alignment horizontal="center"/>
    </xf>
    <xf numFmtId="0" fontId="0" fillId="0" borderId="6" xfId="1540" applyFont="1" applyBorder="1" applyAlignment="1">
      <alignment horizontal="right"/>
    </xf>
    <xf numFmtId="0" fontId="0" fillId="52" borderId="0" xfId="0" applyFont="1" applyFill="1" applyBorder="1" applyAlignment="1">
      <alignment horizontal="center" vertical="top" wrapText="1"/>
    </xf>
    <xf numFmtId="1" fontId="46" fillId="0" borderId="0" xfId="0" applyNumberFormat="1" applyFont="1"/>
    <xf numFmtId="1" fontId="46" fillId="53" borderId="0" xfId="0" applyNumberFormat="1" applyFont="1" applyFill="1"/>
    <xf numFmtId="0" fontId="47" fillId="34" borderId="0" xfId="1540" applyFont="1" applyFill="1" applyAlignment="1">
      <alignment horizontal="center" vertical="top" wrapText="1"/>
    </xf>
    <xf numFmtId="1" fontId="48" fillId="0" borderId="0" xfId="1540" applyNumberFormat="1" applyFont="1"/>
    <xf numFmtId="1" fontId="48" fillId="34" borderId="0" xfId="1540" applyNumberFormat="1" applyFont="1" applyFill="1"/>
    <xf numFmtId="1" fontId="48" fillId="36" borderId="0" xfId="1540" applyNumberFormat="1" applyFont="1" applyFill="1"/>
    <xf numFmtId="1" fontId="0" fillId="0" borderId="0" xfId="0" applyNumberFormat="1"/>
    <xf numFmtId="10" fontId="0" fillId="0" borderId="1" xfId="1540" applyNumberFormat="1" applyFont="1" applyBorder="1"/>
    <xf numFmtId="9" fontId="0" fillId="42" borderId="1" xfId="1540" applyNumberFormat="1" applyFont="1" applyFill="1" applyBorder="1"/>
    <xf numFmtId="0" fontId="0" fillId="0" borderId="1" xfId="0" applyFont="1" applyBorder="1"/>
    <xf numFmtId="0" fontId="0" fillId="54" borderId="1" xfId="0" applyFill="1" applyBorder="1"/>
    <xf numFmtId="0" fontId="5" fillId="0" borderId="0" xfId="0" applyFont="1"/>
    <xf numFmtId="0" fontId="0" fillId="0" borderId="0" xfId="0" applyBorder="1"/>
    <xf numFmtId="0" fontId="49" fillId="0" borderId="1" xfId="0" applyFont="1" applyBorder="1" applyAlignment="1">
      <alignment horizontal="center" vertical="center"/>
    </xf>
    <xf numFmtId="0" fontId="49" fillId="0" borderId="1" xfId="0" applyFont="1" applyBorder="1" applyAlignment="1">
      <alignment horizontal="center" vertical="center" wrapText="1"/>
    </xf>
    <xf numFmtId="0" fontId="0" fillId="0" borderId="0" xfId="0" applyBorder="1" applyAlignment="1"/>
    <xf numFmtId="0" fontId="49" fillId="0" borderId="1" xfId="0" applyFont="1" applyBorder="1" applyAlignment="1"/>
    <xf numFmtId="175" fontId="0" fillId="0" borderId="1" xfId="0" applyNumberFormat="1" applyBorder="1"/>
    <xf numFmtId="0" fontId="49" fillId="0" borderId="1" xfId="0" applyFont="1" applyBorder="1"/>
    <xf numFmtId="0" fontId="0" fillId="0" borderId="1" xfId="0" applyBorder="1"/>
    <xf numFmtId="0" fontId="49" fillId="0" borderId="0" xfId="0" applyFont="1" applyBorder="1" applyAlignment="1"/>
    <xf numFmtId="175" fontId="0" fillId="0" borderId="0" xfId="0" applyNumberFormat="1" applyBorder="1"/>
    <xf numFmtId="4" fontId="53" fillId="0" borderId="1" xfId="0" applyNumberFormat="1" applyFont="1" applyBorder="1" applyAlignment="1">
      <alignment horizontal="center" vertical="center" wrapText="1"/>
    </xf>
    <xf numFmtId="0" fontId="53" fillId="0" borderId="1" xfId="0" applyFont="1" applyBorder="1" applyAlignment="1">
      <alignment horizontal="center" vertical="center" wrapText="1"/>
    </xf>
    <xf numFmtId="0" fontId="54" fillId="0" borderId="1" xfId="0" applyFont="1" applyBorder="1" applyAlignment="1">
      <alignment horizontal="left" vertical="center"/>
    </xf>
    <xf numFmtId="166" fontId="55" fillId="0" borderId="1" xfId="0" applyNumberFormat="1" applyFont="1" applyBorder="1" applyAlignment="1">
      <alignment horizontal="right"/>
    </xf>
    <xf numFmtId="166" fontId="54" fillId="55" borderId="1" xfId="0" applyNumberFormat="1" applyFont="1" applyFill="1" applyBorder="1" applyAlignment="1">
      <alignment horizontal="right"/>
    </xf>
    <xf numFmtId="175" fontId="54" fillId="55" borderId="1" xfId="0" applyNumberFormat="1" applyFont="1" applyFill="1" applyBorder="1" applyAlignment="1">
      <alignment horizontal="right"/>
    </xf>
    <xf numFmtId="166" fontId="52" fillId="55" borderId="1" xfId="0" applyNumberFormat="1" applyFont="1" applyFill="1" applyBorder="1" applyAlignment="1">
      <alignment horizontal="right"/>
    </xf>
    <xf numFmtId="0" fontId="52" fillId="56" borderId="1" xfId="0" applyFont="1" applyFill="1" applyBorder="1" applyAlignment="1">
      <alignment horizontal="left" vertical="center"/>
    </xf>
    <xf numFmtId="166" fontId="52" fillId="56" borderId="1" xfId="0" applyNumberFormat="1" applyFont="1" applyFill="1" applyBorder="1" applyAlignment="1">
      <alignment horizontal="right"/>
    </xf>
    <xf numFmtId="0" fontId="52" fillId="0" borderId="12" xfId="0" applyFont="1" applyBorder="1" applyAlignment="1">
      <alignment horizontal="left" vertical="center"/>
    </xf>
    <xf numFmtId="166" fontId="52" fillId="0" borderId="12" xfId="0" applyNumberFormat="1" applyFont="1" applyBorder="1" applyAlignment="1">
      <alignment horizontal="right"/>
    </xf>
    <xf numFmtId="1" fontId="46" fillId="0" borderId="0" xfId="0" applyNumberFormat="1" applyFont="1" applyFill="1"/>
    <xf numFmtId="0" fontId="55" fillId="0" borderId="1" xfId="0" applyFont="1" applyBorder="1" applyAlignment="1">
      <alignment horizontal="left" vertical="center"/>
    </xf>
    <xf numFmtId="1" fontId="55" fillId="0" borderId="1" xfId="0" applyNumberFormat="1" applyFont="1" applyBorder="1" applyAlignment="1">
      <alignment horizontal="right"/>
    </xf>
    <xf numFmtId="166" fontId="51" fillId="0" borderId="1" xfId="0" applyNumberFormat="1" applyFont="1" applyBorder="1" applyAlignment="1">
      <alignment horizontal="right"/>
    </xf>
    <xf numFmtId="166" fontId="55" fillId="0" borderId="1" xfId="0" quotePrefix="1" applyNumberFormat="1" applyFont="1" applyBorder="1" applyAlignment="1">
      <alignment horizontal="right"/>
    </xf>
    <xf numFmtId="176" fontId="55" fillId="0" borderId="1" xfId="0" applyNumberFormat="1" applyFont="1" applyBorder="1" applyAlignment="1">
      <alignment horizontal="right"/>
    </xf>
    <xf numFmtId="176" fontId="52" fillId="0" borderId="12" xfId="0" applyNumberFormat="1" applyFont="1" applyBorder="1" applyAlignment="1">
      <alignment horizontal="right"/>
    </xf>
    <xf numFmtId="175" fontId="52" fillId="0" borderId="12" xfId="0" applyNumberFormat="1" applyFont="1" applyBorder="1" applyAlignment="1">
      <alignment horizontal="right"/>
    </xf>
    <xf numFmtId="166" fontId="0" fillId="0" borderId="0" xfId="0" applyNumberFormat="1"/>
    <xf numFmtId="0" fontId="10" fillId="33" borderId="0" xfId="0" applyFont="1" applyFill="1" applyAlignment="1">
      <alignment horizontal="center" vertical="center"/>
    </xf>
    <xf numFmtId="9" fontId="0" fillId="44" borderId="1" xfId="1540" applyNumberFormat="1" applyFont="1" applyFill="1" applyBorder="1"/>
    <xf numFmtId="10" fontId="0" fillId="42" borderId="1" xfId="1540" applyNumberFormat="1" applyFont="1" applyFill="1" applyBorder="1"/>
    <xf numFmtId="0" fontId="0" fillId="38" borderId="0" xfId="1540" applyFont="1" applyFill="1" applyBorder="1" applyAlignment="1">
      <alignment horizontal="center"/>
    </xf>
    <xf numFmtId="0" fontId="5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77" fontId="0" fillId="0" borderId="1" xfId="0" applyNumberFormat="1" applyBorder="1"/>
    <xf numFmtId="0" fontId="58" fillId="0" borderId="12" xfId="1540" applyFont="1" applyBorder="1" applyAlignment="1">
      <alignment horizontal="center"/>
    </xf>
    <xf numFmtId="171" fontId="35" fillId="0" borderId="1" xfId="1" applyNumberFormat="1" applyFont="1" applyBorder="1" applyAlignment="1" applyProtection="1"/>
    <xf numFmtId="168" fontId="35" fillId="0" borderId="1" xfId="2" applyFont="1" applyBorder="1" applyProtection="1"/>
    <xf numFmtId="171" fontId="35" fillId="0" borderId="1" xfId="1540" applyNumberFormat="1" applyFont="1" applyBorder="1"/>
    <xf numFmtId="0" fontId="35" fillId="57" borderId="1" xfId="1540" applyFont="1" applyFill="1" applyBorder="1" applyAlignment="1">
      <alignment horizontal="center"/>
    </xf>
    <xf numFmtId="0" fontId="35" fillId="58" borderId="1" xfId="1540" applyFont="1" applyFill="1" applyBorder="1" applyAlignment="1">
      <alignment horizontal="center"/>
    </xf>
    <xf numFmtId="1" fontId="0" fillId="0" borderId="11" xfId="1540" applyNumberFormat="1" applyFon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59" fillId="57" borderId="1" xfId="1540" applyFont="1" applyFill="1" applyBorder="1" applyAlignment="1">
      <alignment wrapText="1"/>
    </xf>
    <xf numFmtId="0" fontId="59" fillId="0" borderId="1" xfId="0" applyFont="1" applyBorder="1" applyAlignment="1">
      <alignment wrapText="1"/>
    </xf>
    <xf numFmtId="0" fontId="57" fillId="0" borderId="1" xfId="1540" applyFont="1" applyBorder="1"/>
    <xf numFmtId="0" fontId="59" fillId="0" borderId="0" xfId="0" applyFont="1" applyBorder="1" applyAlignment="1">
      <alignment wrapText="1"/>
    </xf>
    <xf numFmtId="3" fontId="0" fillId="0" borderId="11" xfId="1540" applyNumberFormat="1" applyFont="1" applyBorder="1"/>
    <xf numFmtId="2" fontId="0" fillId="0" borderId="11" xfId="1540" applyNumberFormat="1" applyFont="1" applyBorder="1"/>
    <xf numFmtId="168" fontId="43" fillId="0" borderId="11" xfId="2" applyBorder="1" applyProtection="1"/>
    <xf numFmtId="0" fontId="60" fillId="0" borderId="1" xfId="0" applyFont="1" applyBorder="1"/>
    <xf numFmtId="0" fontId="60" fillId="0" borderId="0" xfId="0" applyFont="1" applyBorder="1"/>
    <xf numFmtId="0" fontId="0" fillId="57" borderId="1" xfId="1540" applyFont="1" applyFill="1" applyBorder="1" applyAlignment="1">
      <alignment wrapText="1"/>
    </xf>
    <xf numFmtId="166" fontId="0" fillId="0" borderId="11" xfId="1540" applyNumberFormat="1" applyFont="1" applyBorder="1"/>
    <xf numFmtId="0" fontId="61" fillId="0" borderId="1" xfId="0" applyFont="1" applyBorder="1"/>
    <xf numFmtId="0" fontId="61" fillId="0" borderId="0" xfId="0" applyFont="1" applyBorder="1"/>
    <xf numFmtId="0" fontId="0" fillId="58" borderId="1" xfId="1540" applyFont="1" applyFill="1" applyBorder="1"/>
    <xf numFmtId="0" fontId="0" fillId="58" borderId="0" xfId="0" applyFill="1"/>
    <xf numFmtId="0" fontId="61" fillId="58" borderId="1" xfId="0" applyFont="1" applyFill="1" applyBorder="1"/>
    <xf numFmtId="0" fontId="63" fillId="0" borderId="1" xfId="0" applyFont="1" applyBorder="1" applyAlignment="1">
      <alignment horizontal="right"/>
    </xf>
    <xf numFmtId="2" fontId="0" fillId="58" borderId="1" xfId="1540" applyNumberFormat="1" applyFont="1" applyFill="1" applyBorder="1"/>
    <xf numFmtId="0" fontId="61" fillId="0" borderId="1" xfId="1540" applyFont="1" applyBorder="1"/>
    <xf numFmtId="0" fontId="61" fillId="57" borderId="1" xfId="1540" applyFont="1" applyFill="1" applyBorder="1"/>
    <xf numFmtId="0" fontId="56" fillId="0" borderId="0" xfId="1540" applyFont="1" applyBorder="1" applyAlignment="1">
      <alignment horizontal="center"/>
    </xf>
    <xf numFmtId="0" fontId="0" fillId="0" borderId="1" xfId="1540" applyFont="1" applyFill="1" applyBorder="1"/>
    <xf numFmtId="2" fontId="0" fillId="0" borderId="1" xfId="0" applyNumberFormat="1" applyBorder="1"/>
    <xf numFmtId="2" fontId="57" fillId="0" borderId="1" xfId="1540" applyNumberFormat="1" applyFont="1" applyBorder="1"/>
    <xf numFmtId="1" fontId="57" fillId="0" borderId="1" xfId="1540" applyNumberFormat="1" applyFont="1" applyBorder="1"/>
    <xf numFmtId="0" fontId="0" fillId="0" borderId="0" xfId="0" applyBorder="1" applyAlignment="1">
      <alignment horizontal="center"/>
    </xf>
    <xf numFmtId="0" fontId="64" fillId="0" borderId="1" xfId="1540" applyFont="1" applyBorder="1"/>
    <xf numFmtId="168" fontId="57" fillId="0" borderId="1" xfId="2" applyFont="1" applyBorder="1" applyProtection="1"/>
    <xf numFmtId="168" fontId="57" fillId="0" borderId="11" xfId="2" applyFont="1" applyBorder="1" applyProtection="1"/>
    <xf numFmtId="0" fontId="57" fillId="0" borderId="11" xfId="1540" applyFont="1" applyBorder="1"/>
    <xf numFmtId="169" fontId="57" fillId="0" borderId="1" xfId="1540" applyNumberFormat="1" applyFont="1" applyBorder="1"/>
    <xf numFmtId="169" fontId="57" fillId="0" borderId="11" xfId="1540" applyNumberFormat="1" applyFont="1" applyBorder="1"/>
    <xf numFmtId="171" fontId="25" fillId="57" borderId="1" xfId="1" applyNumberFormat="1" applyFont="1" applyFill="1" applyBorder="1" applyAlignment="1" applyProtection="1">
      <alignment horizontal="right"/>
    </xf>
    <xf numFmtId="171" fontId="0" fillId="57" borderId="1" xfId="1" applyNumberFormat="1" applyFont="1" applyFill="1" applyBorder="1" applyAlignment="1" applyProtection="1">
      <alignment horizontal="right"/>
    </xf>
    <xf numFmtId="0" fontId="7" fillId="0" borderId="0" xfId="3"/>
    <xf numFmtId="0" fontId="57" fillId="3" borderId="1" xfId="1540" applyFont="1" applyFill="1" applyBorder="1"/>
    <xf numFmtId="0" fontId="66" fillId="3" borderId="1" xfId="3" applyFont="1" applyFill="1" applyBorder="1" applyAlignment="1" applyProtection="1"/>
    <xf numFmtId="0" fontId="0" fillId="60" borderId="0" xfId="1540" applyFont="1" applyFill="1" applyBorder="1" applyAlignment="1"/>
    <xf numFmtId="0" fontId="0" fillId="39" borderId="1" xfId="1540" applyFont="1" applyFill="1" applyBorder="1" applyAlignment="1"/>
    <xf numFmtId="1" fontId="0" fillId="0" borderId="3" xfId="1540" applyNumberFormat="1" applyFont="1" applyBorder="1"/>
    <xf numFmtId="3" fontId="57" fillId="0" borderId="1" xfId="1540" applyNumberFormat="1" applyFont="1" applyBorder="1"/>
    <xf numFmtId="0" fontId="0" fillId="61" borderId="0" xfId="0" applyFill="1"/>
    <xf numFmtId="0" fontId="0" fillId="62" borderId="0" xfId="0" applyFill="1"/>
    <xf numFmtId="0" fontId="0" fillId="63" borderId="0" xfId="0" applyFill="1"/>
    <xf numFmtId="168" fontId="0" fillId="51" borderId="1" xfId="1540" applyNumberFormat="1" applyFont="1" applyFill="1" applyBorder="1"/>
    <xf numFmtId="0" fontId="0" fillId="0" borderId="0" xfId="1540" applyFont="1" applyFill="1" applyBorder="1"/>
    <xf numFmtId="0" fontId="56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1540" applyFont="1" applyFill="1"/>
    <xf numFmtId="0" fontId="0" fillId="59" borderId="0" xfId="0" applyFill="1"/>
    <xf numFmtId="0" fontId="56" fillId="59" borderId="0" xfId="0" applyFont="1" applyFill="1" applyAlignment="1">
      <alignment horizontal="center"/>
    </xf>
    <xf numFmtId="0" fontId="0" fillId="59" borderId="0" xfId="1540" applyFont="1" applyFill="1" applyBorder="1"/>
    <xf numFmtId="0" fontId="0" fillId="59" borderId="0" xfId="1540" applyFont="1" applyFill="1" applyBorder="1" applyAlignment="1">
      <alignment horizontal="center"/>
    </xf>
    <xf numFmtId="10" fontId="0" fillId="59" borderId="0" xfId="1540" applyNumberFormat="1" applyFont="1" applyFill="1" applyBorder="1"/>
    <xf numFmtId="9" fontId="0" fillId="59" borderId="0" xfId="1540" applyNumberFormat="1" applyFont="1" applyFill="1" applyBorder="1"/>
    <xf numFmtId="0" fontId="56" fillId="59" borderId="0" xfId="0" applyFont="1" applyFill="1" applyBorder="1" applyAlignment="1">
      <alignment horizontal="center"/>
    </xf>
    <xf numFmtId="0" fontId="0" fillId="59" borderId="0" xfId="1540" applyFont="1" applyFill="1" applyBorder="1" applyAlignment="1"/>
    <xf numFmtId="0" fontId="0" fillId="59" borderId="0" xfId="1540" applyFont="1" applyFill="1"/>
    <xf numFmtId="168" fontId="0" fillId="59" borderId="0" xfId="1540" applyNumberFormat="1" applyFont="1" applyFill="1"/>
    <xf numFmtId="0" fontId="0" fillId="64" borderId="0" xfId="0" applyFill="1"/>
    <xf numFmtId="168" fontId="43" fillId="0" borderId="1" xfId="2" applyBorder="1"/>
    <xf numFmtId="9" fontId="0" fillId="0" borderId="1" xfId="0" applyNumberFormat="1" applyBorder="1"/>
    <xf numFmtId="168" fontId="0" fillId="0" borderId="0" xfId="0" applyNumberFormat="1"/>
    <xf numFmtId="0" fontId="0" fillId="0" borderId="0" xfId="0"/>
    <xf numFmtId="0" fontId="0" fillId="0" borderId="11" xfId="0" applyFont="1" applyBorder="1"/>
    <xf numFmtId="0" fontId="0" fillId="0" borderId="12" xfId="0" applyFont="1" applyBorder="1"/>
    <xf numFmtId="0" fontId="0" fillId="0" borderId="3" xfId="0" applyFont="1" applyBorder="1"/>
    <xf numFmtId="0" fontId="0" fillId="0" borderId="0" xfId="0"/>
    <xf numFmtId="0" fontId="0" fillId="0" borderId="1" xfId="1540" applyFont="1" applyFill="1" applyBorder="1" applyAlignment="1">
      <alignment horizontal="center"/>
    </xf>
    <xf numFmtId="10" fontId="0" fillId="0" borderId="1" xfId="1540" applyNumberFormat="1" applyFont="1" applyFill="1" applyBorder="1"/>
    <xf numFmtId="9" fontId="0" fillId="0" borderId="1" xfId="1540" applyNumberFormat="1" applyFont="1" applyFill="1" applyBorder="1"/>
    <xf numFmtId="0" fontId="0" fillId="0" borderId="0" xfId="0"/>
    <xf numFmtId="178" fontId="0" fillId="0" borderId="3" xfId="1540" applyNumberFormat="1" applyFont="1" applyBorder="1"/>
    <xf numFmtId="2" fontId="46" fillId="0" borderId="0" xfId="0" applyNumberFormat="1" applyFont="1" applyFill="1"/>
    <xf numFmtId="175" fontId="55" fillId="0" borderId="1" xfId="0" applyNumberFormat="1" applyFont="1" applyBorder="1" applyAlignment="1">
      <alignment horizontal="right"/>
    </xf>
    <xf numFmtId="0" fontId="110" fillId="75" borderId="28" xfId="7784" applyFont="1" applyFill="1" applyBorder="1"/>
    <xf numFmtId="166" fontId="86" fillId="0" borderId="28" xfId="7784" applyNumberFormat="1" applyFont="1" applyBorder="1"/>
    <xf numFmtId="0" fontId="110" fillId="58" borderId="0" xfId="7784" applyFont="1" applyFill="1"/>
    <xf numFmtId="0" fontId="111" fillId="52" borderId="28" xfId="7784" applyFont="1" applyFill="1" applyBorder="1"/>
    <xf numFmtId="0" fontId="110" fillId="76" borderId="28" xfId="7784" applyFont="1" applyFill="1" applyBorder="1"/>
    <xf numFmtId="0" fontId="110" fillId="77" borderId="28" xfId="7784" applyFont="1" applyFill="1" applyBorder="1"/>
    <xf numFmtId="0" fontId="110" fillId="78" borderId="28" xfId="7784" applyFont="1" applyFill="1" applyBorder="1"/>
    <xf numFmtId="0" fontId="112" fillId="59" borderId="28" xfId="7784" applyFont="1" applyFill="1" applyBorder="1"/>
    <xf numFmtId="0" fontId="112" fillId="58" borderId="0" xfId="7784" applyFont="1" applyFill="1"/>
    <xf numFmtId="9" fontId="92" fillId="58" borderId="28" xfId="7809" applyFont="1" applyFill="1" applyBorder="1" applyAlignment="1">
      <alignment horizontal="center"/>
    </xf>
    <xf numFmtId="0" fontId="111" fillId="79" borderId="28" xfId="7784" applyFont="1" applyFill="1" applyBorder="1"/>
    <xf numFmtId="9" fontId="94" fillId="58" borderId="28" xfId="7809" applyFont="1" applyFill="1" applyBorder="1" applyAlignment="1">
      <alignment horizontal="center"/>
    </xf>
    <xf numFmtId="166" fontId="87" fillId="0" borderId="28" xfId="7784" applyNumberFormat="1" applyFont="1" applyBorder="1"/>
    <xf numFmtId="0" fontId="111" fillId="80" borderId="28" xfId="7784" applyFont="1" applyFill="1" applyBorder="1"/>
    <xf numFmtId="0" fontId="110" fillId="82" borderId="28" xfId="7784" applyFont="1" applyFill="1" applyBorder="1"/>
    <xf numFmtId="0" fontId="109" fillId="58" borderId="0" xfId="7784" applyFont="1" applyFill="1"/>
    <xf numFmtId="0" fontId="114" fillId="80" borderId="28" xfId="7784" applyFont="1" applyFill="1" applyBorder="1"/>
    <xf numFmtId="9" fontId="106" fillId="59" borderId="28" xfId="7809" applyFont="1" applyFill="1" applyBorder="1" applyAlignment="1">
      <alignment horizontal="center"/>
    </xf>
    <xf numFmtId="3" fontId="85" fillId="81" borderId="28" xfId="7784" applyNumberFormat="1" applyFont="1" applyFill="1" applyBorder="1"/>
    <xf numFmtId="0" fontId="176" fillId="0" borderId="0" xfId="0" applyFont="1"/>
    <xf numFmtId="9" fontId="0" fillId="0" borderId="0" xfId="0" applyNumberFormat="1"/>
    <xf numFmtId="10" fontId="0" fillId="0" borderId="0" xfId="0" applyNumberFormat="1"/>
    <xf numFmtId="168" fontId="35" fillId="140" borderId="1" xfId="2" applyFont="1" applyFill="1" applyBorder="1" applyProtection="1"/>
    <xf numFmtId="2" fontId="0" fillId="140" borderId="1" xfId="1540" applyNumberFormat="1" applyFont="1" applyFill="1" applyBorder="1"/>
    <xf numFmtId="0" fontId="97" fillId="73" borderId="0" xfId="9898" applyFont="1" applyFill="1"/>
    <xf numFmtId="0" fontId="98" fillId="73" borderId="0" xfId="9898" applyFont="1" applyFill="1" applyAlignment="1">
      <alignment horizontal="center"/>
    </xf>
    <xf numFmtId="0" fontId="100" fillId="73" borderId="0" xfId="9898" applyFont="1" applyFill="1"/>
    <xf numFmtId="0" fontId="101" fillId="58" borderId="0" xfId="9898" applyFont="1" applyFill="1"/>
    <xf numFmtId="0" fontId="90" fillId="58" borderId="0" xfId="9898" applyFont="1" applyFill="1"/>
    <xf numFmtId="0" fontId="88" fillId="58" borderId="0" xfId="9898" applyFont="1" applyFill="1" applyAlignment="1">
      <alignment horizontal="left"/>
    </xf>
    <xf numFmtId="0" fontId="102" fillId="58" borderId="0" xfId="9898" applyFont="1" applyFill="1" applyAlignment="1">
      <alignment horizontal="left"/>
    </xf>
    <xf numFmtId="0" fontId="103" fillId="58" borderId="0" xfId="9898" applyFont="1" applyFill="1"/>
    <xf numFmtId="0" fontId="88" fillId="58" borderId="0" xfId="9898" applyFont="1" applyFill="1"/>
    <xf numFmtId="0" fontId="104" fillId="74" borderId="0" xfId="9898" applyFont="1" applyFill="1"/>
    <xf numFmtId="0" fontId="105" fillId="74" borderId="0" xfId="9898" applyFont="1" applyFill="1"/>
    <xf numFmtId="0" fontId="106" fillId="58" borderId="0" xfId="9898" applyFont="1" applyFill="1"/>
    <xf numFmtId="0" fontId="107" fillId="0" borderId="0" xfId="9898" applyFont="1" applyAlignment="1">
      <alignment horizontal="center" vertical="center" wrapText="1"/>
    </xf>
    <xf numFmtId="0" fontId="93" fillId="0" borderId="1" xfId="9898" applyFont="1" applyBorder="1" applyAlignment="1">
      <alignment horizontal="center"/>
    </xf>
    <xf numFmtId="0" fontId="94" fillId="58" borderId="0" xfId="9898" applyFont="1" applyFill="1" applyAlignment="1">
      <alignment horizontal="center" vertical="center"/>
    </xf>
    <xf numFmtId="0" fontId="109" fillId="58" borderId="1" xfId="9898" applyFont="1" applyFill="1" applyBorder="1" applyAlignment="1">
      <alignment horizontal="center" vertical="center" wrapText="1"/>
    </xf>
    <xf numFmtId="0" fontId="110" fillId="75" borderId="1" xfId="9898" applyFont="1" applyFill="1" applyBorder="1"/>
    <xf numFmtId="0" fontId="85" fillId="0" borderId="1" xfId="9898" applyFont="1" applyBorder="1"/>
    <xf numFmtId="166" fontId="86" fillId="0" borderId="1" xfId="9898" applyNumberFormat="1" applyFont="1" applyBorder="1"/>
    <xf numFmtId="0" fontId="110" fillId="58" borderId="0" xfId="9898" applyFont="1" applyFill="1"/>
    <xf numFmtId="9" fontId="94" fillId="58" borderId="1" xfId="7809" applyFont="1" applyFill="1" applyBorder="1" applyAlignment="1">
      <alignment horizontal="center"/>
    </xf>
    <xf numFmtId="0" fontId="110" fillId="52" borderId="1" xfId="9898" applyFont="1" applyFill="1" applyBorder="1"/>
    <xf numFmtId="0" fontId="111" fillId="52" borderId="1" xfId="9898" applyFont="1" applyFill="1" applyBorder="1"/>
    <xf numFmtId="0" fontId="110" fillId="76" borderId="1" xfId="9898" applyFont="1" applyFill="1" applyBorder="1"/>
    <xf numFmtId="0" fontId="110" fillId="77" borderId="1" xfId="9898" applyFont="1" applyFill="1" applyBorder="1"/>
    <xf numFmtId="0" fontId="110" fillId="78" borderId="1" xfId="9898" applyFont="1" applyFill="1" applyBorder="1"/>
    <xf numFmtId="0" fontId="110" fillId="79" borderId="1" xfId="9898" applyFont="1" applyFill="1" applyBorder="1"/>
    <xf numFmtId="0" fontId="111" fillId="79" borderId="1" xfId="9898" applyFont="1" applyFill="1" applyBorder="1"/>
    <xf numFmtId="0" fontId="112" fillId="59" borderId="1" xfId="9898" applyFont="1" applyFill="1" applyBorder="1"/>
    <xf numFmtId="0" fontId="113" fillId="0" borderId="1" xfId="9898" applyFont="1" applyBorder="1"/>
    <xf numFmtId="166" fontId="87" fillId="0" borderId="1" xfId="9898" applyNumberFormat="1" applyFont="1" applyBorder="1"/>
    <xf numFmtId="0" fontId="112" fillId="58" borderId="0" xfId="9898" applyFont="1" applyFill="1"/>
    <xf numFmtId="9" fontId="92" fillId="58" borderId="1" xfId="7809" applyFont="1" applyFill="1" applyBorder="1" applyAlignment="1">
      <alignment horizontal="center"/>
    </xf>
    <xf numFmtId="0" fontId="110" fillId="80" borderId="1" xfId="9898" applyFont="1" applyFill="1" applyBorder="1"/>
    <xf numFmtId="0" fontId="85" fillId="81" borderId="1" xfId="9898" applyFont="1" applyFill="1" applyBorder="1"/>
    <xf numFmtId="3" fontId="85" fillId="81" borderId="1" xfId="9898" applyNumberFormat="1" applyFont="1" applyFill="1" applyBorder="1"/>
    <xf numFmtId="0" fontId="111" fillId="80" borderId="1" xfId="9898" applyFont="1" applyFill="1" applyBorder="1"/>
    <xf numFmtId="9" fontId="106" fillId="59" borderId="1" xfId="7809" applyFont="1" applyFill="1" applyBorder="1" applyAlignment="1">
      <alignment horizontal="center"/>
    </xf>
    <xf numFmtId="0" fontId="110" fillId="82" borderId="1" xfId="9898" applyFont="1" applyFill="1" applyBorder="1"/>
    <xf numFmtId="0" fontId="109" fillId="80" borderId="1" xfId="9898" applyFont="1" applyFill="1" applyBorder="1"/>
    <xf numFmtId="0" fontId="109" fillId="58" borderId="0" xfId="9898" applyFont="1" applyFill="1"/>
    <xf numFmtId="0" fontId="114" fillId="80" borderId="1" xfId="9898" applyFont="1" applyFill="1" applyBorder="1"/>
    <xf numFmtId="0" fontId="104" fillId="58" borderId="0" xfId="9898" applyFont="1" applyFill="1"/>
    <xf numFmtId="0" fontId="117" fillId="0" borderId="0" xfId="9898" applyFont="1" applyAlignment="1">
      <alignment horizontal="center"/>
    </xf>
    <xf numFmtId="0" fontId="105" fillId="58" borderId="0" xfId="9898" applyFont="1" applyFill="1"/>
    <xf numFmtId="0" fontId="91" fillId="0" borderId="0" xfId="9898" applyFont="1" applyAlignment="1">
      <alignment horizontal="center"/>
    </xf>
    <xf numFmtId="3" fontId="86" fillId="0" borderId="1" xfId="9898" applyNumberFormat="1" applyFont="1" applyBorder="1"/>
    <xf numFmtId="0" fontId="91" fillId="0" borderId="0" xfId="9898" applyFont="1" applyAlignment="1">
      <alignment horizontal="right"/>
    </xf>
    <xf numFmtId="0" fontId="0" fillId="57" borderId="1" xfId="1540" applyFont="1" applyFill="1" applyBorder="1"/>
    <xf numFmtId="166" fontId="0" fillId="58" borderId="1" xfId="1540" applyNumberFormat="1" applyFont="1" applyFill="1" applyBorder="1"/>
    <xf numFmtId="0" fontId="0" fillId="141" borderId="1" xfId="1540" applyFont="1" applyFill="1" applyBorder="1"/>
    <xf numFmtId="1" fontId="0" fillId="141" borderId="1" xfId="1540" applyNumberFormat="1" applyFont="1" applyFill="1" applyBorder="1" applyAlignment="1">
      <alignment horizontal="right"/>
    </xf>
    <xf numFmtId="166" fontId="0" fillId="141" borderId="1" xfId="1540" applyNumberFormat="1" applyFont="1" applyFill="1" applyBorder="1"/>
    <xf numFmtId="0" fontId="0" fillId="142" borderId="1" xfId="0" applyFill="1" applyBorder="1"/>
    <xf numFmtId="1" fontId="0" fillId="142" borderId="1" xfId="0" applyNumberFormat="1" applyFill="1" applyBorder="1"/>
    <xf numFmtId="2" fontId="0" fillId="141" borderId="1" xfId="1540" applyNumberFormat="1" applyFont="1" applyFill="1" applyBorder="1"/>
    <xf numFmtId="1" fontId="86" fillId="0" borderId="1" xfId="9898" applyNumberFormat="1" applyFont="1" applyBorder="1"/>
    <xf numFmtId="165" fontId="86" fillId="0" borderId="1" xfId="9898" applyNumberFormat="1" applyFont="1" applyBorder="1"/>
    <xf numFmtId="0" fontId="0" fillId="0" borderId="0" xfId="0"/>
    <xf numFmtId="4" fontId="0" fillId="0" borderId="0" xfId="0" applyNumberFormat="1"/>
    <xf numFmtId="0" fontId="177" fillId="0" borderId="0" xfId="0" applyFont="1"/>
    <xf numFmtId="0" fontId="179" fillId="143" borderId="55" xfId="12130" applyFont="1" applyFill="1" applyBorder="1" applyAlignment="1">
      <alignment horizontal="left" vertical="center"/>
    </xf>
    <xf numFmtId="0" fontId="179" fillId="143" borderId="55" xfId="12130" applyFont="1" applyFill="1" applyBorder="1" applyAlignment="1">
      <alignment horizontal="center" vertical="center"/>
    </xf>
    <xf numFmtId="0" fontId="179" fillId="143" borderId="55" xfId="12130" applyFont="1" applyFill="1" applyBorder="1" applyAlignment="1">
      <alignment horizontal="center" vertical="center" wrapText="1"/>
    </xf>
    <xf numFmtId="0" fontId="180" fillId="0" borderId="1" xfId="0" applyFont="1" applyFill="1" applyBorder="1" applyAlignment="1">
      <alignment horizontal="left"/>
    </xf>
    <xf numFmtId="192" fontId="180" fillId="0" borderId="1" xfId="1" applyNumberFormat="1" applyFont="1" applyFill="1" applyBorder="1" applyAlignment="1">
      <alignment horizontal="center"/>
    </xf>
    <xf numFmtId="2" fontId="180" fillId="0" borderId="1" xfId="0" applyNumberFormat="1" applyFont="1" applyFill="1" applyBorder="1" applyAlignment="1">
      <alignment horizontal="center"/>
    </xf>
    <xf numFmtId="0" fontId="180" fillId="0" borderId="1" xfId="0" applyFont="1" applyFill="1" applyBorder="1"/>
    <xf numFmtId="168" fontId="180" fillId="0" borderId="1" xfId="2" applyFont="1" applyFill="1" applyBorder="1" applyAlignment="1">
      <alignment horizontal="center"/>
    </xf>
    <xf numFmtId="0" fontId="46" fillId="144" borderId="1" xfId="12131" applyFont="1" applyFill="1" applyBorder="1"/>
    <xf numFmtId="168" fontId="46" fillId="144" borderId="1" xfId="2" applyFont="1" applyFill="1" applyBorder="1" applyAlignment="1">
      <alignment horizontal="center"/>
    </xf>
    <xf numFmtId="0" fontId="0" fillId="0" borderId="8" xfId="0" applyBorder="1"/>
    <xf numFmtId="0" fontId="0" fillId="0" borderId="1" xfId="0" applyFill="1" applyBorder="1"/>
    <xf numFmtId="0" fontId="180" fillId="0" borderId="1" xfId="0" applyFont="1" applyFill="1" applyBorder="1" applyAlignment="1">
      <alignment horizontal="center"/>
    </xf>
    <xf numFmtId="0" fontId="180" fillId="145" borderId="1" xfId="0" applyFont="1" applyFill="1" applyBorder="1" applyAlignment="1">
      <alignment vertical="top"/>
    </xf>
    <xf numFmtId="9" fontId="180" fillId="145" borderId="1" xfId="0" applyNumberFormat="1" applyFont="1" applyFill="1" applyBorder="1" applyAlignment="1">
      <alignment horizontal="center" vertical="top"/>
    </xf>
    <xf numFmtId="0" fontId="181" fillId="0" borderId="1" xfId="0" applyFont="1" applyBorder="1" applyAlignment="1">
      <alignment horizontal="right" vertical="top"/>
    </xf>
    <xf numFmtId="9" fontId="181" fillId="0" borderId="1" xfId="0" applyNumberFormat="1" applyFont="1" applyBorder="1" applyAlignment="1">
      <alignment horizontal="center" vertical="top"/>
    </xf>
    <xf numFmtId="9" fontId="181" fillId="0" borderId="1" xfId="0" applyNumberFormat="1" applyFont="1" applyFill="1" applyBorder="1" applyAlignment="1">
      <alignment horizontal="center" vertical="top"/>
    </xf>
    <xf numFmtId="0" fontId="180" fillId="145" borderId="1" xfId="0" applyFont="1" applyFill="1" applyBorder="1"/>
    <xf numFmtId="9" fontId="180" fillId="145" borderId="1" xfId="0" applyNumberFormat="1" applyFont="1" applyFill="1" applyBorder="1" applyAlignment="1">
      <alignment horizontal="center"/>
    </xf>
    <xf numFmtId="0" fontId="181" fillId="0" borderId="1" xfId="0" applyFont="1" applyFill="1" applyBorder="1" applyAlignment="1">
      <alignment horizontal="right"/>
    </xf>
    <xf numFmtId="9" fontId="181" fillId="0" borderId="1" xfId="0" applyNumberFormat="1" applyFont="1" applyFill="1" applyBorder="1" applyAlignment="1">
      <alignment horizontal="center"/>
    </xf>
    <xf numFmtId="0" fontId="49" fillId="0" borderId="0" xfId="0" applyFont="1"/>
    <xf numFmtId="0" fontId="182" fillId="0" borderId="0" xfId="0" applyFont="1" applyFill="1"/>
    <xf numFmtId="0" fontId="182" fillId="0" borderId="0" xfId="0" applyFont="1" applyFill="1" applyAlignment="1">
      <alignment vertical="top"/>
    </xf>
    <xf numFmtId="0" fontId="180" fillId="0" borderId="0" xfId="0" applyFont="1" applyFill="1" applyAlignment="1">
      <alignment horizontal="center" vertical="top"/>
    </xf>
    <xf numFmtId="2" fontId="180" fillId="0" borderId="1" xfId="1" applyNumberFormat="1" applyFont="1" applyBorder="1" applyAlignment="1">
      <alignment horizontal="center" vertical="top"/>
    </xf>
    <xf numFmtId="167" fontId="43" fillId="0" borderId="1" xfId="1" applyBorder="1"/>
    <xf numFmtId="4" fontId="0" fillId="0" borderId="1" xfId="0" applyNumberFormat="1" applyBorder="1"/>
    <xf numFmtId="0" fontId="46" fillId="146" borderId="56" xfId="0" applyFont="1" applyFill="1" applyBorder="1" applyAlignment="1">
      <alignment horizontal="left" vertical="center"/>
    </xf>
    <xf numFmtId="0" fontId="183" fillId="146" borderId="56" xfId="0" applyFont="1" applyFill="1" applyBorder="1" applyAlignment="1">
      <alignment horizontal="center" vertical="center" wrapText="1"/>
    </xf>
    <xf numFmtId="3" fontId="46" fillId="0" borderId="56" xfId="0" applyNumberFormat="1" applyFont="1" applyFill="1" applyBorder="1" applyAlignment="1">
      <alignment horizontal="center" vertical="center"/>
    </xf>
    <xf numFmtId="0" fontId="46" fillId="0" borderId="55" xfId="0" applyFont="1" applyFill="1" applyBorder="1" applyAlignment="1">
      <alignment vertical="center"/>
    </xf>
    <xf numFmtId="0" fontId="184" fillId="0" borderId="1" xfId="0" applyFont="1" applyBorder="1"/>
    <xf numFmtId="167" fontId="46" fillId="0" borderId="56" xfId="1" applyFont="1" applyFill="1" applyBorder="1" applyAlignment="1">
      <alignment horizontal="center" vertical="center"/>
    </xf>
    <xf numFmtId="0" fontId="184" fillId="0" borderId="0" xfId="0" applyFont="1" applyBorder="1"/>
    <xf numFmtId="167" fontId="46" fillId="0" borderId="56" xfId="1" applyFont="1" applyFill="1" applyBorder="1" applyAlignment="1">
      <alignment vertical="center"/>
    </xf>
    <xf numFmtId="175" fontId="46" fillId="0" borderId="1" xfId="0" applyNumberFormat="1" applyFont="1" applyFill="1" applyBorder="1" applyAlignment="1">
      <alignment vertical="center"/>
    </xf>
    <xf numFmtId="3" fontId="46" fillId="0" borderId="55" xfId="0" applyNumberFormat="1" applyFont="1" applyFill="1" applyBorder="1" applyAlignment="1">
      <alignment vertical="center"/>
    </xf>
    <xf numFmtId="0" fontId="0" fillId="0" borderId="1" xfId="0" applyBorder="1" applyAlignment="1"/>
    <xf numFmtId="2" fontId="0" fillId="0" borderId="1" xfId="0" applyNumberFormat="1" applyBorder="1" applyAlignment="1"/>
    <xf numFmtId="193" fontId="0" fillId="0" borderId="0" xfId="0" applyNumberFormat="1"/>
    <xf numFmtId="0" fontId="0" fillId="0" borderId="0" xfId="0"/>
    <xf numFmtId="0" fontId="0" fillId="0" borderId="0" xfId="0"/>
    <xf numFmtId="0" fontId="18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56" fillId="0" borderId="0" xfId="0" applyFont="1" applyBorder="1" applyAlignment="1">
      <alignment horizontal="center" wrapText="1"/>
    </xf>
    <xf numFmtId="168" fontId="0" fillId="147" borderId="1" xfId="1540" applyNumberFormat="1" applyFont="1" applyFill="1" applyBorder="1"/>
    <xf numFmtId="0" fontId="0" fillId="148" borderId="0" xfId="0" applyFill="1"/>
    <xf numFmtId="0" fontId="0" fillId="148" borderId="1" xfId="0" applyFill="1" applyBorder="1"/>
    <xf numFmtId="1" fontId="0" fillId="148" borderId="1" xfId="0" applyNumberFormat="1" applyFill="1" applyBorder="1"/>
    <xf numFmtId="0" fontId="10" fillId="33" borderId="0" xfId="1540" applyFont="1" applyFill="1" applyBorder="1" applyAlignment="1">
      <alignment horizontal="center" vertical="center"/>
    </xf>
    <xf numFmtId="0" fontId="0" fillId="0" borderId="0" xfId="0"/>
    <xf numFmtId="0" fontId="68" fillId="0" borderId="0" xfId="0" applyFont="1"/>
    <xf numFmtId="0" fontId="67" fillId="0" borderId="0" xfId="0" applyFont="1" applyAlignment="1">
      <alignment horizontal="center"/>
    </xf>
    <xf numFmtId="0" fontId="52" fillId="0" borderId="8" xfId="0" applyFont="1" applyBorder="1" applyAlignment="1">
      <alignment horizontal="center" vertical="center" wrapText="1"/>
    </xf>
    <xf numFmtId="0" fontId="52" fillId="0" borderId="5" xfId="0" applyFont="1" applyBorder="1" applyAlignment="1">
      <alignment horizontal="center" vertical="center" wrapText="1"/>
    </xf>
    <xf numFmtId="0" fontId="52" fillId="0" borderId="11" xfId="0" applyFont="1" applyBorder="1" applyAlignment="1">
      <alignment horizontal="center" vertical="center" wrapText="1"/>
    </xf>
    <xf numFmtId="0" fontId="52" fillId="0" borderId="12" xfId="0" applyFont="1" applyBorder="1" applyAlignment="1">
      <alignment horizontal="center" vertical="center" wrapText="1"/>
    </xf>
    <xf numFmtId="0" fontId="52" fillId="0" borderId="3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/>
    </xf>
    <xf numFmtId="0" fontId="51" fillId="0" borderId="8" xfId="0" applyFont="1" applyBorder="1" applyAlignment="1">
      <alignment horizontal="center" vertical="center" wrapText="1"/>
    </xf>
    <xf numFmtId="0" fontId="51" fillId="0" borderId="5" xfId="0" applyFont="1" applyBorder="1" applyAlignment="1">
      <alignment horizontal="center" vertical="center" wrapText="1"/>
    </xf>
    <xf numFmtId="0" fontId="52" fillId="0" borderId="1" xfId="0" applyFont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 wrapText="1"/>
    </xf>
    <xf numFmtId="0" fontId="10" fillId="33" borderId="0" xfId="0" applyFont="1" applyFill="1" applyAlignment="1">
      <alignment horizontal="center" vertical="center"/>
    </xf>
    <xf numFmtId="0" fontId="42" fillId="33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40" borderId="6" xfId="1540" applyFont="1" applyFill="1" applyBorder="1" applyAlignment="1">
      <alignment horizontal="center"/>
    </xf>
    <xf numFmtId="0" fontId="0" fillId="0" borderId="1" xfId="1540" applyFont="1" applyBorder="1" applyAlignment="1">
      <alignment horizontal="center" wrapText="1"/>
    </xf>
    <xf numFmtId="0" fontId="0" fillId="38" borderId="0" xfId="1540" applyFont="1" applyFill="1" applyBorder="1" applyAlignment="1">
      <alignment horizontal="center"/>
    </xf>
    <xf numFmtId="0" fontId="56" fillId="0" borderId="11" xfId="1540" applyFont="1" applyBorder="1" applyAlignment="1">
      <alignment horizontal="center"/>
    </xf>
    <xf numFmtId="0" fontId="56" fillId="0" borderId="12" xfId="1540" applyFont="1" applyBorder="1" applyAlignment="1">
      <alignment horizontal="center"/>
    </xf>
    <xf numFmtId="0" fontId="56" fillId="0" borderId="3" xfId="1540" applyFont="1" applyBorder="1" applyAlignment="1">
      <alignment horizontal="center"/>
    </xf>
    <xf numFmtId="0" fontId="0" fillId="0" borderId="0" xfId="0" applyAlignment="1">
      <alignment horizontal="center"/>
    </xf>
    <xf numFmtId="0" fontId="0" fillId="39" borderId="1" xfId="1540" applyFont="1" applyFill="1" applyBorder="1" applyAlignment="1">
      <alignment horizontal="center"/>
    </xf>
    <xf numFmtId="0" fontId="0" fillId="40" borderId="1" xfId="1540" applyFont="1" applyFill="1" applyBorder="1" applyAlignment="1">
      <alignment horizontal="center"/>
    </xf>
    <xf numFmtId="0" fontId="56" fillId="0" borderId="1" xfId="0" applyFont="1" applyFill="1" applyBorder="1" applyAlignment="1">
      <alignment horizontal="center" wrapText="1"/>
    </xf>
    <xf numFmtId="0" fontId="67" fillId="40" borderId="0" xfId="1540" applyFont="1" applyFill="1" applyBorder="1" applyAlignment="1">
      <alignment horizontal="center"/>
    </xf>
    <xf numFmtId="0" fontId="56" fillId="58" borderId="1" xfId="0" applyFont="1" applyFill="1" applyBorder="1" applyAlignment="1">
      <alignment horizontal="center" wrapText="1"/>
    </xf>
    <xf numFmtId="0" fontId="0" fillId="39" borderId="11" xfId="1540" applyFont="1" applyFill="1" applyBorder="1" applyAlignment="1">
      <alignment horizontal="center"/>
    </xf>
    <xf numFmtId="0" fontId="0" fillId="39" borderId="12" xfId="1540" applyFont="1" applyFill="1" applyBorder="1" applyAlignment="1">
      <alignment horizontal="center"/>
    </xf>
    <xf numFmtId="0" fontId="0" fillId="39" borderId="3" xfId="1540" applyFont="1" applyFill="1" applyBorder="1" applyAlignment="1">
      <alignment horizontal="center"/>
    </xf>
    <xf numFmtId="0" fontId="56" fillId="0" borderId="0" xfId="0" applyFont="1" applyAlignment="1">
      <alignment horizontal="center"/>
    </xf>
    <xf numFmtId="0" fontId="56" fillId="0" borderId="22" xfId="0" applyFont="1" applyBorder="1" applyAlignment="1">
      <alignment horizontal="center"/>
    </xf>
    <xf numFmtId="0" fontId="35" fillId="0" borderId="0" xfId="1540" applyFont="1" applyAlignment="1">
      <alignment horizontal="center"/>
    </xf>
    <xf numFmtId="0" fontId="58" fillId="0" borderId="1" xfId="1540" applyFont="1" applyBorder="1" applyAlignment="1">
      <alignment horizontal="center"/>
    </xf>
    <xf numFmtId="0" fontId="0" fillId="38" borderId="0" xfId="1540" applyFont="1" applyFill="1" applyAlignment="1">
      <alignment horizontal="center" vertical="top"/>
    </xf>
    <xf numFmtId="0" fontId="0" fillId="38" borderId="12" xfId="1540" applyFont="1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180" fillId="0" borderId="1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56" fillId="0" borderId="11" xfId="0" applyFont="1" applyBorder="1" applyAlignment="1">
      <alignment horizontal="center"/>
    </xf>
    <xf numFmtId="0" fontId="56" fillId="0" borderId="12" xfId="0" applyFont="1" applyBorder="1" applyAlignment="1">
      <alignment horizontal="center"/>
    </xf>
    <xf numFmtId="0" fontId="56" fillId="0" borderId="3" xfId="0" applyFont="1" applyBorder="1" applyAlignment="1">
      <alignment horizontal="center"/>
    </xf>
    <xf numFmtId="0" fontId="56" fillId="0" borderId="1" xfId="0" applyFont="1" applyBorder="1" applyAlignment="1">
      <alignment horizontal="center"/>
    </xf>
    <xf numFmtId="0" fontId="62" fillId="0" borderId="0" xfId="0" applyFont="1" applyAlignment="1">
      <alignment horizontal="center" vertical="center"/>
    </xf>
    <xf numFmtId="0" fontId="0" fillId="40" borderId="0" xfId="1540" applyFont="1" applyFill="1" applyBorder="1" applyAlignment="1">
      <alignment horizontal="center"/>
    </xf>
    <xf numFmtId="0" fontId="0" fillId="50" borderId="0" xfId="1540" applyFont="1" applyFill="1" applyBorder="1" applyAlignment="1">
      <alignment horizontal="center"/>
    </xf>
    <xf numFmtId="0" fontId="56" fillId="142" borderId="1" xfId="0" applyFont="1" applyFill="1" applyBorder="1" applyAlignment="1">
      <alignment horizontal="center" wrapText="1"/>
    </xf>
    <xf numFmtId="0" fontId="56" fillId="148" borderId="1" xfId="0" applyFont="1" applyFill="1" applyBorder="1" applyAlignment="1">
      <alignment horizontal="center" wrapText="1"/>
    </xf>
    <xf numFmtId="0" fontId="56" fillId="0" borderId="1" xfId="0" applyFont="1" applyBorder="1" applyAlignment="1">
      <alignment horizontal="center" wrapText="1"/>
    </xf>
    <xf numFmtId="0" fontId="0" fillId="46" borderId="0" xfId="1540" applyFont="1" applyFill="1" applyBorder="1" applyAlignment="1">
      <alignment horizontal="center"/>
    </xf>
    <xf numFmtId="0" fontId="56" fillId="0" borderId="0" xfId="1540" applyFont="1" applyBorder="1" applyAlignment="1">
      <alignment horizontal="center"/>
    </xf>
    <xf numFmtId="0" fontId="0" fillId="0" borderId="4" xfId="1540" applyFont="1" applyBorder="1" applyAlignment="1">
      <alignment horizontal="center"/>
    </xf>
    <xf numFmtId="0" fontId="0" fillId="0" borderId="6" xfId="1540" applyFont="1" applyBorder="1" applyAlignment="1">
      <alignment horizontal="center"/>
    </xf>
    <xf numFmtId="0" fontId="0" fillId="40" borderId="13" xfId="1540" applyFont="1" applyFill="1" applyBorder="1" applyAlignment="1">
      <alignment horizontal="center"/>
    </xf>
    <xf numFmtId="0" fontId="0" fillId="0" borderId="15" xfId="1540" applyFont="1" applyBorder="1" applyAlignment="1">
      <alignment horizontal="center"/>
    </xf>
    <xf numFmtId="0" fontId="0" fillId="0" borderId="17" xfId="1540" applyFont="1" applyBorder="1" applyAlignment="1">
      <alignment horizontal="center"/>
    </xf>
    <xf numFmtId="0" fontId="0" fillId="0" borderId="18" xfId="1540" applyFont="1" applyBorder="1" applyAlignment="1">
      <alignment horizontal="center"/>
    </xf>
    <xf numFmtId="0" fontId="0" fillId="0" borderId="1" xfId="1540" applyFont="1" applyBorder="1" applyAlignment="1">
      <alignment horizontal="center"/>
    </xf>
    <xf numFmtId="0" fontId="0" fillId="0" borderId="12" xfId="1540" applyFont="1" applyBorder="1" applyAlignment="1">
      <alignment horizontal="center"/>
    </xf>
    <xf numFmtId="0" fontId="0" fillId="0" borderId="19" xfId="1540" applyFont="1" applyBorder="1" applyAlignment="1">
      <alignment horizontal="center"/>
    </xf>
    <xf numFmtId="0" fontId="0" fillId="45" borderId="4" xfId="1540" applyFont="1" applyFill="1" applyBorder="1" applyAlignment="1">
      <alignment horizontal="center"/>
    </xf>
    <xf numFmtId="0" fontId="0" fillId="40" borderId="21" xfId="1540" applyFont="1" applyFill="1" applyBorder="1" applyAlignment="1">
      <alignment horizontal="center"/>
    </xf>
    <xf numFmtId="0" fontId="56" fillId="0" borderId="1" xfId="1540" applyFont="1" applyBorder="1" applyAlignment="1">
      <alignment horizontal="center"/>
    </xf>
    <xf numFmtId="0" fontId="26" fillId="44" borderId="0" xfId="1540" applyFont="1" applyFill="1" applyBorder="1" applyAlignment="1">
      <alignment horizontal="center" vertical="center"/>
    </xf>
    <xf numFmtId="0" fontId="18" fillId="3" borderId="7" xfId="1540" applyFont="1" applyFill="1" applyBorder="1" applyAlignment="1">
      <alignment horizontal="center" vertical="center" wrapText="1"/>
    </xf>
    <xf numFmtId="0" fontId="19" fillId="0" borderId="1" xfId="1540" applyFont="1" applyBorder="1" applyAlignment="1">
      <alignment horizontal="center" vertical="center" wrapText="1"/>
    </xf>
    <xf numFmtId="0" fontId="34" fillId="0" borderId="1" xfId="1540" applyFont="1" applyBorder="1" applyAlignment="1">
      <alignment horizontal="center" vertical="center" wrapText="1"/>
    </xf>
    <xf numFmtId="0" fontId="89" fillId="58" borderId="0" xfId="9898" applyFont="1" applyFill="1" applyAlignment="1">
      <alignment horizontal="left"/>
    </xf>
    <xf numFmtId="0" fontId="88" fillId="58" borderId="0" xfId="9898" applyFont="1" applyFill="1" applyAlignment="1">
      <alignment horizontal="left"/>
    </xf>
    <xf numFmtId="167" fontId="43" fillId="0" borderId="1" xfId="1" applyBorder="1" applyAlignment="1">
      <alignment horizontal="center" vertical="center"/>
    </xf>
    <xf numFmtId="2" fontId="180" fillId="0" borderId="1" xfId="0" applyNumberFormat="1" applyFont="1" applyFill="1" applyBorder="1" applyAlignment="1">
      <alignment horizontal="center" vertical="center"/>
    </xf>
    <xf numFmtId="194" fontId="0" fillId="0" borderId="1" xfId="1" applyNumberFormat="1" applyFont="1" applyBorder="1"/>
    <xf numFmtId="0" fontId="0" fillId="149" borderId="57" xfId="0" applyFill="1" applyBorder="1" applyAlignment="1">
      <alignment horizontal="center"/>
    </xf>
    <xf numFmtId="2" fontId="0" fillId="0" borderId="0" xfId="0" applyNumberFormat="1"/>
  </cellXfs>
  <cellStyles count="12132">
    <cellStyle name="(min) Duizend,0" xfId="4"/>
    <cellStyle name="(min) Duizend,0 2" xfId="5"/>
    <cellStyle name="(min) Duizend,0 3" xfId="8208"/>
    <cellStyle name="=C:\WINNT35\SYSTEM32\COMMAND.COM" xfId="1098"/>
    <cellStyle name="=C:\WINNT35\SYSTEM32\COMMAND.COM 2" xfId="1099"/>
    <cellStyle name="=C:\WINNT35\SYSTEM32\COMMAND.COM 3" xfId="8209"/>
    <cellStyle name="20 % - Accent1 10" xfId="6"/>
    <cellStyle name="20 % - Accent1 10 2" xfId="7"/>
    <cellStyle name="20 % - Accent1 10 2 2" xfId="11613"/>
    <cellStyle name="20 % - Accent1 10 3" xfId="8210"/>
    <cellStyle name="20 % - Accent1 11" xfId="8"/>
    <cellStyle name="20 % - Accent1 11 2" xfId="9"/>
    <cellStyle name="20 % - Accent1 11 2 2" xfId="10"/>
    <cellStyle name="20 % - Accent1 11 2 2 2" xfId="11615"/>
    <cellStyle name="20 % - Accent1 11 2 3" xfId="8212"/>
    <cellStyle name="20 % - Accent1 11 3" xfId="11"/>
    <cellStyle name="20 % - Accent1 11 3 2" xfId="12"/>
    <cellStyle name="20 % - Accent1 11 3 2 2" xfId="11616"/>
    <cellStyle name="20 % - Accent1 11 3 3" xfId="8213"/>
    <cellStyle name="20 % - Accent1 11 4" xfId="13"/>
    <cellStyle name="20 % - Accent1 11 4 2" xfId="14"/>
    <cellStyle name="20 % - Accent1 11 4 2 2" xfId="11617"/>
    <cellStyle name="20 % - Accent1 11 4 3" xfId="8214"/>
    <cellStyle name="20 % - Accent1 11 5" xfId="15"/>
    <cellStyle name="20 % - Accent1 11 5 2" xfId="11614"/>
    <cellStyle name="20 % - Accent1 11 6" xfId="8211"/>
    <cellStyle name="20 % - Accent1 12" xfId="16"/>
    <cellStyle name="20 % - Accent1 12 2" xfId="17"/>
    <cellStyle name="20 % - Accent1 12 2 2" xfId="18"/>
    <cellStyle name="20 % - Accent1 12 2 2 2" xfId="11619"/>
    <cellStyle name="20 % - Accent1 12 2 3" xfId="8216"/>
    <cellStyle name="20 % - Accent1 12 3" xfId="19"/>
    <cellStyle name="20 % - Accent1 12 3 2" xfId="20"/>
    <cellStyle name="20 % - Accent1 12 3 2 2" xfId="11620"/>
    <cellStyle name="20 % - Accent1 12 3 3" xfId="8217"/>
    <cellStyle name="20 % - Accent1 12 4" xfId="21"/>
    <cellStyle name="20 % - Accent1 12 4 2" xfId="11618"/>
    <cellStyle name="20 % - Accent1 12 5" xfId="8215"/>
    <cellStyle name="20 % - Accent1 13" xfId="22"/>
    <cellStyle name="20 % - Accent1 13 2" xfId="23"/>
    <cellStyle name="20 % - Accent1 13 3" xfId="24"/>
    <cellStyle name="20 % - Accent1 13 4" xfId="8218"/>
    <cellStyle name="20 % - Accent1 14" xfId="25"/>
    <cellStyle name="20 % - Accent1 14 2" xfId="26"/>
    <cellStyle name="20 % - Accent1 14 3" xfId="27"/>
    <cellStyle name="20 % - Accent1 14 4" xfId="8219"/>
    <cellStyle name="20 % - Accent1 15" xfId="28"/>
    <cellStyle name="20 % - Accent1 15 2" xfId="29"/>
    <cellStyle name="20 % - Accent1 15 3" xfId="30"/>
    <cellStyle name="20 % - Accent1 15 4" xfId="8220"/>
    <cellStyle name="20 % - Accent1 2" xfId="31"/>
    <cellStyle name="20 % - Accent1 2 2" xfId="32"/>
    <cellStyle name="20 % - Accent1 2 2 2" xfId="33"/>
    <cellStyle name="20 % - Accent1 2 2 2 2" xfId="11538"/>
    <cellStyle name="20 % - Accent1 2 2 3" xfId="7816"/>
    <cellStyle name="20 % - Accent1 2 3" xfId="34"/>
    <cellStyle name="20 % - Accent1 2 3 2" xfId="35"/>
    <cellStyle name="20 % - Accent1 2 3 2 2" xfId="11621"/>
    <cellStyle name="20 % - Accent1 2 3 3" xfId="8221"/>
    <cellStyle name="20 % - Accent1 2 4" xfId="36"/>
    <cellStyle name="20 % - Accent1 2 4 2" xfId="37"/>
    <cellStyle name="20 % - Accent1 2 4 2 2" xfId="11622"/>
    <cellStyle name="20 % - Accent1 2 4 3" xfId="8222"/>
    <cellStyle name="20 % - Accent1 2 5" xfId="38"/>
    <cellStyle name="20 % - Accent1 2 5 2" xfId="11537"/>
    <cellStyle name="20 % - Accent1 2 6" xfId="7815"/>
    <cellStyle name="20 % - Accent1 3" xfId="39"/>
    <cellStyle name="20 % - Accent1 3 2" xfId="40"/>
    <cellStyle name="20 % - Accent1 3 2 2" xfId="41"/>
    <cellStyle name="20 % - Accent1 3 2 2 2" xfId="11623"/>
    <cellStyle name="20 % - Accent1 3 2 3" xfId="8223"/>
    <cellStyle name="20 % - Accent1 3 3" xfId="42"/>
    <cellStyle name="20 % - Accent1 3 3 2" xfId="43"/>
    <cellStyle name="20 % - Accent1 3 3 2 2" xfId="11624"/>
    <cellStyle name="20 % - Accent1 3 3 3" xfId="8224"/>
    <cellStyle name="20 % - Accent1 3 4" xfId="44"/>
    <cellStyle name="20 % - Accent1 3 4 2" xfId="45"/>
    <cellStyle name="20 % - Accent1 3 4 2 2" xfId="11625"/>
    <cellStyle name="20 % - Accent1 3 4 3" xfId="8225"/>
    <cellStyle name="20 % - Accent1 3 5" xfId="46"/>
    <cellStyle name="20 % - Accent1 3 5 2" xfId="11539"/>
    <cellStyle name="20 % - Accent1 3 6" xfId="7817"/>
    <cellStyle name="20 % - Accent1 4" xfId="47"/>
    <cellStyle name="20 % - Accent1 4 2" xfId="48"/>
    <cellStyle name="20 % - Accent1 4 2 2" xfId="49"/>
    <cellStyle name="20 % - Accent1 4 2 2 2" xfId="11626"/>
    <cellStyle name="20 % - Accent1 4 2 3" xfId="8226"/>
    <cellStyle name="20 % - Accent1 4 3" xfId="50"/>
    <cellStyle name="20 % - Accent1 4 3 2" xfId="51"/>
    <cellStyle name="20 % - Accent1 4 3 2 2" xfId="11627"/>
    <cellStyle name="20 % - Accent1 4 3 3" xfId="8227"/>
    <cellStyle name="20 % - Accent1 4 4" xfId="52"/>
    <cellStyle name="20 % - Accent1 4 4 2" xfId="53"/>
    <cellStyle name="20 % - Accent1 4 4 2 2" xfId="11628"/>
    <cellStyle name="20 % - Accent1 4 4 3" xfId="8228"/>
    <cellStyle name="20 % - Accent1 4 5" xfId="54"/>
    <cellStyle name="20 % - Accent1 4 5 2" xfId="11540"/>
    <cellStyle name="20 % - Accent1 4 6" xfId="7818"/>
    <cellStyle name="20 % - Accent1 5" xfId="55"/>
    <cellStyle name="20 % - Accent1 5 2" xfId="56"/>
    <cellStyle name="20 % - Accent1 5 2 2" xfId="57"/>
    <cellStyle name="20 % - Accent1 5 2 2 2" xfId="11629"/>
    <cellStyle name="20 % - Accent1 5 2 3" xfId="8229"/>
    <cellStyle name="20 % - Accent1 5 3" xfId="58"/>
    <cellStyle name="20 % - Accent1 5 3 2" xfId="11541"/>
    <cellStyle name="20 % - Accent1 5 4" xfId="7819"/>
    <cellStyle name="20 % - Accent1 6" xfId="59"/>
    <cellStyle name="20 % - Accent1 6 2" xfId="60"/>
    <cellStyle name="20 % - Accent1 6 2 2" xfId="61"/>
    <cellStyle name="20 % - Accent1 6 2 2 2" xfId="11631"/>
    <cellStyle name="20 % - Accent1 6 2 3" xfId="8231"/>
    <cellStyle name="20 % - Accent1 6 3" xfId="62"/>
    <cellStyle name="20 % - Accent1 6 3 2" xfId="11630"/>
    <cellStyle name="20 % - Accent1 6 4" xfId="8230"/>
    <cellStyle name="20 % - Accent1 7" xfId="63"/>
    <cellStyle name="20 % - Accent1 7 2" xfId="64"/>
    <cellStyle name="20 % - Accent1 7 2 2" xfId="11632"/>
    <cellStyle name="20 % - Accent1 7 3" xfId="8232"/>
    <cellStyle name="20 % - Accent1 8" xfId="65"/>
    <cellStyle name="20 % - Accent1 8 2" xfId="66"/>
    <cellStyle name="20 % - Accent1 8 2 2" xfId="11633"/>
    <cellStyle name="20 % - Accent1 8 3" xfId="8233"/>
    <cellStyle name="20 % - Accent1 9" xfId="67"/>
    <cellStyle name="20 % - Accent1 9 2" xfId="68"/>
    <cellStyle name="20 % - Accent1 9 2 2" xfId="11634"/>
    <cellStyle name="20 % - Accent1 9 3" xfId="8234"/>
    <cellStyle name="20 % - Accent2 10" xfId="69"/>
    <cellStyle name="20 % - Accent2 10 2" xfId="70"/>
    <cellStyle name="20 % - Accent2 10 2 2" xfId="11635"/>
    <cellStyle name="20 % - Accent2 10 3" xfId="8235"/>
    <cellStyle name="20 % - Accent2 11" xfId="71"/>
    <cellStyle name="20 % - Accent2 11 2" xfId="72"/>
    <cellStyle name="20 % - Accent2 11 2 2" xfId="73"/>
    <cellStyle name="20 % - Accent2 11 2 2 2" xfId="11637"/>
    <cellStyle name="20 % - Accent2 11 2 3" xfId="8237"/>
    <cellStyle name="20 % - Accent2 11 3" xfId="74"/>
    <cellStyle name="20 % - Accent2 11 3 2" xfId="75"/>
    <cellStyle name="20 % - Accent2 11 3 2 2" xfId="11638"/>
    <cellStyle name="20 % - Accent2 11 3 3" xfId="8238"/>
    <cellStyle name="20 % - Accent2 11 4" xfId="76"/>
    <cellStyle name="20 % - Accent2 11 4 2" xfId="77"/>
    <cellStyle name="20 % - Accent2 11 4 2 2" xfId="11639"/>
    <cellStyle name="20 % - Accent2 11 4 3" xfId="8239"/>
    <cellStyle name="20 % - Accent2 11 5" xfId="78"/>
    <cellStyle name="20 % - Accent2 11 5 2" xfId="11636"/>
    <cellStyle name="20 % - Accent2 11 6" xfId="8236"/>
    <cellStyle name="20 % - Accent2 12" xfId="79"/>
    <cellStyle name="20 % - Accent2 12 2" xfId="80"/>
    <cellStyle name="20 % - Accent2 12 2 2" xfId="81"/>
    <cellStyle name="20 % - Accent2 12 2 2 2" xfId="11641"/>
    <cellStyle name="20 % - Accent2 12 2 3" xfId="8241"/>
    <cellStyle name="20 % - Accent2 12 3" xfId="82"/>
    <cellStyle name="20 % - Accent2 12 3 2" xfId="83"/>
    <cellStyle name="20 % - Accent2 12 3 2 2" xfId="11642"/>
    <cellStyle name="20 % - Accent2 12 3 3" xfId="8242"/>
    <cellStyle name="20 % - Accent2 12 4" xfId="84"/>
    <cellStyle name="20 % - Accent2 12 4 2" xfId="11640"/>
    <cellStyle name="20 % - Accent2 12 5" xfId="8240"/>
    <cellStyle name="20 % - Accent2 13" xfId="85"/>
    <cellStyle name="20 % - Accent2 13 2" xfId="86"/>
    <cellStyle name="20 % - Accent2 13 3" xfId="87"/>
    <cellStyle name="20 % - Accent2 13 4" xfId="8243"/>
    <cellStyle name="20 % - Accent2 14" xfId="88"/>
    <cellStyle name="20 % - Accent2 14 2" xfId="89"/>
    <cellStyle name="20 % - Accent2 14 3" xfId="90"/>
    <cellStyle name="20 % - Accent2 14 4" xfId="8244"/>
    <cellStyle name="20 % - Accent2 15" xfId="91"/>
    <cellStyle name="20 % - Accent2 15 2" xfId="92"/>
    <cellStyle name="20 % - Accent2 15 3" xfId="93"/>
    <cellStyle name="20 % - Accent2 15 4" xfId="8245"/>
    <cellStyle name="20 % - Accent2 2" xfId="94"/>
    <cellStyle name="20 % - Accent2 2 2" xfId="95"/>
    <cellStyle name="20 % - Accent2 2 2 2" xfId="96"/>
    <cellStyle name="20 % - Accent2 2 2 2 2" xfId="11543"/>
    <cellStyle name="20 % - Accent2 2 2 3" xfId="7821"/>
    <cellStyle name="20 % - Accent2 2 3" xfId="97"/>
    <cellStyle name="20 % - Accent2 2 3 2" xfId="98"/>
    <cellStyle name="20 % - Accent2 2 3 2 2" xfId="11643"/>
    <cellStyle name="20 % - Accent2 2 3 3" xfId="8246"/>
    <cellStyle name="20 % - Accent2 2 4" xfId="99"/>
    <cellStyle name="20 % - Accent2 2 4 2" xfId="100"/>
    <cellStyle name="20 % - Accent2 2 4 2 2" xfId="11644"/>
    <cellStyle name="20 % - Accent2 2 4 3" xfId="8247"/>
    <cellStyle name="20 % - Accent2 2 5" xfId="101"/>
    <cellStyle name="20 % - Accent2 2 5 2" xfId="11542"/>
    <cellStyle name="20 % - Accent2 2 6" xfId="7820"/>
    <cellStyle name="20 % - Accent2 3" xfId="102"/>
    <cellStyle name="20 % - Accent2 3 2" xfId="103"/>
    <cellStyle name="20 % - Accent2 3 2 2" xfId="104"/>
    <cellStyle name="20 % - Accent2 3 2 2 2" xfId="11645"/>
    <cellStyle name="20 % - Accent2 3 2 3" xfId="8248"/>
    <cellStyle name="20 % - Accent2 3 3" xfId="105"/>
    <cellStyle name="20 % - Accent2 3 3 2" xfId="106"/>
    <cellStyle name="20 % - Accent2 3 3 2 2" xfId="11646"/>
    <cellStyle name="20 % - Accent2 3 3 3" xfId="8249"/>
    <cellStyle name="20 % - Accent2 3 4" xfId="107"/>
    <cellStyle name="20 % - Accent2 3 4 2" xfId="108"/>
    <cellStyle name="20 % - Accent2 3 4 2 2" xfId="11647"/>
    <cellStyle name="20 % - Accent2 3 4 3" xfId="8250"/>
    <cellStyle name="20 % - Accent2 3 5" xfId="109"/>
    <cellStyle name="20 % - Accent2 3 5 2" xfId="11544"/>
    <cellStyle name="20 % - Accent2 3 6" xfId="7822"/>
    <cellStyle name="20 % - Accent2 4" xfId="110"/>
    <cellStyle name="20 % - Accent2 4 2" xfId="111"/>
    <cellStyle name="20 % - Accent2 4 2 2" xfId="112"/>
    <cellStyle name="20 % - Accent2 4 2 2 2" xfId="11648"/>
    <cellStyle name="20 % - Accent2 4 2 3" xfId="8251"/>
    <cellStyle name="20 % - Accent2 4 3" xfId="113"/>
    <cellStyle name="20 % - Accent2 4 3 2" xfId="114"/>
    <cellStyle name="20 % - Accent2 4 3 2 2" xfId="11649"/>
    <cellStyle name="20 % - Accent2 4 3 3" xfId="8252"/>
    <cellStyle name="20 % - Accent2 4 4" xfId="115"/>
    <cellStyle name="20 % - Accent2 4 4 2" xfId="116"/>
    <cellStyle name="20 % - Accent2 4 4 2 2" xfId="11650"/>
    <cellStyle name="20 % - Accent2 4 4 3" xfId="8253"/>
    <cellStyle name="20 % - Accent2 4 5" xfId="117"/>
    <cellStyle name="20 % - Accent2 4 5 2" xfId="11545"/>
    <cellStyle name="20 % - Accent2 4 6" xfId="7823"/>
    <cellStyle name="20 % - Accent2 5" xfId="118"/>
    <cellStyle name="20 % - Accent2 5 2" xfId="119"/>
    <cellStyle name="20 % - Accent2 5 2 2" xfId="120"/>
    <cellStyle name="20 % - Accent2 5 2 2 2" xfId="11651"/>
    <cellStyle name="20 % - Accent2 5 2 3" xfId="8254"/>
    <cellStyle name="20 % - Accent2 5 3" xfId="121"/>
    <cellStyle name="20 % - Accent2 5 3 2" xfId="11546"/>
    <cellStyle name="20 % - Accent2 5 4" xfId="7824"/>
    <cellStyle name="20 % - Accent2 6" xfId="122"/>
    <cellStyle name="20 % - Accent2 6 2" xfId="123"/>
    <cellStyle name="20 % - Accent2 6 2 2" xfId="124"/>
    <cellStyle name="20 % - Accent2 6 2 2 2" xfId="11653"/>
    <cellStyle name="20 % - Accent2 6 2 3" xfId="8256"/>
    <cellStyle name="20 % - Accent2 6 3" xfId="125"/>
    <cellStyle name="20 % - Accent2 6 3 2" xfId="11652"/>
    <cellStyle name="20 % - Accent2 6 4" xfId="8255"/>
    <cellStyle name="20 % - Accent2 7" xfId="126"/>
    <cellStyle name="20 % - Accent2 7 2" xfId="127"/>
    <cellStyle name="20 % - Accent2 7 2 2" xfId="11654"/>
    <cellStyle name="20 % - Accent2 7 3" xfId="8257"/>
    <cellStyle name="20 % - Accent2 8" xfId="128"/>
    <cellStyle name="20 % - Accent2 8 2" xfId="129"/>
    <cellStyle name="20 % - Accent2 8 2 2" xfId="11655"/>
    <cellStyle name="20 % - Accent2 8 3" xfId="8258"/>
    <cellStyle name="20 % - Accent2 9" xfId="130"/>
    <cellStyle name="20 % - Accent2 9 2" xfId="131"/>
    <cellStyle name="20 % - Accent2 9 2 2" xfId="11656"/>
    <cellStyle name="20 % - Accent2 9 3" xfId="8259"/>
    <cellStyle name="20 % - Accent3 10" xfId="132"/>
    <cellStyle name="20 % - Accent3 10 2" xfId="133"/>
    <cellStyle name="20 % - Accent3 10 2 2" xfId="11657"/>
    <cellStyle name="20 % - Accent3 10 3" xfId="8260"/>
    <cellStyle name="20 % - Accent3 11" xfId="134"/>
    <cellStyle name="20 % - Accent3 11 2" xfId="135"/>
    <cellStyle name="20 % - Accent3 11 2 2" xfId="136"/>
    <cellStyle name="20 % - Accent3 11 2 2 2" xfId="11659"/>
    <cellStyle name="20 % - Accent3 11 2 3" xfId="8262"/>
    <cellStyle name="20 % - Accent3 11 3" xfId="137"/>
    <cellStyle name="20 % - Accent3 11 3 2" xfId="138"/>
    <cellStyle name="20 % - Accent3 11 3 2 2" xfId="11660"/>
    <cellStyle name="20 % - Accent3 11 3 3" xfId="8263"/>
    <cellStyle name="20 % - Accent3 11 4" xfId="139"/>
    <cellStyle name="20 % - Accent3 11 4 2" xfId="140"/>
    <cellStyle name="20 % - Accent3 11 4 2 2" xfId="11661"/>
    <cellStyle name="20 % - Accent3 11 4 3" xfId="8264"/>
    <cellStyle name="20 % - Accent3 11 5" xfId="141"/>
    <cellStyle name="20 % - Accent3 11 5 2" xfId="11658"/>
    <cellStyle name="20 % - Accent3 11 6" xfId="8261"/>
    <cellStyle name="20 % - Accent3 12" xfId="142"/>
    <cellStyle name="20 % - Accent3 12 2" xfId="143"/>
    <cellStyle name="20 % - Accent3 12 2 2" xfId="144"/>
    <cellStyle name="20 % - Accent3 12 2 2 2" xfId="11663"/>
    <cellStyle name="20 % - Accent3 12 2 3" xfId="8266"/>
    <cellStyle name="20 % - Accent3 12 3" xfId="145"/>
    <cellStyle name="20 % - Accent3 12 3 2" xfId="146"/>
    <cellStyle name="20 % - Accent3 12 3 2 2" xfId="11664"/>
    <cellStyle name="20 % - Accent3 12 3 3" xfId="8267"/>
    <cellStyle name="20 % - Accent3 12 4" xfId="147"/>
    <cellStyle name="20 % - Accent3 12 4 2" xfId="11662"/>
    <cellStyle name="20 % - Accent3 12 5" xfId="8265"/>
    <cellStyle name="20 % - Accent3 13" xfId="148"/>
    <cellStyle name="20 % - Accent3 13 2" xfId="149"/>
    <cellStyle name="20 % - Accent3 13 3" xfId="150"/>
    <cellStyle name="20 % - Accent3 13 4" xfId="8268"/>
    <cellStyle name="20 % - Accent3 14" xfId="151"/>
    <cellStyle name="20 % - Accent3 14 2" xfId="152"/>
    <cellStyle name="20 % - Accent3 14 3" xfId="153"/>
    <cellStyle name="20 % - Accent3 14 4" xfId="8269"/>
    <cellStyle name="20 % - Accent3 15" xfId="154"/>
    <cellStyle name="20 % - Accent3 15 2" xfId="155"/>
    <cellStyle name="20 % - Accent3 15 3" xfId="156"/>
    <cellStyle name="20 % - Accent3 15 4" xfId="8270"/>
    <cellStyle name="20 % - Accent3 2" xfId="157"/>
    <cellStyle name="20 % - Accent3 2 2" xfId="158"/>
    <cellStyle name="20 % - Accent3 2 2 2" xfId="159"/>
    <cellStyle name="20 % - Accent3 2 2 2 2" xfId="11548"/>
    <cellStyle name="20 % - Accent3 2 2 3" xfId="7826"/>
    <cellStyle name="20 % - Accent3 2 3" xfId="160"/>
    <cellStyle name="20 % - Accent3 2 3 2" xfId="161"/>
    <cellStyle name="20 % - Accent3 2 3 2 2" xfId="162"/>
    <cellStyle name="20 % - Accent3 2 3 2 2 2" xfId="11666"/>
    <cellStyle name="20 % - Accent3 2 3 2 3" xfId="8272"/>
    <cellStyle name="20 % - Accent3 2 3 3" xfId="163"/>
    <cellStyle name="20 % - Accent3 2 3 3 2" xfId="11665"/>
    <cellStyle name="20 % - Accent3 2 3 4" xfId="8271"/>
    <cellStyle name="20 % - Accent3 2 4" xfId="164"/>
    <cellStyle name="20 % - Accent3 2 4 2" xfId="165"/>
    <cellStyle name="20 % - Accent3 2 4 2 2" xfId="11667"/>
    <cellStyle name="20 % - Accent3 2 4 3" xfId="8273"/>
    <cellStyle name="20 % - Accent3 2 5" xfId="166"/>
    <cellStyle name="20 % - Accent3 2 5 2" xfId="11547"/>
    <cellStyle name="20 % - Accent3 2 6" xfId="7825"/>
    <cellStyle name="20 % - Accent3 3" xfId="167"/>
    <cellStyle name="20 % - Accent3 3 2" xfId="168"/>
    <cellStyle name="20 % - Accent3 3 2 2" xfId="169"/>
    <cellStyle name="20 % - Accent3 3 2 2 2" xfId="11668"/>
    <cellStyle name="20 % - Accent3 3 2 3" xfId="8274"/>
    <cellStyle name="20 % - Accent3 3 3" xfId="170"/>
    <cellStyle name="20 % - Accent3 3 3 2" xfId="171"/>
    <cellStyle name="20 % - Accent3 3 3 2 2" xfId="11669"/>
    <cellStyle name="20 % - Accent3 3 3 3" xfId="8275"/>
    <cellStyle name="20 % - Accent3 3 4" xfId="172"/>
    <cellStyle name="20 % - Accent3 3 4 2" xfId="173"/>
    <cellStyle name="20 % - Accent3 3 4 2 2" xfId="11670"/>
    <cellStyle name="20 % - Accent3 3 4 3" xfId="8276"/>
    <cellStyle name="20 % - Accent3 3 5" xfId="174"/>
    <cellStyle name="20 % - Accent3 3 5 2" xfId="11549"/>
    <cellStyle name="20 % - Accent3 3 6" xfId="7827"/>
    <cellStyle name="20 % - Accent3 4" xfId="175"/>
    <cellStyle name="20 % - Accent3 4 2" xfId="176"/>
    <cellStyle name="20 % - Accent3 4 2 2" xfId="177"/>
    <cellStyle name="20 % - Accent3 4 2 2 2" xfId="11671"/>
    <cellStyle name="20 % - Accent3 4 2 3" xfId="8277"/>
    <cellStyle name="20 % - Accent3 4 3" xfId="178"/>
    <cellStyle name="20 % - Accent3 4 3 2" xfId="179"/>
    <cellStyle name="20 % - Accent3 4 3 2 2" xfId="11672"/>
    <cellStyle name="20 % - Accent3 4 3 3" xfId="8278"/>
    <cellStyle name="20 % - Accent3 4 4" xfId="180"/>
    <cellStyle name="20 % - Accent3 4 4 2" xfId="181"/>
    <cellStyle name="20 % - Accent3 4 4 2 2" xfId="11673"/>
    <cellStyle name="20 % - Accent3 4 4 3" xfId="8279"/>
    <cellStyle name="20 % - Accent3 4 5" xfId="182"/>
    <cellStyle name="20 % - Accent3 4 5 2" xfId="11550"/>
    <cellStyle name="20 % - Accent3 4 6" xfId="7828"/>
    <cellStyle name="20 % - Accent3 5" xfId="183"/>
    <cellStyle name="20 % - Accent3 5 2" xfId="184"/>
    <cellStyle name="20 % - Accent3 5 2 2" xfId="185"/>
    <cellStyle name="20 % - Accent3 5 2 2 2" xfId="11674"/>
    <cellStyle name="20 % - Accent3 5 2 3" xfId="8280"/>
    <cellStyle name="20 % - Accent3 5 3" xfId="186"/>
    <cellStyle name="20 % - Accent3 5 3 2" xfId="11551"/>
    <cellStyle name="20 % - Accent3 5 4" xfId="7829"/>
    <cellStyle name="20 % - Accent3 6" xfId="187"/>
    <cellStyle name="20 % - Accent3 6 2" xfId="188"/>
    <cellStyle name="20 % - Accent3 6 2 2" xfId="189"/>
    <cellStyle name="20 % - Accent3 6 2 2 2" xfId="11676"/>
    <cellStyle name="20 % - Accent3 6 2 3" xfId="8282"/>
    <cellStyle name="20 % - Accent3 6 3" xfId="190"/>
    <cellStyle name="20 % - Accent3 6 3 2" xfId="11675"/>
    <cellStyle name="20 % - Accent3 6 4" xfId="8281"/>
    <cellStyle name="20 % - Accent3 7" xfId="191"/>
    <cellStyle name="20 % - Accent3 7 2" xfId="192"/>
    <cellStyle name="20 % - Accent3 7 2 2" xfId="11677"/>
    <cellStyle name="20 % - Accent3 7 3" xfId="8283"/>
    <cellStyle name="20 % - Accent3 8" xfId="193"/>
    <cellStyle name="20 % - Accent3 8 2" xfId="194"/>
    <cellStyle name="20 % - Accent3 8 2 2" xfId="11678"/>
    <cellStyle name="20 % - Accent3 8 3" xfId="8284"/>
    <cellStyle name="20 % - Accent3 9" xfId="195"/>
    <cellStyle name="20 % - Accent3 9 2" xfId="196"/>
    <cellStyle name="20 % - Accent3 9 2 2" xfId="11679"/>
    <cellStyle name="20 % - Accent3 9 3" xfId="8285"/>
    <cellStyle name="20 % - Accent4 10" xfId="197"/>
    <cellStyle name="20 % - Accent4 10 2" xfId="198"/>
    <cellStyle name="20 % - Accent4 10 2 2" xfId="11680"/>
    <cellStyle name="20 % - Accent4 10 3" xfId="8286"/>
    <cellStyle name="20 % - Accent4 11" xfId="199"/>
    <cellStyle name="20 % - Accent4 11 2" xfId="200"/>
    <cellStyle name="20 % - Accent4 11 2 2" xfId="201"/>
    <cellStyle name="20 % - Accent4 11 2 2 2" xfId="11682"/>
    <cellStyle name="20 % - Accent4 11 2 3" xfId="8288"/>
    <cellStyle name="20 % - Accent4 11 3" xfId="202"/>
    <cellStyle name="20 % - Accent4 11 3 2" xfId="203"/>
    <cellStyle name="20 % - Accent4 11 3 2 2" xfId="11683"/>
    <cellStyle name="20 % - Accent4 11 3 3" xfId="8289"/>
    <cellStyle name="20 % - Accent4 11 4" xfId="204"/>
    <cellStyle name="20 % - Accent4 11 4 2" xfId="205"/>
    <cellStyle name="20 % - Accent4 11 4 2 2" xfId="11684"/>
    <cellStyle name="20 % - Accent4 11 4 3" xfId="8290"/>
    <cellStyle name="20 % - Accent4 11 5" xfId="206"/>
    <cellStyle name="20 % - Accent4 11 5 2" xfId="11681"/>
    <cellStyle name="20 % - Accent4 11 6" xfId="8287"/>
    <cellStyle name="20 % - Accent4 12" xfId="207"/>
    <cellStyle name="20 % - Accent4 12 2" xfId="208"/>
    <cellStyle name="20 % - Accent4 12 2 2" xfId="209"/>
    <cellStyle name="20 % - Accent4 12 2 2 2" xfId="11686"/>
    <cellStyle name="20 % - Accent4 12 2 3" xfId="8292"/>
    <cellStyle name="20 % - Accent4 12 3" xfId="210"/>
    <cellStyle name="20 % - Accent4 12 3 2" xfId="211"/>
    <cellStyle name="20 % - Accent4 12 3 2 2" xfId="11687"/>
    <cellStyle name="20 % - Accent4 12 3 3" xfId="8293"/>
    <cellStyle name="20 % - Accent4 12 4" xfId="212"/>
    <cellStyle name="20 % - Accent4 12 4 2" xfId="11685"/>
    <cellStyle name="20 % - Accent4 12 5" xfId="8291"/>
    <cellStyle name="20 % - Accent4 13" xfId="213"/>
    <cellStyle name="20 % - Accent4 13 2" xfId="214"/>
    <cellStyle name="20 % - Accent4 13 3" xfId="215"/>
    <cellStyle name="20 % - Accent4 13 4" xfId="8294"/>
    <cellStyle name="20 % - Accent4 14" xfId="216"/>
    <cellStyle name="20 % - Accent4 14 2" xfId="217"/>
    <cellStyle name="20 % - Accent4 14 3" xfId="218"/>
    <cellStyle name="20 % - Accent4 14 4" xfId="8295"/>
    <cellStyle name="20 % - Accent4 15" xfId="219"/>
    <cellStyle name="20 % - Accent4 15 2" xfId="220"/>
    <cellStyle name="20 % - Accent4 15 3" xfId="221"/>
    <cellStyle name="20 % - Accent4 15 4" xfId="8296"/>
    <cellStyle name="20 % - Accent4 2" xfId="222"/>
    <cellStyle name="20 % - Accent4 2 2" xfId="223"/>
    <cellStyle name="20 % - Accent4 2 2 2" xfId="224"/>
    <cellStyle name="20 % - Accent4 2 2 2 2" xfId="11553"/>
    <cellStyle name="20 % - Accent4 2 2 3" xfId="7831"/>
    <cellStyle name="20 % - Accent4 2 3" xfId="225"/>
    <cellStyle name="20 % - Accent4 2 3 2" xfId="226"/>
    <cellStyle name="20 % - Accent4 2 3 2 2" xfId="11688"/>
    <cellStyle name="20 % - Accent4 2 3 3" xfId="8297"/>
    <cellStyle name="20 % - Accent4 2 4" xfId="227"/>
    <cellStyle name="20 % - Accent4 2 4 2" xfId="228"/>
    <cellStyle name="20 % - Accent4 2 4 2 2" xfId="11689"/>
    <cellStyle name="20 % - Accent4 2 4 3" xfId="8298"/>
    <cellStyle name="20 % - Accent4 2 5" xfId="229"/>
    <cellStyle name="20 % - Accent4 2 5 2" xfId="11552"/>
    <cellStyle name="20 % - Accent4 2 6" xfId="7830"/>
    <cellStyle name="20 % - Accent4 3" xfId="230"/>
    <cellStyle name="20 % - Accent4 3 2" xfId="231"/>
    <cellStyle name="20 % - Accent4 3 2 2" xfId="232"/>
    <cellStyle name="20 % - Accent4 3 2 2 2" xfId="11690"/>
    <cellStyle name="20 % - Accent4 3 2 3" xfId="8299"/>
    <cellStyle name="20 % - Accent4 3 3" xfId="233"/>
    <cellStyle name="20 % - Accent4 3 3 2" xfId="234"/>
    <cellStyle name="20 % - Accent4 3 3 2 2" xfId="11691"/>
    <cellStyle name="20 % - Accent4 3 3 3" xfId="8300"/>
    <cellStyle name="20 % - Accent4 3 4" xfId="235"/>
    <cellStyle name="20 % - Accent4 3 4 2" xfId="236"/>
    <cellStyle name="20 % - Accent4 3 4 2 2" xfId="11692"/>
    <cellStyle name="20 % - Accent4 3 4 3" xfId="8301"/>
    <cellStyle name="20 % - Accent4 3 5" xfId="237"/>
    <cellStyle name="20 % - Accent4 3 5 2" xfId="11554"/>
    <cellStyle name="20 % - Accent4 3 6" xfId="7832"/>
    <cellStyle name="20 % - Accent4 4" xfId="238"/>
    <cellStyle name="20 % - Accent4 4 2" xfId="239"/>
    <cellStyle name="20 % - Accent4 4 2 2" xfId="240"/>
    <cellStyle name="20 % - Accent4 4 2 2 2" xfId="11693"/>
    <cellStyle name="20 % - Accent4 4 2 3" xfId="8302"/>
    <cellStyle name="20 % - Accent4 4 3" xfId="241"/>
    <cellStyle name="20 % - Accent4 4 3 2" xfId="242"/>
    <cellStyle name="20 % - Accent4 4 3 2 2" xfId="11694"/>
    <cellStyle name="20 % - Accent4 4 3 3" xfId="8303"/>
    <cellStyle name="20 % - Accent4 4 4" xfId="243"/>
    <cellStyle name="20 % - Accent4 4 4 2" xfId="244"/>
    <cellStyle name="20 % - Accent4 4 4 2 2" xfId="11695"/>
    <cellStyle name="20 % - Accent4 4 4 3" xfId="8304"/>
    <cellStyle name="20 % - Accent4 4 5" xfId="245"/>
    <cellStyle name="20 % - Accent4 4 5 2" xfId="11555"/>
    <cellStyle name="20 % - Accent4 4 6" xfId="7833"/>
    <cellStyle name="20 % - Accent4 5" xfId="246"/>
    <cellStyle name="20 % - Accent4 5 2" xfId="247"/>
    <cellStyle name="20 % - Accent4 5 2 2" xfId="248"/>
    <cellStyle name="20 % - Accent4 5 2 2 2" xfId="11696"/>
    <cellStyle name="20 % - Accent4 5 2 3" xfId="8305"/>
    <cellStyle name="20 % - Accent4 5 3" xfId="249"/>
    <cellStyle name="20 % - Accent4 5 3 2" xfId="11556"/>
    <cellStyle name="20 % - Accent4 5 4" xfId="7834"/>
    <cellStyle name="20 % - Accent4 6" xfId="250"/>
    <cellStyle name="20 % - Accent4 6 2" xfId="251"/>
    <cellStyle name="20 % - Accent4 6 2 2" xfId="252"/>
    <cellStyle name="20 % - Accent4 6 2 2 2" xfId="11698"/>
    <cellStyle name="20 % - Accent4 6 2 3" xfId="8307"/>
    <cellStyle name="20 % - Accent4 6 3" xfId="253"/>
    <cellStyle name="20 % - Accent4 6 3 2" xfId="11697"/>
    <cellStyle name="20 % - Accent4 6 4" xfId="8306"/>
    <cellStyle name="20 % - Accent4 7" xfId="254"/>
    <cellStyle name="20 % - Accent4 7 2" xfId="255"/>
    <cellStyle name="20 % - Accent4 7 2 2" xfId="11699"/>
    <cellStyle name="20 % - Accent4 7 3" xfId="8308"/>
    <cellStyle name="20 % - Accent4 8" xfId="256"/>
    <cellStyle name="20 % - Accent4 8 2" xfId="257"/>
    <cellStyle name="20 % - Accent4 8 2 2" xfId="11700"/>
    <cellStyle name="20 % - Accent4 8 3" xfId="8309"/>
    <cellStyle name="20 % - Accent4 9" xfId="258"/>
    <cellStyle name="20 % - Accent4 9 2" xfId="259"/>
    <cellStyle name="20 % - Accent4 9 2 2" xfId="11701"/>
    <cellStyle name="20 % - Accent4 9 3" xfId="8310"/>
    <cellStyle name="20 % - Accent5 10" xfId="260"/>
    <cellStyle name="20 % - Accent5 10 2" xfId="261"/>
    <cellStyle name="20 % - Accent5 10 2 2" xfId="11702"/>
    <cellStyle name="20 % - Accent5 10 3" xfId="8311"/>
    <cellStyle name="20 % - Accent5 11" xfId="262"/>
    <cellStyle name="20 % - Accent5 11 2" xfId="263"/>
    <cellStyle name="20 % - Accent5 11 2 2" xfId="264"/>
    <cellStyle name="20 % - Accent5 11 2 2 2" xfId="11704"/>
    <cellStyle name="20 % - Accent5 11 2 3" xfId="8313"/>
    <cellStyle name="20 % - Accent5 11 3" xfId="265"/>
    <cellStyle name="20 % - Accent5 11 3 2" xfId="11703"/>
    <cellStyle name="20 % - Accent5 11 4" xfId="8312"/>
    <cellStyle name="20 % - Accent5 12" xfId="266"/>
    <cellStyle name="20 % - Accent5 12 2" xfId="267"/>
    <cellStyle name="20 % - Accent5 12 2 2" xfId="11705"/>
    <cellStyle name="20 % - Accent5 12 3" xfId="8314"/>
    <cellStyle name="20 % - Accent5 13" xfId="268"/>
    <cellStyle name="20 % - Accent5 13 2" xfId="269"/>
    <cellStyle name="20 % - Accent5 13 3" xfId="270"/>
    <cellStyle name="20 % - Accent5 13 4" xfId="8315"/>
    <cellStyle name="20 % - Accent5 2" xfId="271"/>
    <cellStyle name="20 % - Accent5 2 2" xfId="272"/>
    <cellStyle name="20 % - Accent5 2 2 2" xfId="273"/>
    <cellStyle name="20 % - Accent5 2 2 2 2" xfId="11558"/>
    <cellStyle name="20 % - Accent5 2 2 3" xfId="7836"/>
    <cellStyle name="20 % - Accent5 2 3" xfId="274"/>
    <cellStyle name="20 % - Accent5 2 3 2" xfId="275"/>
    <cellStyle name="20 % - Accent5 2 3 2 2" xfId="11706"/>
    <cellStyle name="20 % - Accent5 2 3 3" xfId="8316"/>
    <cellStyle name="20 % - Accent5 2 4" xfId="276"/>
    <cellStyle name="20 % - Accent5 2 4 2" xfId="277"/>
    <cellStyle name="20 % - Accent5 2 4 2 2" xfId="11707"/>
    <cellStyle name="20 % - Accent5 2 4 3" xfId="8317"/>
    <cellStyle name="20 % - Accent5 2 5" xfId="278"/>
    <cellStyle name="20 % - Accent5 2 5 2" xfId="11557"/>
    <cellStyle name="20 % - Accent5 2 6" xfId="7835"/>
    <cellStyle name="20 % - Accent5 3" xfId="279"/>
    <cellStyle name="20 % - Accent5 3 2" xfId="280"/>
    <cellStyle name="20 % - Accent5 3 2 2" xfId="281"/>
    <cellStyle name="20 % - Accent5 3 2 2 2" xfId="11708"/>
    <cellStyle name="20 % - Accent5 3 2 3" xfId="8318"/>
    <cellStyle name="20 % - Accent5 3 3" xfId="282"/>
    <cellStyle name="20 % - Accent5 3 3 2" xfId="283"/>
    <cellStyle name="20 % - Accent5 3 3 2 2" xfId="11709"/>
    <cellStyle name="20 % - Accent5 3 3 3" xfId="8319"/>
    <cellStyle name="20 % - Accent5 3 4" xfId="284"/>
    <cellStyle name="20 % - Accent5 3 4 2" xfId="285"/>
    <cellStyle name="20 % - Accent5 3 4 2 2" xfId="11710"/>
    <cellStyle name="20 % - Accent5 3 4 3" xfId="8320"/>
    <cellStyle name="20 % - Accent5 3 5" xfId="286"/>
    <cellStyle name="20 % - Accent5 3 5 2" xfId="11559"/>
    <cellStyle name="20 % - Accent5 3 6" xfId="7837"/>
    <cellStyle name="20 % - Accent5 4" xfId="287"/>
    <cellStyle name="20 % - Accent5 4 2" xfId="288"/>
    <cellStyle name="20 % - Accent5 4 2 2" xfId="289"/>
    <cellStyle name="20 % - Accent5 4 2 2 2" xfId="11711"/>
    <cellStyle name="20 % - Accent5 4 2 3" xfId="8321"/>
    <cellStyle name="20 % - Accent5 4 3" xfId="290"/>
    <cellStyle name="20 % - Accent5 4 3 2" xfId="291"/>
    <cellStyle name="20 % - Accent5 4 3 2 2" xfId="11712"/>
    <cellStyle name="20 % - Accent5 4 3 3" xfId="8322"/>
    <cellStyle name="20 % - Accent5 4 4" xfId="292"/>
    <cellStyle name="20 % - Accent5 4 4 2" xfId="293"/>
    <cellStyle name="20 % - Accent5 4 4 2 2" xfId="11713"/>
    <cellStyle name="20 % - Accent5 4 4 3" xfId="8323"/>
    <cellStyle name="20 % - Accent5 4 5" xfId="294"/>
    <cellStyle name="20 % - Accent5 4 5 2" xfId="11560"/>
    <cellStyle name="20 % - Accent5 4 6" xfId="7838"/>
    <cellStyle name="20 % - Accent5 5" xfId="295"/>
    <cellStyle name="20 % - Accent5 5 2" xfId="296"/>
    <cellStyle name="20 % - Accent5 5 2 2" xfId="297"/>
    <cellStyle name="20 % - Accent5 5 2 2 2" xfId="11714"/>
    <cellStyle name="20 % - Accent5 5 2 3" xfId="8324"/>
    <cellStyle name="20 % - Accent5 5 3" xfId="298"/>
    <cellStyle name="20 % - Accent5 5 3 2" xfId="11561"/>
    <cellStyle name="20 % - Accent5 5 4" xfId="7839"/>
    <cellStyle name="20 % - Accent5 6" xfId="299"/>
    <cellStyle name="20 % - Accent5 6 2" xfId="300"/>
    <cellStyle name="20 % - Accent5 6 2 2" xfId="11715"/>
    <cellStyle name="20 % - Accent5 6 3" xfId="8325"/>
    <cellStyle name="20 % - Accent5 7" xfId="301"/>
    <cellStyle name="20 % - Accent5 7 2" xfId="302"/>
    <cellStyle name="20 % - Accent5 7 2 2" xfId="11716"/>
    <cellStyle name="20 % - Accent5 7 3" xfId="8326"/>
    <cellStyle name="20 % - Accent5 8" xfId="303"/>
    <cellStyle name="20 % - Accent5 8 2" xfId="304"/>
    <cellStyle name="20 % - Accent5 8 2 2" xfId="11717"/>
    <cellStyle name="20 % - Accent5 8 3" xfId="8327"/>
    <cellStyle name="20 % - Accent5 9" xfId="305"/>
    <cellStyle name="20 % - Accent5 9 2" xfId="306"/>
    <cellStyle name="20 % - Accent5 9 2 2" xfId="11718"/>
    <cellStyle name="20 % - Accent5 9 3" xfId="8328"/>
    <cellStyle name="20 % - Accent6 10" xfId="307"/>
    <cellStyle name="20 % - Accent6 10 2" xfId="308"/>
    <cellStyle name="20 % - Accent6 10 2 2" xfId="11719"/>
    <cellStyle name="20 % - Accent6 10 3" xfId="8329"/>
    <cellStyle name="20 % - Accent6 11" xfId="309"/>
    <cellStyle name="20 % - Accent6 11 2" xfId="310"/>
    <cellStyle name="20 % - Accent6 11 2 2" xfId="311"/>
    <cellStyle name="20 % - Accent6 11 2 2 2" xfId="11721"/>
    <cellStyle name="20 % - Accent6 11 2 3" xfId="8331"/>
    <cellStyle name="20 % - Accent6 11 3" xfId="312"/>
    <cellStyle name="20 % - Accent6 11 3 2" xfId="313"/>
    <cellStyle name="20 % - Accent6 11 3 2 2" xfId="11722"/>
    <cellStyle name="20 % - Accent6 11 3 3" xfId="8332"/>
    <cellStyle name="20 % - Accent6 11 4" xfId="314"/>
    <cellStyle name="20 % - Accent6 11 4 2" xfId="315"/>
    <cellStyle name="20 % - Accent6 11 4 2 2" xfId="11723"/>
    <cellStyle name="20 % - Accent6 11 4 3" xfId="8333"/>
    <cellStyle name="20 % - Accent6 11 5" xfId="316"/>
    <cellStyle name="20 % - Accent6 11 5 2" xfId="11720"/>
    <cellStyle name="20 % - Accent6 11 6" xfId="8330"/>
    <cellStyle name="20 % - Accent6 12" xfId="317"/>
    <cellStyle name="20 % - Accent6 12 2" xfId="318"/>
    <cellStyle name="20 % - Accent6 12 2 2" xfId="319"/>
    <cellStyle name="20 % - Accent6 12 2 2 2" xfId="11725"/>
    <cellStyle name="20 % - Accent6 12 2 3" xfId="8335"/>
    <cellStyle name="20 % - Accent6 12 3" xfId="320"/>
    <cellStyle name="20 % - Accent6 12 3 2" xfId="321"/>
    <cellStyle name="20 % - Accent6 12 3 2 2" xfId="11726"/>
    <cellStyle name="20 % - Accent6 12 3 3" xfId="8336"/>
    <cellStyle name="20 % - Accent6 12 4" xfId="322"/>
    <cellStyle name="20 % - Accent6 12 4 2" xfId="11724"/>
    <cellStyle name="20 % - Accent6 12 5" xfId="8334"/>
    <cellStyle name="20 % - Accent6 13" xfId="323"/>
    <cellStyle name="20 % - Accent6 13 2" xfId="324"/>
    <cellStyle name="20 % - Accent6 13 3" xfId="325"/>
    <cellStyle name="20 % - Accent6 13 4" xfId="8337"/>
    <cellStyle name="20 % - Accent6 14" xfId="326"/>
    <cellStyle name="20 % - Accent6 14 2" xfId="327"/>
    <cellStyle name="20 % - Accent6 14 3" xfId="328"/>
    <cellStyle name="20 % - Accent6 14 4" xfId="8338"/>
    <cellStyle name="20 % - Accent6 15" xfId="329"/>
    <cellStyle name="20 % - Accent6 15 2" xfId="330"/>
    <cellStyle name="20 % - Accent6 15 3" xfId="331"/>
    <cellStyle name="20 % - Accent6 15 4" xfId="8339"/>
    <cellStyle name="20 % - Accent6 2" xfId="332"/>
    <cellStyle name="20 % - Accent6 2 2" xfId="333"/>
    <cellStyle name="20 % - Accent6 2 2 2" xfId="334"/>
    <cellStyle name="20 % - Accent6 2 2 2 2" xfId="11563"/>
    <cellStyle name="20 % - Accent6 2 2 3" xfId="7841"/>
    <cellStyle name="20 % - Accent6 2 3" xfId="335"/>
    <cellStyle name="20 % - Accent6 2 3 2" xfId="336"/>
    <cellStyle name="20 % - Accent6 2 3 2 2" xfId="337"/>
    <cellStyle name="20 % - Accent6 2 3 2 2 2" xfId="11728"/>
    <cellStyle name="20 % - Accent6 2 3 2 3" xfId="8341"/>
    <cellStyle name="20 % - Accent6 2 3 3" xfId="338"/>
    <cellStyle name="20 % - Accent6 2 3 3 2" xfId="11727"/>
    <cellStyle name="20 % - Accent6 2 3 4" xfId="8340"/>
    <cellStyle name="20 % - Accent6 2 4" xfId="339"/>
    <cellStyle name="20 % - Accent6 2 4 2" xfId="340"/>
    <cellStyle name="20 % - Accent6 2 4 2 2" xfId="11729"/>
    <cellStyle name="20 % - Accent6 2 4 3" xfId="8342"/>
    <cellStyle name="20 % - Accent6 2 5" xfId="341"/>
    <cellStyle name="20 % - Accent6 2 5 2" xfId="11562"/>
    <cellStyle name="20 % - Accent6 2 6" xfId="7840"/>
    <cellStyle name="20 % - Accent6 3" xfId="342"/>
    <cellStyle name="20 % - Accent6 3 2" xfId="343"/>
    <cellStyle name="20 % - Accent6 3 2 2" xfId="344"/>
    <cellStyle name="20 % - Accent6 3 2 2 2" xfId="11730"/>
    <cellStyle name="20 % - Accent6 3 2 3" xfId="8343"/>
    <cellStyle name="20 % - Accent6 3 3" xfId="345"/>
    <cellStyle name="20 % - Accent6 3 3 2" xfId="346"/>
    <cellStyle name="20 % - Accent6 3 3 2 2" xfId="11731"/>
    <cellStyle name="20 % - Accent6 3 3 3" xfId="8344"/>
    <cellStyle name="20 % - Accent6 3 4" xfId="347"/>
    <cellStyle name="20 % - Accent6 3 4 2" xfId="348"/>
    <cellStyle name="20 % - Accent6 3 4 2 2" xfId="11732"/>
    <cellStyle name="20 % - Accent6 3 4 3" xfId="8345"/>
    <cellStyle name="20 % - Accent6 3 5" xfId="349"/>
    <cellStyle name="20 % - Accent6 3 5 2" xfId="11564"/>
    <cellStyle name="20 % - Accent6 3 6" xfId="7842"/>
    <cellStyle name="20 % - Accent6 4" xfId="350"/>
    <cellStyle name="20 % - Accent6 4 2" xfId="351"/>
    <cellStyle name="20 % - Accent6 4 2 2" xfId="352"/>
    <cellStyle name="20 % - Accent6 4 2 2 2" xfId="11733"/>
    <cellStyle name="20 % - Accent6 4 2 3" xfId="8346"/>
    <cellStyle name="20 % - Accent6 4 3" xfId="353"/>
    <cellStyle name="20 % - Accent6 4 3 2" xfId="354"/>
    <cellStyle name="20 % - Accent6 4 3 2 2" xfId="11734"/>
    <cellStyle name="20 % - Accent6 4 3 3" xfId="8347"/>
    <cellStyle name="20 % - Accent6 4 4" xfId="355"/>
    <cellStyle name="20 % - Accent6 4 4 2" xfId="356"/>
    <cellStyle name="20 % - Accent6 4 4 2 2" xfId="11735"/>
    <cellStyle name="20 % - Accent6 4 4 3" xfId="8348"/>
    <cellStyle name="20 % - Accent6 4 5" xfId="357"/>
    <cellStyle name="20 % - Accent6 4 5 2" xfId="11565"/>
    <cellStyle name="20 % - Accent6 4 6" xfId="7843"/>
    <cellStyle name="20 % - Accent6 5" xfId="358"/>
    <cellStyle name="20 % - Accent6 5 2" xfId="359"/>
    <cellStyle name="20 % - Accent6 5 2 2" xfId="360"/>
    <cellStyle name="20 % - Accent6 5 2 2 2" xfId="11736"/>
    <cellStyle name="20 % - Accent6 5 2 3" xfId="8349"/>
    <cellStyle name="20 % - Accent6 5 3" xfId="361"/>
    <cellStyle name="20 % - Accent6 5 3 2" xfId="11566"/>
    <cellStyle name="20 % - Accent6 5 4" xfId="7844"/>
    <cellStyle name="20 % - Accent6 6" xfId="362"/>
    <cellStyle name="20 % - Accent6 6 2" xfId="363"/>
    <cellStyle name="20 % - Accent6 6 2 2" xfId="364"/>
    <cellStyle name="20 % - Accent6 6 2 2 2" xfId="11738"/>
    <cellStyle name="20 % - Accent6 6 2 3" xfId="8351"/>
    <cellStyle name="20 % - Accent6 6 3" xfId="365"/>
    <cellStyle name="20 % - Accent6 6 3 2" xfId="11737"/>
    <cellStyle name="20 % - Accent6 6 4" xfId="8350"/>
    <cellStyle name="20 % - Accent6 7" xfId="366"/>
    <cellStyle name="20 % - Accent6 7 2" xfId="367"/>
    <cellStyle name="20 % - Accent6 7 2 2" xfId="11739"/>
    <cellStyle name="20 % - Accent6 7 3" xfId="8352"/>
    <cellStyle name="20 % - Accent6 8" xfId="368"/>
    <cellStyle name="20 % - Accent6 8 2" xfId="369"/>
    <cellStyle name="20 % - Accent6 8 2 2" xfId="11740"/>
    <cellStyle name="20 % - Accent6 8 3" xfId="8353"/>
    <cellStyle name="20 % - Accent6 9" xfId="370"/>
    <cellStyle name="20 % - Accent6 9 2" xfId="371"/>
    <cellStyle name="20 % - Accent6 9 2 2" xfId="11741"/>
    <cellStyle name="20 % - Accent6 9 3" xfId="8354"/>
    <cellStyle name="2x indented GHG Textfiels" xfId="372"/>
    <cellStyle name="2x indented GHG Textfiels 2" xfId="373"/>
    <cellStyle name="2x indented GHG Textfiels 3" xfId="7845"/>
    <cellStyle name="40 % - Accent1 10" xfId="374"/>
    <cellStyle name="40 % - Accent1 10 2" xfId="375"/>
    <cellStyle name="40 % - Accent1 10 2 2" xfId="11742"/>
    <cellStyle name="40 % - Accent1 10 3" xfId="8355"/>
    <cellStyle name="40 % - Accent1 11" xfId="376"/>
    <cellStyle name="40 % - Accent1 11 2" xfId="377"/>
    <cellStyle name="40 % - Accent1 11 2 2" xfId="378"/>
    <cellStyle name="40 % - Accent1 11 2 2 2" xfId="11744"/>
    <cellStyle name="40 % - Accent1 11 2 3" xfId="8357"/>
    <cellStyle name="40 % - Accent1 11 3" xfId="379"/>
    <cellStyle name="40 % - Accent1 11 3 2" xfId="380"/>
    <cellStyle name="40 % - Accent1 11 3 2 2" xfId="11745"/>
    <cellStyle name="40 % - Accent1 11 3 3" xfId="8358"/>
    <cellStyle name="40 % - Accent1 11 4" xfId="381"/>
    <cellStyle name="40 % - Accent1 11 4 2" xfId="382"/>
    <cellStyle name="40 % - Accent1 11 4 2 2" xfId="11746"/>
    <cellStyle name="40 % - Accent1 11 4 3" xfId="8359"/>
    <cellStyle name="40 % - Accent1 11 5" xfId="383"/>
    <cellStyle name="40 % - Accent1 11 5 2" xfId="11743"/>
    <cellStyle name="40 % - Accent1 11 6" xfId="8356"/>
    <cellStyle name="40 % - Accent1 12" xfId="384"/>
    <cellStyle name="40 % - Accent1 12 2" xfId="385"/>
    <cellStyle name="40 % - Accent1 12 2 2" xfId="386"/>
    <cellStyle name="40 % - Accent1 12 2 2 2" xfId="11748"/>
    <cellStyle name="40 % - Accent1 12 2 3" xfId="8361"/>
    <cellStyle name="40 % - Accent1 12 3" xfId="387"/>
    <cellStyle name="40 % - Accent1 12 3 2" xfId="388"/>
    <cellStyle name="40 % - Accent1 12 3 2 2" xfId="11749"/>
    <cellStyle name="40 % - Accent1 12 3 3" xfId="8362"/>
    <cellStyle name="40 % - Accent1 12 4" xfId="389"/>
    <cellStyle name="40 % - Accent1 12 4 2" xfId="11747"/>
    <cellStyle name="40 % - Accent1 12 5" xfId="8360"/>
    <cellStyle name="40 % - Accent1 13" xfId="390"/>
    <cellStyle name="40 % - Accent1 13 2" xfId="391"/>
    <cellStyle name="40 % - Accent1 13 3" xfId="392"/>
    <cellStyle name="40 % - Accent1 13 4" xfId="8363"/>
    <cellStyle name="40 % - Accent1 14" xfId="393"/>
    <cellStyle name="40 % - Accent1 14 2" xfId="394"/>
    <cellStyle name="40 % - Accent1 14 3" xfId="395"/>
    <cellStyle name="40 % - Accent1 14 4" xfId="8364"/>
    <cellStyle name="40 % - Accent1 15" xfId="396"/>
    <cellStyle name="40 % - Accent1 15 2" xfId="397"/>
    <cellStyle name="40 % - Accent1 15 3" xfId="398"/>
    <cellStyle name="40 % - Accent1 15 4" xfId="8365"/>
    <cellStyle name="40 % - Accent1 2" xfId="399"/>
    <cellStyle name="40 % - Accent1 2 2" xfId="400"/>
    <cellStyle name="40 % - Accent1 2 2 2" xfId="401"/>
    <cellStyle name="40 % - Accent1 2 2 2 2" xfId="11568"/>
    <cellStyle name="40 % - Accent1 2 2 3" xfId="7847"/>
    <cellStyle name="40 % - Accent1 2 3" xfId="402"/>
    <cellStyle name="40 % - Accent1 2 3 2" xfId="403"/>
    <cellStyle name="40 % - Accent1 2 3 2 2" xfId="11750"/>
    <cellStyle name="40 % - Accent1 2 3 3" xfId="8366"/>
    <cellStyle name="40 % - Accent1 2 4" xfId="404"/>
    <cellStyle name="40 % - Accent1 2 4 2" xfId="405"/>
    <cellStyle name="40 % - Accent1 2 4 2 2" xfId="11751"/>
    <cellStyle name="40 % - Accent1 2 4 3" xfId="8367"/>
    <cellStyle name="40 % - Accent1 2 5" xfId="406"/>
    <cellStyle name="40 % - Accent1 2 5 2" xfId="11567"/>
    <cellStyle name="40 % - Accent1 2 6" xfId="7846"/>
    <cellStyle name="40 % - Accent1 3" xfId="407"/>
    <cellStyle name="40 % - Accent1 3 2" xfId="408"/>
    <cellStyle name="40 % - Accent1 3 2 2" xfId="409"/>
    <cellStyle name="40 % - Accent1 3 2 2 2" xfId="11752"/>
    <cellStyle name="40 % - Accent1 3 2 3" xfId="8368"/>
    <cellStyle name="40 % - Accent1 3 3" xfId="410"/>
    <cellStyle name="40 % - Accent1 3 3 2" xfId="411"/>
    <cellStyle name="40 % - Accent1 3 3 2 2" xfId="11753"/>
    <cellStyle name="40 % - Accent1 3 3 3" xfId="8369"/>
    <cellStyle name="40 % - Accent1 3 4" xfId="412"/>
    <cellStyle name="40 % - Accent1 3 4 2" xfId="413"/>
    <cellStyle name="40 % - Accent1 3 4 2 2" xfId="11754"/>
    <cellStyle name="40 % - Accent1 3 4 3" xfId="8370"/>
    <cellStyle name="40 % - Accent1 3 5" xfId="414"/>
    <cellStyle name="40 % - Accent1 3 5 2" xfId="11569"/>
    <cellStyle name="40 % - Accent1 3 6" xfId="7848"/>
    <cellStyle name="40 % - Accent1 4" xfId="415"/>
    <cellStyle name="40 % - Accent1 4 2" xfId="416"/>
    <cellStyle name="40 % - Accent1 4 2 2" xfId="417"/>
    <cellStyle name="40 % - Accent1 4 2 2 2" xfId="11755"/>
    <cellStyle name="40 % - Accent1 4 2 3" xfId="8371"/>
    <cellStyle name="40 % - Accent1 4 3" xfId="418"/>
    <cellStyle name="40 % - Accent1 4 3 2" xfId="419"/>
    <cellStyle name="40 % - Accent1 4 3 2 2" xfId="11756"/>
    <cellStyle name="40 % - Accent1 4 3 3" xfId="8372"/>
    <cellStyle name="40 % - Accent1 4 4" xfId="420"/>
    <cellStyle name="40 % - Accent1 4 4 2" xfId="421"/>
    <cellStyle name="40 % - Accent1 4 4 2 2" xfId="11757"/>
    <cellStyle name="40 % - Accent1 4 4 3" xfId="8373"/>
    <cellStyle name="40 % - Accent1 4 5" xfId="422"/>
    <cellStyle name="40 % - Accent1 4 5 2" xfId="11570"/>
    <cellStyle name="40 % - Accent1 4 6" xfId="7849"/>
    <cellStyle name="40 % - Accent1 5" xfId="423"/>
    <cellStyle name="40 % - Accent1 5 2" xfId="424"/>
    <cellStyle name="40 % - Accent1 5 2 2" xfId="425"/>
    <cellStyle name="40 % - Accent1 5 2 2 2" xfId="11758"/>
    <cellStyle name="40 % - Accent1 5 2 3" xfId="8374"/>
    <cellStyle name="40 % - Accent1 5 3" xfId="426"/>
    <cellStyle name="40 % - Accent1 5 3 2" xfId="11571"/>
    <cellStyle name="40 % - Accent1 5 4" xfId="7850"/>
    <cellStyle name="40 % - Accent1 6" xfId="427"/>
    <cellStyle name="40 % - Accent1 6 2" xfId="428"/>
    <cellStyle name="40 % - Accent1 6 2 2" xfId="429"/>
    <cellStyle name="40 % - Accent1 6 2 2 2" xfId="11760"/>
    <cellStyle name="40 % - Accent1 6 2 3" xfId="8376"/>
    <cellStyle name="40 % - Accent1 6 3" xfId="430"/>
    <cellStyle name="40 % - Accent1 6 3 2" xfId="11759"/>
    <cellStyle name="40 % - Accent1 6 4" xfId="8375"/>
    <cellStyle name="40 % - Accent1 7" xfId="431"/>
    <cellStyle name="40 % - Accent1 7 2" xfId="432"/>
    <cellStyle name="40 % - Accent1 7 2 2" xfId="11761"/>
    <cellStyle name="40 % - Accent1 7 3" xfId="8377"/>
    <cellStyle name="40 % - Accent1 8" xfId="433"/>
    <cellStyle name="40 % - Accent1 8 2" xfId="434"/>
    <cellStyle name="40 % - Accent1 8 2 2" xfId="11762"/>
    <cellStyle name="40 % - Accent1 8 3" xfId="8378"/>
    <cellStyle name="40 % - Accent1 9" xfId="435"/>
    <cellStyle name="40 % - Accent1 9 2" xfId="436"/>
    <cellStyle name="40 % - Accent1 9 2 2" xfId="11763"/>
    <cellStyle name="40 % - Accent1 9 3" xfId="8379"/>
    <cellStyle name="40 % - Accent2 10" xfId="437"/>
    <cellStyle name="40 % - Accent2 10 2" xfId="438"/>
    <cellStyle name="40 % - Accent2 10 2 2" xfId="11764"/>
    <cellStyle name="40 % - Accent2 10 3" xfId="8380"/>
    <cellStyle name="40 % - Accent2 11" xfId="439"/>
    <cellStyle name="40 % - Accent2 11 2" xfId="440"/>
    <cellStyle name="40 % - Accent2 11 2 2" xfId="441"/>
    <cellStyle name="40 % - Accent2 11 2 2 2" xfId="11766"/>
    <cellStyle name="40 % - Accent2 11 2 3" xfId="8382"/>
    <cellStyle name="40 % - Accent2 11 3" xfId="442"/>
    <cellStyle name="40 % - Accent2 11 3 2" xfId="11765"/>
    <cellStyle name="40 % - Accent2 11 4" xfId="8381"/>
    <cellStyle name="40 % - Accent2 12" xfId="443"/>
    <cellStyle name="40 % - Accent2 12 2" xfId="444"/>
    <cellStyle name="40 % - Accent2 12 2 2" xfId="11767"/>
    <cellStyle name="40 % - Accent2 12 3" xfId="8383"/>
    <cellStyle name="40 % - Accent2 13" xfId="445"/>
    <cellStyle name="40 % - Accent2 13 2" xfId="446"/>
    <cellStyle name="40 % - Accent2 13 3" xfId="447"/>
    <cellStyle name="40 % - Accent2 13 4" xfId="8384"/>
    <cellStyle name="40 % - Accent2 2" xfId="448"/>
    <cellStyle name="40 % - Accent2 2 2" xfId="449"/>
    <cellStyle name="40 % - Accent2 2 2 2" xfId="450"/>
    <cellStyle name="40 % - Accent2 2 2 2 2" xfId="11573"/>
    <cellStyle name="40 % - Accent2 2 2 3" xfId="7852"/>
    <cellStyle name="40 % - Accent2 2 3" xfId="451"/>
    <cellStyle name="40 % - Accent2 2 3 2" xfId="452"/>
    <cellStyle name="40 % - Accent2 2 3 2 2" xfId="11768"/>
    <cellStyle name="40 % - Accent2 2 3 3" xfId="8385"/>
    <cellStyle name="40 % - Accent2 2 4" xfId="453"/>
    <cellStyle name="40 % - Accent2 2 4 2" xfId="454"/>
    <cellStyle name="40 % - Accent2 2 4 2 2" xfId="11769"/>
    <cellStyle name="40 % - Accent2 2 4 3" xfId="8386"/>
    <cellStyle name="40 % - Accent2 2 5" xfId="455"/>
    <cellStyle name="40 % - Accent2 2 5 2" xfId="11572"/>
    <cellStyle name="40 % - Accent2 2 6" xfId="7851"/>
    <cellStyle name="40 % - Accent2 3" xfId="456"/>
    <cellStyle name="40 % - Accent2 3 2" xfId="457"/>
    <cellStyle name="40 % - Accent2 3 2 2" xfId="458"/>
    <cellStyle name="40 % - Accent2 3 2 2 2" xfId="11770"/>
    <cellStyle name="40 % - Accent2 3 2 3" xfId="8387"/>
    <cellStyle name="40 % - Accent2 3 3" xfId="459"/>
    <cellStyle name="40 % - Accent2 3 3 2" xfId="460"/>
    <cellStyle name="40 % - Accent2 3 3 2 2" xfId="11771"/>
    <cellStyle name="40 % - Accent2 3 3 3" xfId="8388"/>
    <cellStyle name="40 % - Accent2 3 4" xfId="461"/>
    <cellStyle name="40 % - Accent2 3 4 2" xfId="462"/>
    <cellStyle name="40 % - Accent2 3 4 2 2" xfId="11772"/>
    <cellStyle name="40 % - Accent2 3 4 3" xfId="8389"/>
    <cellStyle name="40 % - Accent2 3 5" xfId="463"/>
    <cellStyle name="40 % - Accent2 3 5 2" xfId="11574"/>
    <cellStyle name="40 % - Accent2 3 6" xfId="7853"/>
    <cellStyle name="40 % - Accent2 4" xfId="464"/>
    <cellStyle name="40 % - Accent2 4 2" xfId="465"/>
    <cellStyle name="40 % - Accent2 4 2 2" xfId="466"/>
    <cellStyle name="40 % - Accent2 4 2 2 2" xfId="11773"/>
    <cellStyle name="40 % - Accent2 4 2 3" xfId="8390"/>
    <cellStyle name="40 % - Accent2 4 3" xfId="467"/>
    <cellStyle name="40 % - Accent2 4 3 2" xfId="468"/>
    <cellStyle name="40 % - Accent2 4 3 2 2" xfId="11774"/>
    <cellStyle name="40 % - Accent2 4 3 3" xfId="8391"/>
    <cellStyle name="40 % - Accent2 4 4" xfId="469"/>
    <cellStyle name="40 % - Accent2 4 4 2" xfId="470"/>
    <cellStyle name="40 % - Accent2 4 4 2 2" xfId="11775"/>
    <cellStyle name="40 % - Accent2 4 4 3" xfId="8392"/>
    <cellStyle name="40 % - Accent2 4 5" xfId="471"/>
    <cellStyle name="40 % - Accent2 4 5 2" xfId="11575"/>
    <cellStyle name="40 % - Accent2 4 6" xfId="7854"/>
    <cellStyle name="40 % - Accent2 5" xfId="472"/>
    <cellStyle name="40 % - Accent2 5 2" xfId="473"/>
    <cellStyle name="40 % - Accent2 5 2 2" xfId="474"/>
    <cellStyle name="40 % - Accent2 5 2 2 2" xfId="11776"/>
    <cellStyle name="40 % - Accent2 5 2 3" xfId="8393"/>
    <cellStyle name="40 % - Accent2 5 3" xfId="475"/>
    <cellStyle name="40 % - Accent2 5 3 2" xfId="11576"/>
    <cellStyle name="40 % - Accent2 5 4" xfId="7855"/>
    <cellStyle name="40 % - Accent2 6" xfId="476"/>
    <cellStyle name="40 % - Accent2 6 2" xfId="477"/>
    <cellStyle name="40 % - Accent2 6 2 2" xfId="11777"/>
    <cellStyle name="40 % - Accent2 6 3" xfId="8394"/>
    <cellStyle name="40 % - Accent2 7" xfId="478"/>
    <cellStyle name="40 % - Accent2 7 2" xfId="479"/>
    <cellStyle name="40 % - Accent2 7 2 2" xfId="11778"/>
    <cellStyle name="40 % - Accent2 7 3" xfId="8395"/>
    <cellStyle name="40 % - Accent2 8" xfId="480"/>
    <cellStyle name="40 % - Accent2 8 2" xfId="481"/>
    <cellStyle name="40 % - Accent2 8 2 2" xfId="11779"/>
    <cellStyle name="40 % - Accent2 8 3" xfId="8396"/>
    <cellStyle name="40 % - Accent2 9" xfId="482"/>
    <cellStyle name="40 % - Accent2 9 2" xfId="483"/>
    <cellStyle name="40 % - Accent2 9 2 2" xfId="11780"/>
    <cellStyle name="40 % - Accent2 9 3" xfId="8397"/>
    <cellStyle name="40 % - Accent3 10" xfId="484"/>
    <cellStyle name="40 % - Accent3 10 2" xfId="485"/>
    <cellStyle name="40 % - Accent3 10 2 2" xfId="11781"/>
    <cellStyle name="40 % - Accent3 10 3" xfId="8398"/>
    <cellStyle name="40 % - Accent3 11" xfId="486"/>
    <cellStyle name="40 % - Accent3 11 2" xfId="487"/>
    <cellStyle name="40 % - Accent3 11 2 2" xfId="488"/>
    <cellStyle name="40 % - Accent3 11 2 2 2" xfId="11783"/>
    <cellStyle name="40 % - Accent3 11 2 3" xfId="8400"/>
    <cellStyle name="40 % - Accent3 11 3" xfId="489"/>
    <cellStyle name="40 % - Accent3 11 3 2" xfId="490"/>
    <cellStyle name="40 % - Accent3 11 3 2 2" xfId="11784"/>
    <cellStyle name="40 % - Accent3 11 3 3" xfId="8401"/>
    <cellStyle name="40 % - Accent3 11 4" xfId="491"/>
    <cellStyle name="40 % - Accent3 11 4 2" xfId="492"/>
    <cellStyle name="40 % - Accent3 11 4 2 2" xfId="11785"/>
    <cellStyle name="40 % - Accent3 11 4 3" xfId="8402"/>
    <cellStyle name="40 % - Accent3 11 5" xfId="493"/>
    <cellStyle name="40 % - Accent3 11 5 2" xfId="11782"/>
    <cellStyle name="40 % - Accent3 11 6" xfId="8399"/>
    <cellStyle name="40 % - Accent3 12" xfId="494"/>
    <cellStyle name="40 % - Accent3 12 2" xfId="495"/>
    <cellStyle name="40 % - Accent3 12 2 2" xfId="496"/>
    <cellStyle name="40 % - Accent3 12 2 2 2" xfId="11787"/>
    <cellStyle name="40 % - Accent3 12 2 3" xfId="8404"/>
    <cellStyle name="40 % - Accent3 12 3" xfId="497"/>
    <cellStyle name="40 % - Accent3 12 3 2" xfId="498"/>
    <cellStyle name="40 % - Accent3 12 3 2 2" xfId="11788"/>
    <cellStyle name="40 % - Accent3 12 3 3" xfId="8405"/>
    <cellStyle name="40 % - Accent3 12 4" xfId="499"/>
    <cellStyle name="40 % - Accent3 12 4 2" xfId="11786"/>
    <cellStyle name="40 % - Accent3 12 5" xfId="8403"/>
    <cellStyle name="40 % - Accent3 13" xfId="500"/>
    <cellStyle name="40 % - Accent3 13 2" xfId="501"/>
    <cellStyle name="40 % - Accent3 13 3" xfId="502"/>
    <cellStyle name="40 % - Accent3 13 4" xfId="8406"/>
    <cellStyle name="40 % - Accent3 14" xfId="503"/>
    <cellStyle name="40 % - Accent3 14 2" xfId="504"/>
    <cellStyle name="40 % - Accent3 14 3" xfId="505"/>
    <cellStyle name="40 % - Accent3 14 4" xfId="8407"/>
    <cellStyle name="40 % - Accent3 15" xfId="506"/>
    <cellStyle name="40 % - Accent3 15 2" xfId="507"/>
    <cellStyle name="40 % - Accent3 15 3" xfId="508"/>
    <cellStyle name="40 % - Accent3 15 4" xfId="8408"/>
    <cellStyle name="40 % - Accent3 2" xfId="509"/>
    <cellStyle name="40 % - Accent3 2 2" xfId="510"/>
    <cellStyle name="40 % - Accent3 2 2 2" xfId="511"/>
    <cellStyle name="40 % - Accent3 2 2 2 2" xfId="11578"/>
    <cellStyle name="40 % - Accent3 2 2 3" xfId="7857"/>
    <cellStyle name="40 % - Accent3 2 3" xfId="512"/>
    <cellStyle name="40 % - Accent3 2 3 2" xfId="513"/>
    <cellStyle name="40 % - Accent3 2 3 2 2" xfId="514"/>
    <cellStyle name="40 % - Accent3 2 3 2 2 2" xfId="11790"/>
    <cellStyle name="40 % - Accent3 2 3 2 3" xfId="8410"/>
    <cellStyle name="40 % - Accent3 2 3 3" xfId="515"/>
    <cellStyle name="40 % - Accent3 2 3 3 2" xfId="11789"/>
    <cellStyle name="40 % - Accent3 2 3 4" xfId="8409"/>
    <cellStyle name="40 % - Accent3 2 4" xfId="516"/>
    <cellStyle name="40 % - Accent3 2 4 2" xfId="517"/>
    <cellStyle name="40 % - Accent3 2 4 2 2" xfId="11791"/>
    <cellStyle name="40 % - Accent3 2 4 3" xfId="8411"/>
    <cellStyle name="40 % - Accent3 2 5" xfId="518"/>
    <cellStyle name="40 % - Accent3 2 5 2" xfId="11577"/>
    <cellStyle name="40 % - Accent3 2 6" xfId="7856"/>
    <cellStyle name="40 % - Accent3 3" xfId="519"/>
    <cellStyle name="40 % - Accent3 3 2" xfId="520"/>
    <cellStyle name="40 % - Accent3 3 2 2" xfId="521"/>
    <cellStyle name="40 % - Accent3 3 2 2 2" xfId="11792"/>
    <cellStyle name="40 % - Accent3 3 2 3" xfId="8412"/>
    <cellStyle name="40 % - Accent3 3 3" xfId="522"/>
    <cellStyle name="40 % - Accent3 3 3 2" xfId="523"/>
    <cellStyle name="40 % - Accent3 3 3 2 2" xfId="11793"/>
    <cellStyle name="40 % - Accent3 3 3 3" xfId="8413"/>
    <cellStyle name="40 % - Accent3 3 4" xfId="524"/>
    <cellStyle name="40 % - Accent3 3 4 2" xfId="525"/>
    <cellStyle name="40 % - Accent3 3 4 2 2" xfId="11794"/>
    <cellStyle name="40 % - Accent3 3 4 3" xfId="8414"/>
    <cellStyle name="40 % - Accent3 3 5" xfId="526"/>
    <cellStyle name="40 % - Accent3 3 5 2" xfId="11579"/>
    <cellStyle name="40 % - Accent3 3 6" xfId="7858"/>
    <cellStyle name="40 % - Accent3 4" xfId="527"/>
    <cellStyle name="40 % - Accent3 4 2" xfId="528"/>
    <cellStyle name="40 % - Accent3 4 2 2" xfId="529"/>
    <cellStyle name="40 % - Accent3 4 2 2 2" xfId="11795"/>
    <cellStyle name="40 % - Accent3 4 2 3" xfId="8415"/>
    <cellStyle name="40 % - Accent3 4 3" xfId="530"/>
    <cellStyle name="40 % - Accent3 4 3 2" xfId="531"/>
    <cellStyle name="40 % - Accent3 4 3 2 2" xfId="11796"/>
    <cellStyle name="40 % - Accent3 4 3 3" xfId="8416"/>
    <cellStyle name="40 % - Accent3 4 4" xfId="532"/>
    <cellStyle name="40 % - Accent3 4 4 2" xfId="533"/>
    <cellStyle name="40 % - Accent3 4 4 2 2" xfId="11797"/>
    <cellStyle name="40 % - Accent3 4 4 3" xfId="8417"/>
    <cellStyle name="40 % - Accent3 4 5" xfId="534"/>
    <cellStyle name="40 % - Accent3 4 5 2" xfId="11580"/>
    <cellStyle name="40 % - Accent3 4 6" xfId="7859"/>
    <cellStyle name="40 % - Accent3 5" xfId="535"/>
    <cellStyle name="40 % - Accent3 5 2" xfId="536"/>
    <cellStyle name="40 % - Accent3 5 2 2" xfId="537"/>
    <cellStyle name="40 % - Accent3 5 2 2 2" xfId="11798"/>
    <cellStyle name="40 % - Accent3 5 2 3" xfId="8418"/>
    <cellStyle name="40 % - Accent3 5 3" xfId="538"/>
    <cellStyle name="40 % - Accent3 5 3 2" xfId="11581"/>
    <cellStyle name="40 % - Accent3 5 4" xfId="7860"/>
    <cellStyle name="40 % - Accent3 6" xfId="539"/>
    <cellStyle name="40 % - Accent3 6 2" xfId="540"/>
    <cellStyle name="40 % - Accent3 6 2 2" xfId="541"/>
    <cellStyle name="40 % - Accent3 6 2 2 2" xfId="11800"/>
    <cellStyle name="40 % - Accent3 6 2 3" xfId="8420"/>
    <cellStyle name="40 % - Accent3 6 3" xfId="542"/>
    <cellStyle name="40 % - Accent3 6 3 2" xfId="11799"/>
    <cellStyle name="40 % - Accent3 6 4" xfId="8419"/>
    <cellStyle name="40 % - Accent3 7" xfId="543"/>
    <cellStyle name="40 % - Accent3 7 2" xfId="544"/>
    <cellStyle name="40 % - Accent3 7 2 2" xfId="11801"/>
    <cellStyle name="40 % - Accent3 7 3" xfId="8421"/>
    <cellStyle name="40 % - Accent3 8" xfId="545"/>
    <cellStyle name="40 % - Accent3 8 2" xfId="546"/>
    <cellStyle name="40 % - Accent3 8 2 2" xfId="11802"/>
    <cellStyle name="40 % - Accent3 8 3" xfId="8422"/>
    <cellStyle name="40 % - Accent3 9" xfId="547"/>
    <cellStyle name="40 % - Accent3 9 2" xfId="548"/>
    <cellStyle name="40 % - Accent3 9 2 2" xfId="11803"/>
    <cellStyle name="40 % - Accent3 9 3" xfId="8423"/>
    <cellStyle name="40 % - Accent4 10" xfId="549"/>
    <cellStyle name="40 % - Accent4 10 2" xfId="550"/>
    <cellStyle name="40 % - Accent4 10 2 2" xfId="11804"/>
    <cellStyle name="40 % - Accent4 10 3" xfId="8424"/>
    <cellStyle name="40 % - Accent4 11" xfId="551"/>
    <cellStyle name="40 % - Accent4 11 2" xfId="552"/>
    <cellStyle name="40 % - Accent4 11 2 2" xfId="553"/>
    <cellStyle name="40 % - Accent4 11 2 2 2" xfId="11806"/>
    <cellStyle name="40 % - Accent4 11 2 3" xfId="8426"/>
    <cellStyle name="40 % - Accent4 11 3" xfId="554"/>
    <cellStyle name="40 % - Accent4 11 3 2" xfId="555"/>
    <cellStyle name="40 % - Accent4 11 3 2 2" xfId="11807"/>
    <cellStyle name="40 % - Accent4 11 3 3" xfId="8427"/>
    <cellStyle name="40 % - Accent4 11 4" xfId="556"/>
    <cellStyle name="40 % - Accent4 11 4 2" xfId="557"/>
    <cellStyle name="40 % - Accent4 11 4 2 2" xfId="11808"/>
    <cellStyle name="40 % - Accent4 11 4 3" xfId="8428"/>
    <cellStyle name="40 % - Accent4 11 5" xfId="558"/>
    <cellStyle name="40 % - Accent4 11 5 2" xfId="11805"/>
    <cellStyle name="40 % - Accent4 11 6" xfId="8425"/>
    <cellStyle name="40 % - Accent4 12" xfId="559"/>
    <cellStyle name="40 % - Accent4 12 2" xfId="560"/>
    <cellStyle name="40 % - Accent4 12 2 2" xfId="561"/>
    <cellStyle name="40 % - Accent4 12 2 2 2" xfId="11810"/>
    <cellStyle name="40 % - Accent4 12 2 3" xfId="8430"/>
    <cellStyle name="40 % - Accent4 12 3" xfId="562"/>
    <cellStyle name="40 % - Accent4 12 3 2" xfId="563"/>
    <cellStyle name="40 % - Accent4 12 3 2 2" xfId="11811"/>
    <cellStyle name="40 % - Accent4 12 3 3" xfId="8431"/>
    <cellStyle name="40 % - Accent4 12 4" xfId="564"/>
    <cellStyle name="40 % - Accent4 12 4 2" xfId="11809"/>
    <cellStyle name="40 % - Accent4 12 5" xfId="8429"/>
    <cellStyle name="40 % - Accent4 13" xfId="565"/>
    <cellStyle name="40 % - Accent4 13 2" xfId="566"/>
    <cellStyle name="40 % - Accent4 13 3" xfId="567"/>
    <cellStyle name="40 % - Accent4 13 4" xfId="8432"/>
    <cellStyle name="40 % - Accent4 14" xfId="568"/>
    <cellStyle name="40 % - Accent4 14 2" xfId="569"/>
    <cellStyle name="40 % - Accent4 14 3" xfId="570"/>
    <cellStyle name="40 % - Accent4 14 4" xfId="8433"/>
    <cellStyle name="40 % - Accent4 15" xfId="571"/>
    <cellStyle name="40 % - Accent4 15 2" xfId="572"/>
    <cellStyle name="40 % - Accent4 15 3" xfId="573"/>
    <cellStyle name="40 % - Accent4 15 4" xfId="8434"/>
    <cellStyle name="40 % - Accent4 2" xfId="574"/>
    <cellStyle name="40 % - Accent4 2 2" xfId="575"/>
    <cellStyle name="40 % - Accent4 2 2 2" xfId="576"/>
    <cellStyle name="40 % - Accent4 2 2 2 2" xfId="11583"/>
    <cellStyle name="40 % - Accent4 2 2 3" xfId="7862"/>
    <cellStyle name="40 % - Accent4 2 3" xfId="577"/>
    <cellStyle name="40 % - Accent4 2 3 2" xfId="578"/>
    <cellStyle name="40 % - Accent4 2 3 2 2" xfId="11812"/>
    <cellStyle name="40 % - Accent4 2 3 3" xfId="8435"/>
    <cellStyle name="40 % - Accent4 2 4" xfId="579"/>
    <cellStyle name="40 % - Accent4 2 4 2" xfId="580"/>
    <cellStyle name="40 % - Accent4 2 4 2 2" xfId="11813"/>
    <cellStyle name="40 % - Accent4 2 4 3" xfId="8436"/>
    <cellStyle name="40 % - Accent4 2 5" xfId="581"/>
    <cellStyle name="40 % - Accent4 2 5 2" xfId="11582"/>
    <cellStyle name="40 % - Accent4 2 6" xfId="7861"/>
    <cellStyle name="40 % - Accent4 3" xfId="582"/>
    <cellStyle name="40 % - Accent4 3 2" xfId="583"/>
    <cellStyle name="40 % - Accent4 3 2 2" xfId="584"/>
    <cellStyle name="40 % - Accent4 3 2 2 2" xfId="11814"/>
    <cellStyle name="40 % - Accent4 3 2 3" xfId="8437"/>
    <cellStyle name="40 % - Accent4 3 3" xfId="585"/>
    <cellStyle name="40 % - Accent4 3 3 2" xfId="586"/>
    <cellStyle name="40 % - Accent4 3 3 2 2" xfId="11815"/>
    <cellStyle name="40 % - Accent4 3 3 3" xfId="8438"/>
    <cellStyle name="40 % - Accent4 3 4" xfId="587"/>
    <cellStyle name="40 % - Accent4 3 4 2" xfId="588"/>
    <cellStyle name="40 % - Accent4 3 4 2 2" xfId="11816"/>
    <cellStyle name="40 % - Accent4 3 4 3" xfId="8439"/>
    <cellStyle name="40 % - Accent4 3 5" xfId="589"/>
    <cellStyle name="40 % - Accent4 3 5 2" xfId="11584"/>
    <cellStyle name="40 % - Accent4 3 6" xfId="7863"/>
    <cellStyle name="40 % - Accent4 4" xfId="590"/>
    <cellStyle name="40 % - Accent4 4 2" xfId="591"/>
    <cellStyle name="40 % - Accent4 4 2 2" xfId="592"/>
    <cellStyle name="40 % - Accent4 4 2 2 2" xfId="11817"/>
    <cellStyle name="40 % - Accent4 4 2 3" xfId="8440"/>
    <cellStyle name="40 % - Accent4 4 3" xfId="593"/>
    <cellStyle name="40 % - Accent4 4 3 2" xfId="594"/>
    <cellStyle name="40 % - Accent4 4 3 2 2" xfId="11818"/>
    <cellStyle name="40 % - Accent4 4 3 3" xfId="8441"/>
    <cellStyle name="40 % - Accent4 4 4" xfId="595"/>
    <cellStyle name="40 % - Accent4 4 4 2" xfId="596"/>
    <cellStyle name="40 % - Accent4 4 4 2 2" xfId="11819"/>
    <cellStyle name="40 % - Accent4 4 4 3" xfId="8442"/>
    <cellStyle name="40 % - Accent4 4 5" xfId="597"/>
    <cellStyle name="40 % - Accent4 4 5 2" xfId="11585"/>
    <cellStyle name="40 % - Accent4 4 6" xfId="7864"/>
    <cellStyle name="40 % - Accent4 5" xfId="598"/>
    <cellStyle name="40 % - Accent4 5 2" xfId="599"/>
    <cellStyle name="40 % - Accent4 5 2 2" xfId="600"/>
    <cellStyle name="40 % - Accent4 5 2 2 2" xfId="11820"/>
    <cellStyle name="40 % - Accent4 5 2 3" xfId="8443"/>
    <cellStyle name="40 % - Accent4 5 3" xfId="601"/>
    <cellStyle name="40 % - Accent4 5 3 2" xfId="11586"/>
    <cellStyle name="40 % - Accent4 5 4" xfId="7865"/>
    <cellStyle name="40 % - Accent4 6" xfId="602"/>
    <cellStyle name="40 % - Accent4 6 2" xfId="603"/>
    <cellStyle name="40 % - Accent4 6 2 2" xfId="604"/>
    <cellStyle name="40 % - Accent4 6 2 2 2" xfId="11822"/>
    <cellStyle name="40 % - Accent4 6 2 3" xfId="8445"/>
    <cellStyle name="40 % - Accent4 6 3" xfId="605"/>
    <cellStyle name="40 % - Accent4 6 3 2" xfId="11821"/>
    <cellStyle name="40 % - Accent4 6 4" xfId="8444"/>
    <cellStyle name="40 % - Accent4 7" xfId="606"/>
    <cellStyle name="40 % - Accent4 7 2" xfId="607"/>
    <cellStyle name="40 % - Accent4 7 2 2" xfId="11823"/>
    <cellStyle name="40 % - Accent4 7 3" xfId="8446"/>
    <cellStyle name="40 % - Accent4 8" xfId="608"/>
    <cellStyle name="40 % - Accent4 8 2" xfId="609"/>
    <cellStyle name="40 % - Accent4 8 2 2" xfId="11824"/>
    <cellStyle name="40 % - Accent4 8 3" xfId="8447"/>
    <cellStyle name="40 % - Accent4 9" xfId="610"/>
    <cellStyle name="40 % - Accent4 9 2" xfId="611"/>
    <cellStyle name="40 % - Accent4 9 2 2" xfId="11825"/>
    <cellStyle name="40 % - Accent4 9 3" xfId="8448"/>
    <cellStyle name="40 % - Accent5 10" xfId="612"/>
    <cellStyle name="40 % - Accent5 10 2" xfId="613"/>
    <cellStyle name="40 % - Accent5 10 2 2" xfId="11826"/>
    <cellStyle name="40 % - Accent5 10 3" xfId="8449"/>
    <cellStyle name="40 % - Accent5 11" xfId="614"/>
    <cellStyle name="40 % - Accent5 11 2" xfId="615"/>
    <cellStyle name="40 % - Accent5 11 2 2" xfId="616"/>
    <cellStyle name="40 % - Accent5 11 2 2 2" xfId="11828"/>
    <cellStyle name="40 % - Accent5 11 2 3" xfId="8451"/>
    <cellStyle name="40 % - Accent5 11 3" xfId="617"/>
    <cellStyle name="40 % - Accent5 11 3 2" xfId="618"/>
    <cellStyle name="40 % - Accent5 11 3 2 2" xfId="11829"/>
    <cellStyle name="40 % - Accent5 11 3 3" xfId="8452"/>
    <cellStyle name="40 % - Accent5 11 4" xfId="619"/>
    <cellStyle name="40 % - Accent5 11 4 2" xfId="620"/>
    <cellStyle name="40 % - Accent5 11 4 2 2" xfId="11830"/>
    <cellStyle name="40 % - Accent5 11 4 3" xfId="8453"/>
    <cellStyle name="40 % - Accent5 11 5" xfId="621"/>
    <cellStyle name="40 % - Accent5 11 5 2" xfId="11827"/>
    <cellStyle name="40 % - Accent5 11 6" xfId="8450"/>
    <cellStyle name="40 % - Accent5 12" xfId="622"/>
    <cellStyle name="40 % - Accent5 12 2" xfId="623"/>
    <cellStyle name="40 % - Accent5 12 2 2" xfId="624"/>
    <cellStyle name="40 % - Accent5 12 2 2 2" xfId="11832"/>
    <cellStyle name="40 % - Accent5 12 2 3" xfId="8455"/>
    <cellStyle name="40 % - Accent5 12 3" xfId="625"/>
    <cellStyle name="40 % - Accent5 12 3 2" xfId="626"/>
    <cellStyle name="40 % - Accent5 12 3 2 2" xfId="11833"/>
    <cellStyle name="40 % - Accent5 12 3 3" xfId="8456"/>
    <cellStyle name="40 % - Accent5 12 4" xfId="627"/>
    <cellStyle name="40 % - Accent5 12 4 2" xfId="11831"/>
    <cellStyle name="40 % - Accent5 12 5" xfId="8454"/>
    <cellStyle name="40 % - Accent5 13" xfId="628"/>
    <cellStyle name="40 % - Accent5 13 2" xfId="629"/>
    <cellStyle name="40 % - Accent5 13 3" xfId="630"/>
    <cellStyle name="40 % - Accent5 13 4" xfId="8457"/>
    <cellStyle name="40 % - Accent5 14" xfId="631"/>
    <cellStyle name="40 % - Accent5 14 2" xfId="632"/>
    <cellStyle name="40 % - Accent5 14 3" xfId="633"/>
    <cellStyle name="40 % - Accent5 14 4" xfId="8458"/>
    <cellStyle name="40 % - Accent5 15" xfId="634"/>
    <cellStyle name="40 % - Accent5 15 2" xfId="635"/>
    <cellStyle name="40 % - Accent5 15 3" xfId="636"/>
    <cellStyle name="40 % - Accent5 15 4" xfId="8459"/>
    <cellStyle name="40 % - Accent5 2" xfId="637"/>
    <cellStyle name="40 % - Accent5 2 2" xfId="638"/>
    <cellStyle name="40 % - Accent5 2 2 2" xfId="639"/>
    <cellStyle name="40 % - Accent5 2 2 2 2" xfId="11588"/>
    <cellStyle name="40 % - Accent5 2 2 3" xfId="7867"/>
    <cellStyle name="40 % - Accent5 2 3" xfId="640"/>
    <cellStyle name="40 % - Accent5 2 3 2" xfId="641"/>
    <cellStyle name="40 % - Accent5 2 3 2 2" xfId="11834"/>
    <cellStyle name="40 % - Accent5 2 3 3" xfId="8460"/>
    <cellStyle name="40 % - Accent5 2 4" xfId="642"/>
    <cellStyle name="40 % - Accent5 2 4 2" xfId="643"/>
    <cellStyle name="40 % - Accent5 2 4 2 2" xfId="11835"/>
    <cellStyle name="40 % - Accent5 2 4 3" xfId="8461"/>
    <cellStyle name="40 % - Accent5 2 5" xfId="644"/>
    <cellStyle name="40 % - Accent5 2 5 2" xfId="11587"/>
    <cellStyle name="40 % - Accent5 2 6" xfId="7866"/>
    <cellStyle name="40 % - Accent5 3" xfId="645"/>
    <cellStyle name="40 % - Accent5 3 2" xfId="646"/>
    <cellStyle name="40 % - Accent5 3 2 2" xfId="647"/>
    <cellStyle name="40 % - Accent5 3 2 2 2" xfId="11836"/>
    <cellStyle name="40 % - Accent5 3 2 3" xfId="8462"/>
    <cellStyle name="40 % - Accent5 3 3" xfId="648"/>
    <cellStyle name="40 % - Accent5 3 3 2" xfId="649"/>
    <cellStyle name="40 % - Accent5 3 3 2 2" xfId="11837"/>
    <cellStyle name="40 % - Accent5 3 3 3" xfId="8463"/>
    <cellStyle name="40 % - Accent5 3 4" xfId="650"/>
    <cellStyle name="40 % - Accent5 3 4 2" xfId="651"/>
    <cellStyle name="40 % - Accent5 3 4 2 2" xfId="11838"/>
    <cellStyle name="40 % - Accent5 3 4 3" xfId="8464"/>
    <cellStyle name="40 % - Accent5 3 5" xfId="652"/>
    <cellStyle name="40 % - Accent5 3 5 2" xfId="11589"/>
    <cellStyle name="40 % - Accent5 3 6" xfId="7868"/>
    <cellStyle name="40 % - Accent5 4" xfId="653"/>
    <cellStyle name="40 % - Accent5 4 2" xfId="654"/>
    <cellStyle name="40 % - Accent5 4 2 2" xfId="655"/>
    <cellStyle name="40 % - Accent5 4 2 2 2" xfId="11839"/>
    <cellStyle name="40 % - Accent5 4 2 3" xfId="8465"/>
    <cellStyle name="40 % - Accent5 4 3" xfId="656"/>
    <cellStyle name="40 % - Accent5 4 3 2" xfId="657"/>
    <cellStyle name="40 % - Accent5 4 3 2 2" xfId="11840"/>
    <cellStyle name="40 % - Accent5 4 3 3" xfId="8466"/>
    <cellStyle name="40 % - Accent5 4 4" xfId="658"/>
    <cellStyle name="40 % - Accent5 4 4 2" xfId="659"/>
    <cellStyle name="40 % - Accent5 4 4 2 2" xfId="11841"/>
    <cellStyle name="40 % - Accent5 4 4 3" xfId="8467"/>
    <cellStyle name="40 % - Accent5 4 5" xfId="660"/>
    <cellStyle name="40 % - Accent5 4 5 2" xfId="11590"/>
    <cellStyle name="40 % - Accent5 4 6" xfId="7869"/>
    <cellStyle name="40 % - Accent5 5" xfId="661"/>
    <cellStyle name="40 % - Accent5 5 2" xfId="662"/>
    <cellStyle name="40 % - Accent5 5 2 2" xfId="663"/>
    <cellStyle name="40 % - Accent5 5 2 2 2" xfId="11842"/>
    <cellStyle name="40 % - Accent5 5 2 3" xfId="8468"/>
    <cellStyle name="40 % - Accent5 5 3" xfId="664"/>
    <cellStyle name="40 % - Accent5 5 3 2" xfId="11591"/>
    <cellStyle name="40 % - Accent5 5 4" xfId="7870"/>
    <cellStyle name="40 % - Accent5 6" xfId="665"/>
    <cellStyle name="40 % - Accent5 6 2" xfId="666"/>
    <cellStyle name="40 % - Accent5 6 2 2" xfId="667"/>
    <cellStyle name="40 % - Accent5 6 2 2 2" xfId="11844"/>
    <cellStyle name="40 % - Accent5 6 2 3" xfId="8470"/>
    <cellStyle name="40 % - Accent5 6 3" xfId="668"/>
    <cellStyle name="40 % - Accent5 6 3 2" xfId="11843"/>
    <cellStyle name="40 % - Accent5 6 4" xfId="8469"/>
    <cellStyle name="40 % - Accent5 7" xfId="669"/>
    <cellStyle name="40 % - Accent5 7 2" xfId="670"/>
    <cellStyle name="40 % - Accent5 7 2 2" xfId="11845"/>
    <cellStyle name="40 % - Accent5 7 3" xfId="8471"/>
    <cellStyle name="40 % - Accent5 8" xfId="671"/>
    <cellStyle name="40 % - Accent5 8 2" xfId="672"/>
    <cellStyle name="40 % - Accent5 8 2 2" xfId="11846"/>
    <cellStyle name="40 % - Accent5 8 3" xfId="8472"/>
    <cellStyle name="40 % - Accent5 9" xfId="673"/>
    <cellStyle name="40 % - Accent5 9 2" xfId="674"/>
    <cellStyle name="40 % - Accent5 9 2 2" xfId="11847"/>
    <cellStyle name="40 % - Accent5 9 3" xfId="8473"/>
    <cellStyle name="40 % - Accent6 10" xfId="675"/>
    <cellStyle name="40 % - Accent6 10 2" xfId="676"/>
    <cellStyle name="40 % - Accent6 10 2 2" xfId="11848"/>
    <cellStyle name="40 % - Accent6 10 3" xfId="8474"/>
    <cellStyle name="40 % - Accent6 11" xfId="677"/>
    <cellStyle name="40 % - Accent6 11 2" xfId="678"/>
    <cellStyle name="40 % - Accent6 11 2 2" xfId="679"/>
    <cellStyle name="40 % - Accent6 11 2 2 2" xfId="11850"/>
    <cellStyle name="40 % - Accent6 11 2 3" xfId="8476"/>
    <cellStyle name="40 % - Accent6 11 3" xfId="680"/>
    <cellStyle name="40 % - Accent6 11 3 2" xfId="681"/>
    <cellStyle name="40 % - Accent6 11 3 2 2" xfId="11851"/>
    <cellStyle name="40 % - Accent6 11 3 3" xfId="8477"/>
    <cellStyle name="40 % - Accent6 11 4" xfId="682"/>
    <cellStyle name="40 % - Accent6 11 4 2" xfId="683"/>
    <cellStyle name="40 % - Accent6 11 4 2 2" xfId="11852"/>
    <cellStyle name="40 % - Accent6 11 4 3" xfId="8478"/>
    <cellStyle name="40 % - Accent6 11 5" xfId="684"/>
    <cellStyle name="40 % - Accent6 11 5 2" xfId="11849"/>
    <cellStyle name="40 % - Accent6 11 6" xfId="8475"/>
    <cellStyle name="40 % - Accent6 12" xfId="685"/>
    <cellStyle name="40 % - Accent6 12 2" xfId="686"/>
    <cellStyle name="40 % - Accent6 12 2 2" xfId="687"/>
    <cellStyle name="40 % - Accent6 12 2 2 2" xfId="11854"/>
    <cellStyle name="40 % - Accent6 12 2 3" xfId="8480"/>
    <cellStyle name="40 % - Accent6 12 3" xfId="688"/>
    <cellStyle name="40 % - Accent6 12 3 2" xfId="689"/>
    <cellStyle name="40 % - Accent6 12 3 2 2" xfId="11855"/>
    <cellStyle name="40 % - Accent6 12 3 3" xfId="8481"/>
    <cellStyle name="40 % - Accent6 12 4" xfId="690"/>
    <cellStyle name="40 % - Accent6 12 4 2" xfId="11853"/>
    <cellStyle name="40 % - Accent6 12 5" xfId="8479"/>
    <cellStyle name="40 % - Accent6 13" xfId="691"/>
    <cellStyle name="40 % - Accent6 13 2" xfId="692"/>
    <cellStyle name="40 % - Accent6 13 3" xfId="693"/>
    <cellStyle name="40 % - Accent6 13 4" xfId="8482"/>
    <cellStyle name="40 % - Accent6 14" xfId="694"/>
    <cellStyle name="40 % - Accent6 14 2" xfId="695"/>
    <cellStyle name="40 % - Accent6 14 3" xfId="696"/>
    <cellStyle name="40 % - Accent6 14 4" xfId="8483"/>
    <cellStyle name="40 % - Accent6 15" xfId="697"/>
    <cellStyle name="40 % - Accent6 15 2" xfId="698"/>
    <cellStyle name="40 % - Accent6 15 3" xfId="699"/>
    <cellStyle name="40 % - Accent6 15 4" xfId="8484"/>
    <cellStyle name="40 % - Accent6 2" xfId="700"/>
    <cellStyle name="40 % - Accent6 2 2" xfId="701"/>
    <cellStyle name="40 % - Accent6 2 2 2" xfId="702"/>
    <cellStyle name="40 % - Accent6 2 2 2 2" xfId="11593"/>
    <cellStyle name="40 % - Accent6 2 2 3" xfId="7872"/>
    <cellStyle name="40 % - Accent6 2 3" xfId="703"/>
    <cellStyle name="40 % - Accent6 2 3 2" xfId="704"/>
    <cellStyle name="40 % - Accent6 2 3 2 2" xfId="11856"/>
    <cellStyle name="40 % - Accent6 2 3 3" xfId="8485"/>
    <cellStyle name="40 % - Accent6 2 4" xfId="705"/>
    <cellStyle name="40 % - Accent6 2 4 2" xfId="706"/>
    <cellStyle name="40 % - Accent6 2 4 2 2" xfId="11857"/>
    <cellStyle name="40 % - Accent6 2 4 3" xfId="8486"/>
    <cellStyle name="40 % - Accent6 2 5" xfId="707"/>
    <cellStyle name="40 % - Accent6 2 5 2" xfId="11592"/>
    <cellStyle name="40 % - Accent6 2 6" xfId="7871"/>
    <cellStyle name="40 % - Accent6 3" xfId="708"/>
    <cellStyle name="40 % - Accent6 3 2" xfId="709"/>
    <cellStyle name="40 % - Accent6 3 2 2" xfId="710"/>
    <cellStyle name="40 % - Accent6 3 2 2 2" xfId="11858"/>
    <cellStyle name="40 % - Accent6 3 2 3" xfId="8487"/>
    <cellStyle name="40 % - Accent6 3 3" xfId="711"/>
    <cellStyle name="40 % - Accent6 3 3 2" xfId="712"/>
    <cellStyle name="40 % - Accent6 3 3 2 2" xfId="11859"/>
    <cellStyle name="40 % - Accent6 3 3 3" xfId="8488"/>
    <cellStyle name="40 % - Accent6 3 4" xfId="713"/>
    <cellStyle name="40 % - Accent6 3 4 2" xfId="714"/>
    <cellStyle name="40 % - Accent6 3 4 2 2" xfId="11860"/>
    <cellStyle name="40 % - Accent6 3 4 3" xfId="8489"/>
    <cellStyle name="40 % - Accent6 3 5" xfId="715"/>
    <cellStyle name="40 % - Accent6 3 5 2" xfId="11594"/>
    <cellStyle name="40 % - Accent6 3 6" xfId="7873"/>
    <cellStyle name="40 % - Accent6 4" xfId="716"/>
    <cellStyle name="40 % - Accent6 4 2" xfId="717"/>
    <cellStyle name="40 % - Accent6 4 2 2" xfId="718"/>
    <cellStyle name="40 % - Accent6 4 2 2 2" xfId="11861"/>
    <cellStyle name="40 % - Accent6 4 2 3" xfId="8490"/>
    <cellStyle name="40 % - Accent6 4 3" xfId="719"/>
    <cellStyle name="40 % - Accent6 4 3 2" xfId="720"/>
    <cellStyle name="40 % - Accent6 4 3 2 2" xfId="11862"/>
    <cellStyle name="40 % - Accent6 4 3 3" xfId="8491"/>
    <cellStyle name="40 % - Accent6 4 4" xfId="721"/>
    <cellStyle name="40 % - Accent6 4 4 2" xfId="722"/>
    <cellStyle name="40 % - Accent6 4 4 2 2" xfId="11863"/>
    <cellStyle name="40 % - Accent6 4 4 3" xfId="8492"/>
    <cellStyle name="40 % - Accent6 4 5" xfId="723"/>
    <cellStyle name="40 % - Accent6 4 5 2" xfId="11595"/>
    <cellStyle name="40 % - Accent6 4 6" xfId="7874"/>
    <cellStyle name="40 % - Accent6 5" xfId="724"/>
    <cellStyle name="40 % - Accent6 5 2" xfId="725"/>
    <cellStyle name="40 % - Accent6 5 2 2" xfId="726"/>
    <cellStyle name="40 % - Accent6 5 2 2 2" xfId="11864"/>
    <cellStyle name="40 % - Accent6 5 2 3" xfId="8493"/>
    <cellStyle name="40 % - Accent6 5 3" xfId="727"/>
    <cellStyle name="40 % - Accent6 5 3 2" xfId="11596"/>
    <cellStyle name="40 % - Accent6 5 4" xfId="7875"/>
    <cellStyle name="40 % - Accent6 6" xfId="728"/>
    <cellStyle name="40 % - Accent6 6 2" xfId="729"/>
    <cellStyle name="40 % - Accent6 6 2 2" xfId="730"/>
    <cellStyle name="40 % - Accent6 6 2 2 2" xfId="11866"/>
    <cellStyle name="40 % - Accent6 6 2 3" xfId="8495"/>
    <cellStyle name="40 % - Accent6 6 3" xfId="731"/>
    <cellStyle name="40 % - Accent6 6 3 2" xfId="11865"/>
    <cellStyle name="40 % - Accent6 6 4" xfId="8494"/>
    <cellStyle name="40 % - Accent6 7" xfId="732"/>
    <cellStyle name="40 % - Accent6 7 2" xfId="733"/>
    <cellStyle name="40 % - Accent6 7 2 2" xfId="11867"/>
    <cellStyle name="40 % - Accent6 7 3" xfId="8496"/>
    <cellStyle name="40 % - Accent6 8" xfId="734"/>
    <cellStyle name="40 % - Accent6 8 2" xfId="735"/>
    <cellStyle name="40 % - Accent6 8 2 2" xfId="11868"/>
    <cellStyle name="40 % - Accent6 8 3" xfId="8497"/>
    <cellStyle name="40 % - Accent6 9" xfId="736"/>
    <cellStyle name="40 % - Accent6 9 2" xfId="737"/>
    <cellStyle name="40 % - Accent6 9 2 2" xfId="11869"/>
    <cellStyle name="40 % - Accent6 9 3" xfId="8498"/>
    <cellStyle name="5x indented GHG Textfiels" xfId="738"/>
    <cellStyle name="5x indented GHG Textfiels 2" xfId="739"/>
    <cellStyle name="5x indented GHG Textfiels 3" xfId="7876"/>
    <cellStyle name="60 % - Accent1 10" xfId="740"/>
    <cellStyle name="60 % - Accent1 10 2" xfId="741"/>
    <cellStyle name="60 % - Accent1 10 3" xfId="8499"/>
    <cellStyle name="60 % - Accent1 11" xfId="742"/>
    <cellStyle name="60 % - Accent1 11 2" xfId="743"/>
    <cellStyle name="60 % - Accent1 11 2 2" xfId="744"/>
    <cellStyle name="60 % - Accent1 11 2 3" xfId="8501"/>
    <cellStyle name="60 % - Accent1 11 3" xfId="745"/>
    <cellStyle name="60 % - Accent1 11 3 2" xfId="746"/>
    <cellStyle name="60 % - Accent1 11 3 3" xfId="8502"/>
    <cellStyle name="60 % - Accent1 11 4" xfId="747"/>
    <cellStyle name="60 % - Accent1 11 4 2" xfId="748"/>
    <cellStyle name="60 % - Accent1 11 4 3" xfId="8503"/>
    <cellStyle name="60 % - Accent1 11 5" xfId="749"/>
    <cellStyle name="60 % - Accent1 11 6" xfId="8500"/>
    <cellStyle name="60 % - Accent1 12" xfId="750"/>
    <cellStyle name="60 % - Accent1 12 2" xfId="751"/>
    <cellStyle name="60 % - Accent1 12 2 2" xfId="752"/>
    <cellStyle name="60 % - Accent1 12 2 3" xfId="8505"/>
    <cellStyle name="60 % - Accent1 12 3" xfId="753"/>
    <cellStyle name="60 % - Accent1 12 3 2" xfId="754"/>
    <cellStyle name="60 % - Accent1 12 3 3" xfId="8506"/>
    <cellStyle name="60 % - Accent1 12 4" xfId="755"/>
    <cellStyle name="60 % - Accent1 12 5" xfId="8504"/>
    <cellStyle name="60 % - Accent1 13" xfId="756"/>
    <cellStyle name="60 % - Accent1 13 2" xfId="757"/>
    <cellStyle name="60 % - Accent1 13 3" xfId="8507"/>
    <cellStyle name="60 % - Accent1 14" xfId="758"/>
    <cellStyle name="60 % - Accent1 14 2" xfId="759"/>
    <cellStyle name="60 % - Accent1 14 3" xfId="8508"/>
    <cellStyle name="60 % - Accent1 15" xfId="760"/>
    <cellStyle name="60 % - Accent1 15 2" xfId="761"/>
    <cellStyle name="60 % - Accent1 15 3" xfId="8509"/>
    <cellStyle name="60 % - Accent1 2" xfId="762"/>
    <cellStyle name="60 % - Accent1 2 2" xfId="763"/>
    <cellStyle name="60 % - Accent1 2 2 2" xfId="764"/>
    <cellStyle name="60 % - Accent1 2 2 3" xfId="8510"/>
    <cellStyle name="60 % - Accent1 2 3" xfId="765"/>
    <cellStyle name="60 % - Accent1 2 3 2" xfId="766"/>
    <cellStyle name="60 % - Accent1 2 3 3" xfId="8511"/>
    <cellStyle name="60 % - Accent1 2 4" xfId="767"/>
    <cellStyle name="60 % - Accent1 2 4 2" xfId="768"/>
    <cellStyle name="60 % - Accent1 2 4 3" xfId="8512"/>
    <cellStyle name="60 % - Accent1 2 5" xfId="769"/>
    <cellStyle name="60 % - Accent1 2 6" xfId="7877"/>
    <cellStyle name="60 % - Accent1 3" xfId="770"/>
    <cellStyle name="60 % - Accent1 3 2" xfId="771"/>
    <cellStyle name="60 % - Accent1 3 2 2" xfId="772"/>
    <cellStyle name="60 % - Accent1 3 2 3" xfId="8513"/>
    <cellStyle name="60 % - Accent1 3 3" xfId="773"/>
    <cellStyle name="60 % - Accent1 3 3 2" xfId="774"/>
    <cellStyle name="60 % - Accent1 3 3 3" xfId="8514"/>
    <cellStyle name="60 % - Accent1 3 4" xfId="775"/>
    <cellStyle name="60 % - Accent1 3 4 2" xfId="776"/>
    <cellStyle name="60 % - Accent1 3 4 3" xfId="8515"/>
    <cellStyle name="60 % - Accent1 3 5" xfId="777"/>
    <cellStyle name="60 % - Accent1 3 6" xfId="7878"/>
    <cellStyle name="60 % - Accent1 4" xfId="778"/>
    <cellStyle name="60 % - Accent1 4 2" xfId="779"/>
    <cellStyle name="60 % - Accent1 4 2 2" xfId="780"/>
    <cellStyle name="60 % - Accent1 4 2 3" xfId="8516"/>
    <cellStyle name="60 % - Accent1 4 3" xfId="781"/>
    <cellStyle name="60 % - Accent1 4 3 2" xfId="782"/>
    <cellStyle name="60 % - Accent1 4 3 3" xfId="8517"/>
    <cellStyle name="60 % - Accent1 4 4" xfId="783"/>
    <cellStyle name="60 % - Accent1 4 4 2" xfId="784"/>
    <cellStyle name="60 % - Accent1 4 4 3" xfId="8518"/>
    <cellStyle name="60 % - Accent1 4 5" xfId="785"/>
    <cellStyle name="60 % - Accent1 4 6" xfId="7879"/>
    <cellStyle name="60 % - Accent1 5" xfId="786"/>
    <cellStyle name="60 % - Accent1 5 2" xfId="787"/>
    <cellStyle name="60 % - Accent1 5 2 2" xfId="788"/>
    <cellStyle name="60 % - Accent1 5 2 3" xfId="8519"/>
    <cellStyle name="60 % - Accent1 5 3" xfId="789"/>
    <cellStyle name="60 % - Accent1 5 4" xfId="7880"/>
    <cellStyle name="60 % - Accent1 6" xfId="790"/>
    <cellStyle name="60 % - Accent1 6 2" xfId="791"/>
    <cellStyle name="60 % - Accent1 6 2 2" xfId="792"/>
    <cellStyle name="60 % - Accent1 6 2 3" xfId="8521"/>
    <cellStyle name="60 % - Accent1 6 3" xfId="793"/>
    <cellStyle name="60 % - Accent1 6 4" xfId="8520"/>
    <cellStyle name="60 % - Accent1 7" xfId="794"/>
    <cellStyle name="60 % - Accent1 7 2" xfId="795"/>
    <cellStyle name="60 % - Accent1 7 3" xfId="8522"/>
    <cellStyle name="60 % - Accent1 8" xfId="796"/>
    <cellStyle name="60 % - Accent1 8 2" xfId="797"/>
    <cellStyle name="60 % - Accent1 8 3" xfId="8523"/>
    <cellStyle name="60 % - Accent1 9" xfId="798"/>
    <cellStyle name="60 % - Accent1 9 2" xfId="799"/>
    <cellStyle name="60 % - Accent1 9 3" xfId="8524"/>
    <cellStyle name="60 % - Accent2 10" xfId="800"/>
    <cellStyle name="60 % - Accent2 10 2" xfId="801"/>
    <cellStyle name="60 % - Accent2 10 3" xfId="8525"/>
    <cellStyle name="60 % - Accent2 11" xfId="802"/>
    <cellStyle name="60 % - Accent2 11 2" xfId="803"/>
    <cellStyle name="60 % - Accent2 11 2 2" xfId="804"/>
    <cellStyle name="60 % - Accent2 11 2 3" xfId="8527"/>
    <cellStyle name="60 % - Accent2 11 3" xfId="805"/>
    <cellStyle name="60 % - Accent2 11 3 2" xfId="806"/>
    <cellStyle name="60 % - Accent2 11 3 3" xfId="8528"/>
    <cellStyle name="60 % - Accent2 11 4" xfId="807"/>
    <cellStyle name="60 % - Accent2 11 4 2" xfId="808"/>
    <cellStyle name="60 % - Accent2 11 4 3" xfId="8529"/>
    <cellStyle name="60 % - Accent2 11 5" xfId="809"/>
    <cellStyle name="60 % - Accent2 11 6" xfId="8526"/>
    <cellStyle name="60 % - Accent2 12" xfId="810"/>
    <cellStyle name="60 % - Accent2 12 2" xfId="811"/>
    <cellStyle name="60 % - Accent2 12 2 2" xfId="812"/>
    <cellStyle name="60 % - Accent2 12 2 3" xfId="8531"/>
    <cellStyle name="60 % - Accent2 12 3" xfId="813"/>
    <cellStyle name="60 % - Accent2 12 3 2" xfId="814"/>
    <cellStyle name="60 % - Accent2 12 3 3" xfId="8532"/>
    <cellStyle name="60 % - Accent2 12 4" xfId="815"/>
    <cellStyle name="60 % - Accent2 12 5" xfId="8530"/>
    <cellStyle name="60 % - Accent2 13" xfId="816"/>
    <cellStyle name="60 % - Accent2 13 2" xfId="817"/>
    <cellStyle name="60 % - Accent2 13 3" xfId="8533"/>
    <cellStyle name="60 % - Accent2 14" xfId="818"/>
    <cellStyle name="60 % - Accent2 14 2" xfId="819"/>
    <cellStyle name="60 % - Accent2 14 3" xfId="8534"/>
    <cellStyle name="60 % - Accent2 15" xfId="820"/>
    <cellStyle name="60 % - Accent2 15 2" xfId="821"/>
    <cellStyle name="60 % - Accent2 15 3" xfId="8535"/>
    <cellStyle name="60 % - Accent2 2" xfId="822"/>
    <cellStyle name="60 % - Accent2 2 2" xfId="823"/>
    <cellStyle name="60 % - Accent2 2 2 2" xfId="824"/>
    <cellStyle name="60 % - Accent2 2 2 3" xfId="8536"/>
    <cellStyle name="60 % - Accent2 2 3" xfId="825"/>
    <cellStyle name="60 % - Accent2 2 3 2" xfId="826"/>
    <cellStyle name="60 % - Accent2 2 3 3" xfId="8537"/>
    <cellStyle name="60 % - Accent2 2 4" xfId="827"/>
    <cellStyle name="60 % - Accent2 2 4 2" xfId="828"/>
    <cellStyle name="60 % - Accent2 2 4 3" xfId="8538"/>
    <cellStyle name="60 % - Accent2 2 5" xfId="829"/>
    <cellStyle name="60 % - Accent2 2 6" xfId="7881"/>
    <cellStyle name="60 % - Accent2 3" xfId="830"/>
    <cellStyle name="60 % - Accent2 3 2" xfId="831"/>
    <cellStyle name="60 % - Accent2 3 2 2" xfId="832"/>
    <cellStyle name="60 % - Accent2 3 2 3" xfId="8539"/>
    <cellStyle name="60 % - Accent2 3 3" xfId="833"/>
    <cellStyle name="60 % - Accent2 3 3 2" xfId="834"/>
    <cellStyle name="60 % - Accent2 3 3 3" xfId="8540"/>
    <cellStyle name="60 % - Accent2 3 4" xfId="835"/>
    <cellStyle name="60 % - Accent2 3 4 2" xfId="836"/>
    <cellStyle name="60 % - Accent2 3 4 3" xfId="8541"/>
    <cellStyle name="60 % - Accent2 3 5" xfId="837"/>
    <cellStyle name="60 % - Accent2 3 6" xfId="7882"/>
    <cellStyle name="60 % - Accent2 4" xfId="838"/>
    <cellStyle name="60 % - Accent2 4 2" xfId="839"/>
    <cellStyle name="60 % - Accent2 4 2 2" xfId="840"/>
    <cellStyle name="60 % - Accent2 4 2 3" xfId="8542"/>
    <cellStyle name="60 % - Accent2 4 3" xfId="841"/>
    <cellStyle name="60 % - Accent2 4 3 2" xfId="842"/>
    <cellStyle name="60 % - Accent2 4 3 3" xfId="8543"/>
    <cellStyle name="60 % - Accent2 4 4" xfId="843"/>
    <cellStyle name="60 % - Accent2 4 4 2" xfId="844"/>
    <cellStyle name="60 % - Accent2 4 4 3" xfId="8544"/>
    <cellStyle name="60 % - Accent2 4 5" xfId="845"/>
    <cellStyle name="60 % - Accent2 4 6" xfId="7883"/>
    <cellStyle name="60 % - Accent2 5" xfId="846"/>
    <cellStyle name="60 % - Accent2 5 2" xfId="847"/>
    <cellStyle name="60 % - Accent2 5 2 2" xfId="848"/>
    <cellStyle name="60 % - Accent2 5 2 3" xfId="8545"/>
    <cellStyle name="60 % - Accent2 5 3" xfId="849"/>
    <cellStyle name="60 % - Accent2 5 4" xfId="7884"/>
    <cellStyle name="60 % - Accent2 6" xfId="850"/>
    <cellStyle name="60 % - Accent2 6 2" xfId="851"/>
    <cellStyle name="60 % - Accent2 6 2 2" xfId="852"/>
    <cellStyle name="60 % - Accent2 6 2 3" xfId="8547"/>
    <cellStyle name="60 % - Accent2 6 3" xfId="853"/>
    <cellStyle name="60 % - Accent2 6 4" xfId="8546"/>
    <cellStyle name="60 % - Accent2 7" xfId="854"/>
    <cellStyle name="60 % - Accent2 7 2" xfId="855"/>
    <cellStyle name="60 % - Accent2 7 3" xfId="8548"/>
    <cellStyle name="60 % - Accent2 8" xfId="856"/>
    <cellStyle name="60 % - Accent2 8 2" xfId="857"/>
    <cellStyle name="60 % - Accent2 8 3" xfId="8549"/>
    <cellStyle name="60 % - Accent2 9" xfId="858"/>
    <cellStyle name="60 % - Accent2 9 2" xfId="859"/>
    <cellStyle name="60 % - Accent2 9 3" xfId="8550"/>
    <cellStyle name="60 % - Accent3 10" xfId="860"/>
    <cellStyle name="60 % - Accent3 10 2" xfId="861"/>
    <cellStyle name="60 % - Accent3 10 3" xfId="8551"/>
    <cellStyle name="60 % - Accent3 11" xfId="862"/>
    <cellStyle name="60 % - Accent3 11 2" xfId="863"/>
    <cellStyle name="60 % - Accent3 11 2 2" xfId="864"/>
    <cellStyle name="60 % - Accent3 11 2 3" xfId="8553"/>
    <cellStyle name="60 % - Accent3 11 3" xfId="865"/>
    <cellStyle name="60 % - Accent3 11 3 2" xfId="866"/>
    <cellStyle name="60 % - Accent3 11 3 3" xfId="8554"/>
    <cellStyle name="60 % - Accent3 11 4" xfId="867"/>
    <cellStyle name="60 % - Accent3 11 4 2" xfId="868"/>
    <cellStyle name="60 % - Accent3 11 4 3" xfId="8555"/>
    <cellStyle name="60 % - Accent3 11 5" xfId="869"/>
    <cellStyle name="60 % - Accent3 11 6" xfId="8552"/>
    <cellStyle name="60 % - Accent3 12" xfId="870"/>
    <cellStyle name="60 % - Accent3 12 2" xfId="871"/>
    <cellStyle name="60 % - Accent3 12 2 2" xfId="872"/>
    <cellStyle name="60 % - Accent3 12 2 3" xfId="8557"/>
    <cellStyle name="60 % - Accent3 12 3" xfId="873"/>
    <cellStyle name="60 % - Accent3 12 3 2" xfId="874"/>
    <cellStyle name="60 % - Accent3 12 3 3" xfId="8558"/>
    <cellStyle name="60 % - Accent3 12 4" xfId="875"/>
    <cellStyle name="60 % - Accent3 12 5" xfId="8556"/>
    <cellStyle name="60 % - Accent3 13" xfId="876"/>
    <cellStyle name="60 % - Accent3 13 2" xfId="877"/>
    <cellStyle name="60 % - Accent3 13 3" xfId="8559"/>
    <cellStyle name="60 % - Accent3 14" xfId="878"/>
    <cellStyle name="60 % - Accent3 14 2" xfId="879"/>
    <cellStyle name="60 % - Accent3 14 3" xfId="8560"/>
    <cellStyle name="60 % - Accent3 15" xfId="880"/>
    <cellStyle name="60 % - Accent3 15 2" xfId="881"/>
    <cellStyle name="60 % - Accent3 15 3" xfId="8561"/>
    <cellStyle name="60 % - Accent3 2" xfId="882"/>
    <cellStyle name="60 % - Accent3 2 2" xfId="883"/>
    <cellStyle name="60 % - Accent3 2 2 2" xfId="884"/>
    <cellStyle name="60 % - Accent3 2 2 3" xfId="8562"/>
    <cellStyle name="60 % - Accent3 2 3" xfId="885"/>
    <cellStyle name="60 % - Accent3 2 3 2" xfId="886"/>
    <cellStyle name="60 % - Accent3 2 3 3" xfId="8563"/>
    <cellStyle name="60 % - Accent3 2 4" xfId="887"/>
    <cellStyle name="60 % - Accent3 2 4 2" xfId="888"/>
    <cellStyle name="60 % - Accent3 2 4 3" xfId="8564"/>
    <cellStyle name="60 % - Accent3 2 5" xfId="889"/>
    <cellStyle name="60 % - Accent3 2 6" xfId="7885"/>
    <cellStyle name="60 % - Accent3 3" xfId="890"/>
    <cellStyle name="60 % - Accent3 3 2" xfId="891"/>
    <cellStyle name="60 % - Accent3 3 2 2" xfId="892"/>
    <cellStyle name="60 % - Accent3 3 2 3" xfId="8565"/>
    <cellStyle name="60 % - Accent3 3 3" xfId="893"/>
    <cellStyle name="60 % - Accent3 3 3 2" xfId="894"/>
    <cellStyle name="60 % - Accent3 3 3 3" xfId="8566"/>
    <cellStyle name="60 % - Accent3 3 4" xfId="895"/>
    <cellStyle name="60 % - Accent3 3 4 2" xfId="896"/>
    <cellStyle name="60 % - Accent3 3 4 3" xfId="8567"/>
    <cellStyle name="60 % - Accent3 3 5" xfId="897"/>
    <cellStyle name="60 % - Accent3 3 6" xfId="7886"/>
    <cellStyle name="60 % - Accent3 4" xfId="898"/>
    <cellStyle name="60 % - Accent3 4 2" xfId="899"/>
    <cellStyle name="60 % - Accent3 4 2 2" xfId="900"/>
    <cellStyle name="60 % - Accent3 4 2 3" xfId="8568"/>
    <cellStyle name="60 % - Accent3 4 3" xfId="901"/>
    <cellStyle name="60 % - Accent3 4 3 2" xfId="902"/>
    <cellStyle name="60 % - Accent3 4 3 3" xfId="8569"/>
    <cellStyle name="60 % - Accent3 4 4" xfId="903"/>
    <cellStyle name="60 % - Accent3 4 4 2" xfId="904"/>
    <cellStyle name="60 % - Accent3 4 4 3" xfId="8570"/>
    <cellStyle name="60 % - Accent3 4 5" xfId="905"/>
    <cellStyle name="60 % - Accent3 4 6" xfId="7887"/>
    <cellStyle name="60 % - Accent3 5" xfId="906"/>
    <cellStyle name="60 % - Accent3 5 2" xfId="907"/>
    <cellStyle name="60 % - Accent3 5 2 2" xfId="908"/>
    <cellStyle name="60 % - Accent3 5 2 3" xfId="8571"/>
    <cellStyle name="60 % - Accent3 5 3" xfId="909"/>
    <cellStyle name="60 % - Accent3 5 4" xfId="7888"/>
    <cellStyle name="60 % - Accent3 6" xfId="910"/>
    <cellStyle name="60 % - Accent3 6 2" xfId="911"/>
    <cellStyle name="60 % - Accent3 6 2 2" xfId="912"/>
    <cellStyle name="60 % - Accent3 6 2 3" xfId="8573"/>
    <cellStyle name="60 % - Accent3 6 3" xfId="913"/>
    <cellStyle name="60 % - Accent3 6 4" xfId="8572"/>
    <cellStyle name="60 % - Accent3 7" xfId="914"/>
    <cellStyle name="60 % - Accent3 7 2" xfId="915"/>
    <cellStyle name="60 % - Accent3 7 3" xfId="8574"/>
    <cellStyle name="60 % - Accent3 8" xfId="916"/>
    <cellStyle name="60 % - Accent3 8 2" xfId="917"/>
    <cellStyle name="60 % - Accent3 8 3" xfId="8575"/>
    <cellStyle name="60 % - Accent3 9" xfId="918"/>
    <cellStyle name="60 % - Accent3 9 2" xfId="919"/>
    <cellStyle name="60 % - Accent3 9 3" xfId="8576"/>
    <cellStyle name="60 % - Accent4 10" xfId="920"/>
    <cellStyle name="60 % - Accent4 10 2" xfId="921"/>
    <cellStyle name="60 % - Accent4 10 3" xfId="8577"/>
    <cellStyle name="60 % - Accent4 11" xfId="922"/>
    <cellStyle name="60 % - Accent4 11 2" xfId="923"/>
    <cellStyle name="60 % - Accent4 11 2 2" xfId="924"/>
    <cellStyle name="60 % - Accent4 11 2 3" xfId="8579"/>
    <cellStyle name="60 % - Accent4 11 3" xfId="925"/>
    <cellStyle name="60 % - Accent4 11 3 2" xfId="926"/>
    <cellStyle name="60 % - Accent4 11 3 3" xfId="8580"/>
    <cellStyle name="60 % - Accent4 11 4" xfId="927"/>
    <cellStyle name="60 % - Accent4 11 4 2" xfId="928"/>
    <cellStyle name="60 % - Accent4 11 4 3" xfId="8581"/>
    <cellStyle name="60 % - Accent4 11 5" xfId="929"/>
    <cellStyle name="60 % - Accent4 11 6" xfId="8578"/>
    <cellStyle name="60 % - Accent4 12" xfId="930"/>
    <cellStyle name="60 % - Accent4 12 2" xfId="931"/>
    <cellStyle name="60 % - Accent4 12 2 2" xfId="932"/>
    <cellStyle name="60 % - Accent4 12 2 3" xfId="8583"/>
    <cellStyle name="60 % - Accent4 12 3" xfId="933"/>
    <cellStyle name="60 % - Accent4 12 3 2" xfId="934"/>
    <cellStyle name="60 % - Accent4 12 3 3" xfId="8584"/>
    <cellStyle name="60 % - Accent4 12 4" xfId="935"/>
    <cellStyle name="60 % - Accent4 12 5" xfId="8582"/>
    <cellStyle name="60 % - Accent4 13" xfId="936"/>
    <cellStyle name="60 % - Accent4 13 2" xfId="937"/>
    <cellStyle name="60 % - Accent4 13 3" xfId="8585"/>
    <cellStyle name="60 % - Accent4 14" xfId="938"/>
    <cellStyle name="60 % - Accent4 14 2" xfId="939"/>
    <cellStyle name="60 % - Accent4 14 3" xfId="8586"/>
    <cellStyle name="60 % - Accent4 15" xfId="940"/>
    <cellStyle name="60 % - Accent4 15 2" xfId="941"/>
    <cellStyle name="60 % - Accent4 15 3" xfId="8587"/>
    <cellStyle name="60 % - Accent4 2" xfId="942"/>
    <cellStyle name="60 % - Accent4 2 2" xfId="943"/>
    <cellStyle name="60 % - Accent4 2 2 2" xfId="944"/>
    <cellStyle name="60 % - Accent4 2 2 3" xfId="8588"/>
    <cellStyle name="60 % - Accent4 2 3" xfId="945"/>
    <cellStyle name="60 % - Accent4 2 3 2" xfId="946"/>
    <cellStyle name="60 % - Accent4 2 3 3" xfId="8589"/>
    <cellStyle name="60 % - Accent4 2 4" xfId="947"/>
    <cellStyle name="60 % - Accent4 2 4 2" xfId="948"/>
    <cellStyle name="60 % - Accent4 2 4 3" xfId="8590"/>
    <cellStyle name="60 % - Accent4 2 5" xfId="949"/>
    <cellStyle name="60 % - Accent4 2 6" xfId="7889"/>
    <cellStyle name="60 % - Accent4 3" xfId="950"/>
    <cellStyle name="60 % - Accent4 3 2" xfId="951"/>
    <cellStyle name="60 % - Accent4 3 2 2" xfId="952"/>
    <cellStyle name="60 % - Accent4 3 2 3" xfId="8591"/>
    <cellStyle name="60 % - Accent4 3 3" xfId="953"/>
    <cellStyle name="60 % - Accent4 3 3 2" xfId="954"/>
    <cellStyle name="60 % - Accent4 3 3 3" xfId="8592"/>
    <cellStyle name="60 % - Accent4 3 4" xfId="955"/>
    <cellStyle name="60 % - Accent4 3 4 2" xfId="956"/>
    <cellStyle name="60 % - Accent4 3 4 3" xfId="8593"/>
    <cellStyle name="60 % - Accent4 3 5" xfId="957"/>
    <cellStyle name="60 % - Accent4 3 6" xfId="7890"/>
    <cellStyle name="60 % - Accent4 4" xfId="958"/>
    <cellStyle name="60 % - Accent4 4 2" xfId="959"/>
    <cellStyle name="60 % - Accent4 4 2 2" xfId="960"/>
    <cellStyle name="60 % - Accent4 4 2 3" xfId="8594"/>
    <cellStyle name="60 % - Accent4 4 3" xfId="961"/>
    <cellStyle name="60 % - Accent4 4 3 2" xfId="962"/>
    <cellStyle name="60 % - Accent4 4 3 3" xfId="8595"/>
    <cellStyle name="60 % - Accent4 4 4" xfId="963"/>
    <cellStyle name="60 % - Accent4 4 4 2" xfId="964"/>
    <cellStyle name="60 % - Accent4 4 4 3" xfId="8596"/>
    <cellStyle name="60 % - Accent4 4 5" xfId="965"/>
    <cellStyle name="60 % - Accent4 4 6" xfId="7891"/>
    <cellStyle name="60 % - Accent4 5" xfId="966"/>
    <cellStyle name="60 % - Accent4 5 2" xfId="967"/>
    <cellStyle name="60 % - Accent4 5 2 2" xfId="968"/>
    <cellStyle name="60 % - Accent4 5 2 3" xfId="8597"/>
    <cellStyle name="60 % - Accent4 5 3" xfId="969"/>
    <cellStyle name="60 % - Accent4 5 4" xfId="7892"/>
    <cellStyle name="60 % - Accent4 6" xfId="970"/>
    <cellStyle name="60 % - Accent4 6 2" xfId="971"/>
    <cellStyle name="60 % - Accent4 6 2 2" xfId="972"/>
    <cellStyle name="60 % - Accent4 6 2 3" xfId="8599"/>
    <cellStyle name="60 % - Accent4 6 3" xfId="973"/>
    <cellStyle name="60 % - Accent4 6 4" xfId="8598"/>
    <cellStyle name="60 % - Accent4 7" xfId="974"/>
    <cellStyle name="60 % - Accent4 7 2" xfId="975"/>
    <cellStyle name="60 % - Accent4 7 3" xfId="8600"/>
    <cellStyle name="60 % - Accent4 8" xfId="976"/>
    <cellStyle name="60 % - Accent4 8 2" xfId="977"/>
    <cellStyle name="60 % - Accent4 8 3" xfId="8601"/>
    <cellStyle name="60 % - Accent4 9" xfId="978"/>
    <cellStyle name="60 % - Accent4 9 2" xfId="979"/>
    <cellStyle name="60 % - Accent4 9 3" xfId="8602"/>
    <cellStyle name="60 % - Accent5 10" xfId="980"/>
    <cellStyle name="60 % - Accent5 10 2" xfId="981"/>
    <cellStyle name="60 % - Accent5 10 3" xfId="8603"/>
    <cellStyle name="60 % - Accent5 11" xfId="982"/>
    <cellStyle name="60 % - Accent5 11 2" xfId="983"/>
    <cellStyle name="60 % - Accent5 11 2 2" xfId="984"/>
    <cellStyle name="60 % - Accent5 11 2 3" xfId="8605"/>
    <cellStyle name="60 % - Accent5 11 3" xfId="985"/>
    <cellStyle name="60 % - Accent5 11 3 2" xfId="986"/>
    <cellStyle name="60 % - Accent5 11 3 3" xfId="8606"/>
    <cellStyle name="60 % - Accent5 11 4" xfId="987"/>
    <cellStyle name="60 % - Accent5 11 4 2" xfId="988"/>
    <cellStyle name="60 % - Accent5 11 4 3" xfId="8607"/>
    <cellStyle name="60 % - Accent5 11 5" xfId="989"/>
    <cellStyle name="60 % - Accent5 11 6" xfId="8604"/>
    <cellStyle name="60 % - Accent5 12" xfId="990"/>
    <cellStyle name="60 % - Accent5 12 2" xfId="991"/>
    <cellStyle name="60 % - Accent5 12 2 2" xfId="992"/>
    <cellStyle name="60 % - Accent5 12 2 3" xfId="8609"/>
    <cellStyle name="60 % - Accent5 12 3" xfId="993"/>
    <cellStyle name="60 % - Accent5 12 3 2" xfId="994"/>
    <cellStyle name="60 % - Accent5 12 3 3" xfId="8610"/>
    <cellStyle name="60 % - Accent5 12 4" xfId="995"/>
    <cellStyle name="60 % - Accent5 12 5" xfId="8608"/>
    <cellStyle name="60 % - Accent5 13" xfId="996"/>
    <cellStyle name="60 % - Accent5 13 2" xfId="997"/>
    <cellStyle name="60 % - Accent5 13 3" xfId="8611"/>
    <cellStyle name="60 % - Accent5 14" xfId="998"/>
    <cellStyle name="60 % - Accent5 14 2" xfId="999"/>
    <cellStyle name="60 % - Accent5 14 3" xfId="8612"/>
    <cellStyle name="60 % - Accent5 15" xfId="1000"/>
    <cellStyle name="60 % - Accent5 15 2" xfId="1001"/>
    <cellStyle name="60 % - Accent5 15 3" xfId="8613"/>
    <cellStyle name="60 % - Accent5 2" xfId="1002"/>
    <cellStyle name="60 % - Accent5 2 2" xfId="1003"/>
    <cellStyle name="60 % - Accent5 2 2 2" xfId="1004"/>
    <cellStyle name="60 % - Accent5 2 2 3" xfId="8614"/>
    <cellStyle name="60 % - Accent5 2 3" xfId="1005"/>
    <cellStyle name="60 % - Accent5 2 3 2" xfId="1006"/>
    <cellStyle name="60 % - Accent5 2 3 3" xfId="8615"/>
    <cellStyle name="60 % - Accent5 2 4" xfId="1007"/>
    <cellStyle name="60 % - Accent5 2 4 2" xfId="1008"/>
    <cellStyle name="60 % - Accent5 2 4 3" xfId="8616"/>
    <cellStyle name="60 % - Accent5 2 5" xfId="1009"/>
    <cellStyle name="60 % - Accent5 2 6" xfId="7893"/>
    <cellStyle name="60 % - Accent5 3" xfId="1010"/>
    <cellStyle name="60 % - Accent5 3 2" xfId="1011"/>
    <cellStyle name="60 % - Accent5 3 2 2" xfId="1012"/>
    <cellStyle name="60 % - Accent5 3 2 3" xfId="8617"/>
    <cellStyle name="60 % - Accent5 3 3" xfId="1013"/>
    <cellStyle name="60 % - Accent5 3 3 2" xfId="1014"/>
    <cellStyle name="60 % - Accent5 3 3 3" xfId="8618"/>
    <cellStyle name="60 % - Accent5 3 4" xfId="1015"/>
    <cellStyle name="60 % - Accent5 3 4 2" xfId="1016"/>
    <cellStyle name="60 % - Accent5 3 4 3" xfId="8619"/>
    <cellStyle name="60 % - Accent5 3 5" xfId="1017"/>
    <cellStyle name="60 % - Accent5 3 6" xfId="7894"/>
    <cellStyle name="60 % - Accent5 4" xfId="1018"/>
    <cellStyle name="60 % - Accent5 4 2" xfId="1019"/>
    <cellStyle name="60 % - Accent5 4 2 2" xfId="1020"/>
    <cellStyle name="60 % - Accent5 4 2 3" xfId="8620"/>
    <cellStyle name="60 % - Accent5 4 3" xfId="1021"/>
    <cellStyle name="60 % - Accent5 4 3 2" xfId="1022"/>
    <cellStyle name="60 % - Accent5 4 3 3" xfId="8621"/>
    <cellStyle name="60 % - Accent5 4 4" xfId="1023"/>
    <cellStyle name="60 % - Accent5 4 4 2" xfId="1024"/>
    <cellStyle name="60 % - Accent5 4 4 3" xfId="8622"/>
    <cellStyle name="60 % - Accent5 4 5" xfId="1025"/>
    <cellStyle name="60 % - Accent5 4 6" xfId="7895"/>
    <cellStyle name="60 % - Accent5 5" xfId="1026"/>
    <cellStyle name="60 % - Accent5 5 2" xfId="1027"/>
    <cellStyle name="60 % - Accent5 5 2 2" xfId="1028"/>
    <cellStyle name="60 % - Accent5 5 2 3" xfId="8623"/>
    <cellStyle name="60 % - Accent5 5 3" xfId="1029"/>
    <cellStyle name="60 % - Accent5 5 4" xfId="7896"/>
    <cellStyle name="60 % - Accent5 6" xfId="1030"/>
    <cellStyle name="60 % - Accent5 6 2" xfId="1031"/>
    <cellStyle name="60 % - Accent5 6 2 2" xfId="1032"/>
    <cellStyle name="60 % - Accent5 6 2 3" xfId="8625"/>
    <cellStyle name="60 % - Accent5 6 3" xfId="1033"/>
    <cellStyle name="60 % - Accent5 6 4" xfId="8624"/>
    <cellStyle name="60 % - Accent5 7" xfId="1034"/>
    <cellStyle name="60 % - Accent5 7 2" xfId="1035"/>
    <cellStyle name="60 % - Accent5 7 3" xfId="8626"/>
    <cellStyle name="60 % - Accent5 8" xfId="1036"/>
    <cellStyle name="60 % - Accent5 8 2" xfId="1037"/>
    <cellStyle name="60 % - Accent5 8 3" xfId="8627"/>
    <cellStyle name="60 % - Accent5 9" xfId="1038"/>
    <cellStyle name="60 % - Accent5 9 2" xfId="1039"/>
    <cellStyle name="60 % - Accent5 9 3" xfId="8628"/>
    <cellStyle name="60 % - Accent6 10" xfId="1040"/>
    <cellStyle name="60 % - Accent6 10 2" xfId="1041"/>
    <cellStyle name="60 % - Accent6 10 3" xfId="8629"/>
    <cellStyle name="60 % - Accent6 11" xfId="1042"/>
    <cellStyle name="60 % - Accent6 11 2" xfId="1043"/>
    <cellStyle name="60 % - Accent6 11 2 2" xfId="1044"/>
    <cellStyle name="60 % - Accent6 11 2 3" xfId="8631"/>
    <cellStyle name="60 % - Accent6 11 3" xfId="1045"/>
    <cellStyle name="60 % - Accent6 11 3 2" xfId="1046"/>
    <cellStyle name="60 % - Accent6 11 3 3" xfId="8632"/>
    <cellStyle name="60 % - Accent6 11 4" xfId="1047"/>
    <cellStyle name="60 % - Accent6 11 4 2" xfId="1048"/>
    <cellStyle name="60 % - Accent6 11 4 3" xfId="8633"/>
    <cellStyle name="60 % - Accent6 11 5" xfId="1049"/>
    <cellStyle name="60 % - Accent6 11 6" xfId="8630"/>
    <cellStyle name="60 % - Accent6 12" xfId="1050"/>
    <cellStyle name="60 % - Accent6 12 2" xfId="1051"/>
    <cellStyle name="60 % - Accent6 12 2 2" xfId="1052"/>
    <cellStyle name="60 % - Accent6 12 2 3" xfId="8635"/>
    <cellStyle name="60 % - Accent6 12 3" xfId="1053"/>
    <cellStyle name="60 % - Accent6 12 3 2" xfId="1054"/>
    <cellStyle name="60 % - Accent6 12 3 3" xfId="8636"/>
    <cellStyle name="60 % - Accent6 12 4" xfId="1055"/>
    <cellStyle name="60 % - Accent6 12 5" xfId="8634"/>
    <cellStyle name="60 % - Accent6 13" xfId="1056"/>
    <cellStyle name="60 % - Accent6 13 2" xfId="1057"/>
    <cellStyle name="60 % - Accent6 13 3" xfId="8637"/>
    <cellStyle name="60 % - Accent6 14" xfId="1058"/>
    <cellStyle name="60 % - Accent6 14 2" xfId="1059"/>
    <cellStyle name="60 % - Accent6 14 3" xfId="8638"/>
    <cellStyle name="60 % - Accent6 15" xfId="1060"/>
    <cellStyle name="60 % - Accent6 15 2" xfId="1061"/>
    <cellStyle name="60 % - Accent6 15 3" xfId="8639"/>
    <cellStyle name="60 % - Accent6 2" xfId="1062"/>
    <cellStyle name="60 % - Accent6 2 2" xfId="1063"/>
    <cellStyle name="60 % - Accent6 2 2 2" xfId="1064"/>
    <cellStyle name="60 % - Accent6 2 2 3" xfId="8640"/>
    <cellStyle name="60 % - Accent6 2 3" xfId="1065"/>
    <cellStyle name="60 % - Accent6 2 3 2" xfId="1066"/>
    <cellStyle name="60 % - Accent6 2 3 3" xfId="8641"/>
    <cellStyle name="60 % - Accent6 2 4" xfId="1067"/>
    <cellStyle name="60 % - Accent6 2 4 2" xfId="1068"/>
    <cellStyle name="60 % - Accent6 2 4 3" xfId="8642"/>
    <cellStyle name="60 % - Accent6 2 5" xfId="1069"/>
    <cellStyle name="60 % - Accent6 2 6" xfId="7897"/>
    <cellStyle name="60 % - Accent6 3" xfId="1070"/>
    <cellStyle name="60 % - Accent6 3 2" xfId="1071"/>
    <cellStyle name="60 % - Accent6 3 2 2" xfId="1072"/>
    <cellStyle name="60 % - Accent6 3 2 3" xfId="8643"/>
    <cellStyle name="60 % - Accent6 3 3" xfId="1073"/>
    <cellStyle name="60 % - Accent6 3 3 2" xfId="1074"/>
    <cellStyle name="60 % - Accent6 3 3 3" xfId="8644"/>
    <cellStyle name="60 % - Accent6 3 4" xfId="1075"/>
    <cellStyle name="60 % - Accent6 3 4 2" xfId="1076"/>
    <cellStyle name="60 % - Accent6 3 4 3" xfId="8645"/>
    <cellStyle name="60 % - Accent6 3 5" xfId="1077"/>
    <cellStyle name="60 % - Accent6 3 6" xfId="7898"/>
    <cellStyle name="60 % - Accent6 4" xfId="1078"/>
    <cellStyle name="60 % - Accent6 4 2" xfId="1079"/>
    <cellStyle name="60 % - Accent6 4 2 2" xfId="1080"/>
    <cellStyle name="60 % - Accent6 4 2 3" xfId="8646"/>
    <cellStyle name="60 % - Accent6 4 3" xfId="1081"/>
    <cellStyle name="60 % - Accent6 4 3 2" xfId="1082"/>
    <cellStyle name="60 % - Accent6 4 3 3" xfId="8647"/>
    <cellStyle name="60 % - Accent6 4 4" xfId="1083"/>
    <cellStyle name="60 % - Accent6 4 4 2" xfId="1084"/>
    <cellStyle name="60 % - Accent6 4 4 3" xfId="8648"/>
    <cellStyle name="60 % - Accent6 4 5" xfId="1085"/>
    <cellStyle name="60 % - Accent6 4 6" xfId="7899"/>
    <cellStyle name="60 % - Accent6 5" xfId="1086"/>
    <cellStyle name="60 % - Accent6 5 2" xfId="1087"/>
    <cellStyle name="60 % - Accent6 5 2 2" xfId="1088"/>
    <cellStyle name="60 % - Accent6 5 2 3" xfId="8649"/>
    <cellStyle name="60 % - Accent6 5 3" xfId="1089"/>
    <cellStyle name="60 % - Accent6 5 4" xfId="7900"/>
    <cellStyle name="60 % - Accent6 6" xfId="1090"/>
    <cellStyle name="60 % - Accent6 6 2" xfId="1091"/>
    <cellStyle name="60 % - Accent6 6 3" xfId="8650"/>
    <cellStyle name="60 % - Accent6 7" xfId="1092"/>
    <cellStyle name="60 % - Accent6 7 2" xfId="1093"/>
    <cellStyle name="60 % - Accent6 7 3" xfId="8651"/>
    <cellStyle name="60 % - Accent6 8" xfId="1094"/>
    <cellStyle name="60 % - Accent6 8 2" xfId="1095"/>
    <cellStyle name="60 % - Accent6 8 3" xfId="8652"/>
    <cellStyle name="60 % - Accent6 9" xfId="1096"/>
    <cellStyle name="60 % - Accent6 9 2" xfId="1097"/>
    <cellStyle name="60 % - Accent6 9 3" xfId="8653"/>
    <cellStyle name="AA" xfId="1100"/>
    <cellStyle name="AA 2" xfId="1101"/>
    <cellStyle name="AA 3" xfId="8654"/>
    <cellStyle name="Accent1 - 20 %" xfId="1102"/>
    <cellStyle name="Accent1 - 20 % 2" xfId="1103"/>
    <cellStyle name="Accent1 - 20 % 2 2" xfId="11870"/>
    <cellStyle name="Accent1 - 20 % 3" xfId="8655"/>
    <cellStyle name="Accent1 - 40 %" xfId="1104"/>
    <cellStyle name="Accent1 - 40 % 2" xfId="1105"/>
    <cellStyle name="Accent1 - 40 % 2 2" xfId="11871"/>
    <cellStyle name="Accent1 - 40 % 3" xfId="8656"/>
    <cellStyle name="Accent1 - 60 %" xfId="1106"/>
    <cellStyle name="Accent1 - 60 % 2" xfId="1107"/>
    <cellStyle name="Accent1 - 60 % 3" xfId="8657"/>
    <cellStyle name="Accent1 10" xfId="1108"/>
    <cellStyle name="Accent1 10 2" xfId="1109"/>
    <cellStyle name="Accent1 10 3" xfId="8658"/>
    <cellStyle name="Accent1 11" xfId="1110"/>
    <cellStyle name="Accent1 11 2" xfId="1111"/>
    <cellStyle name="Accent1 11 2 2" xfId="1112"/>
    <cellStyle name="Accent1 11 2 3" xfId="8660"/>
    <cellStyle name="Accent1 11 3" xfId="1113"/>
    <cellStyle name="Accent1 11 3 2" xfId="1114"/>
    <cellStyle name="Accent1 11 3 3" xfId="8661"/>
    <cellStyle name="Accent1 11 4" xfId="1115"/>
    <cellStyle name="Accent1 11 4 2" xfId="1116"/>
    <cellStyle name="Accent1 11 4 3" xfId="8662"/>
    <cellStyle name="Accent1 11 5" xfId="1117"/>
    <cellStyle name="Accent1 11 5 2" xfId="1118"/>
    <cellStyle name="Accent1 11 5 3" xfId="8663"/>
    <cellStyle name="Accent1 11 6" xfId="1119"/>
    <cellStyle name="Accent1 11 7" xfId="8659"/>
    <cellStyle name="Accent1 12" xfId="1120"/>
    <cellStyle name="Accent1 12 2" xfId="1121"/>
    <cellStyle name="Accent1 12 2 2" xfId="1122"/>
    <cellStyle name="Accent1 12 2 3" xfId="8665"/>
    <cellStyle name="Accent1 12 3" xfId="1123"/>
    <cellStyle name="Accent1 12 3 2" xfId="1124"/>
    <cellStyle name="Accent1 12 3 3" xfId="8666"/>
    <cellStyle name="Accent1 12 4" xfId="1125"/>
    <cellStyle name="Accent1 12 4 2" xfId="1126"/>
    <cellStyle name="Accent1 12 4 3" xfId="8667"/>
    <cellStyle name="Accent1 12 5" xfId="1127"/>
    <cellStyle name="Accent1 12 6" xfId="8664"/>
    <cellStyle name="Accent1 13" xfId="1128"/>
    <cellStyle name="Accent1 13 2" xfId="1129"/>
    <cellStyle name="Accent1 13 2 2" xfId="1130"/>
    <cellStyle name="Accent1 13 2 3" xfId="8669"/>
    <cellStyle name="Accent1 13 3" xfId="1131"/>
    <cellStyle name="Accent1 13 4" xfId="8668"/>
    <cellStyle name="Accent1 14" xfId="1132"/>
    <cellStyle name="Accent1 14 2" xfId="1133"/>
    <cellStyle name="Accent1 14 3" xfId="8670"/>
    <cellStyle name="Accent1 15" xfId="1134"/>
    <cellStyle name="Accent1 15 2" xfId="1135"/>
    <cellStyle name="Accent1 15 3" xfId="8671"/>
    <cellStyle name="Accent1 16" xfId="1136"/>
    <cellStyle name="Accent1 16 2" xfId="1137"/>
    <cellStyle name="Accent1 16 3" xfId="8672"/>
    <cellStyle name="Accent1 17" xfId="1138"/>
    <cellStyle name="Accent1 17 2" xfId="1139"/>
    <cellStyle name="Accent1 17 3" xfId="8673"/>
    <cellStyle name="Accent1 18" xfId="1140"/>
    <cellStyle name="Accent1 18 2" xfId="1141"/>
    <cellStyle name="Accent1 18 3" xfId="8674"/>
    <cellStyle name="Accent1 19" xfId="1142"/>
    <cellStyle name="Accent1 19 2" xfId="1143"/>
    <cellStyle name="Accent1 19 3" xfId="8675"/>
    <cellStyle name="Accent1 2" xfId="1144"/>
    <cellStyle name="Accent1 2 2" xfId="1145"/>
    <cellStyle name="Accent1 2 2 2" xfId="1146"/>
    <cellStyle name="Accent1 2 2 3" xfId="8676"/>
    <cellStyle name="Accent1 2 3" xfId="1147"/>
    <cellStyle name="Accent1 2 3 2" xfId="1148"/>
    <cellStyle name="Accent1 2 3 3" xfId="8677"/>
    <cellStyle name="Accent1 2 4" xfId="1149"/>
    <cellStyle name="Accent1 2 4 2" xfId="1150"/>
    <cellStyle name="Accent1 2 4 3" xfId="8678"/>
    <cellStyle name="Accent1 2 5" xfId="1151"/>
    <cellStyle name="Accent1 2 6" xfId="7901"/>
    <cellStyle name="Accent1 20" xfId="1152"/>
    <cellStyle name="Accent1 20 2" xfId="1153"/>
    <cellStyle name="Accent1 20 3" xfId="8679"/>
    <cellStyle name="Accent1 21" xfId="1154"/>
    <cellStyle name="Accent1 21 2" xfId="1155"/>
    <cellStyle name="Accent1 21 3" xfId="8680"/>
    <cellStyle name="Accent1 22" xfId="1156"/>
    <cellStyle name="Accent1 22 2" xfId="1157"/>
    <cellStyle name="Accent1 22 3" xfId="8681"/>
    <cellStyle name="Accent1 3" xfId="1158"/>
    <cellStyle name="Accent1 3 2" xfId="1159"/>
    <cellStyle name="Accent1 3 2 2" xfId="1160"/>
    <cellStyle name="Accent1 3 2 3" xfId="8682"/>
    <cellStyle name="Accent1 3 3" xfId="1161"/>
    <cellStyle name="Accent1 3 3 2" xfId="1162"/>
    <cellStyle name="Accent1 3 3 3" xfId="8683"/>
    <cellStyle name="Accent1 3 4" xfId="1163"/>
    <cellStyle name="Accent1 3 4 2" xfId="1164"/>
    <cellStyle name="Accent1 3 4 3" xfId="8684"/>
    <cellStyle name="Accent1 3 5" xfId="1165"/>
    <cellStyle name="Accent1 3 6" xfId="7902"/>
    <cellStyle name="Accent1 4" xfId="1166"/>
    <cellStyle name="Accent1 4 2" xfId="1167"/>
    <cellStyle name="Accent1 4 2 2" xfId="1168"/>
    <cellStyle name="Accent1 4 2 3" xfId="8685"/>
    <cellStyle name="Accent1 4 3" xfId="1169"/>
    <cellStyle name="Accent1 4 3 2" xfId="1170"/>
    <cellStyle name="Accent1 4 3 3" xfId="8686"/>
    <cellStyle name="Accent1 4 4" xfId="1171"/>
    <cellStyle name="Accent1 4 4 2" xfId="1172"/>
    <cellStyle name="Accent1 4 4 3" xfId="8687"/>
    <cellStyle name="Accent1 4 5" xfId="1173"/>
    <cellStyle name="Accent1 4 6" xfId="7903"/>
    <cellStyle name="Accent1 5" xfId="1174"/>
    <cellStyle name="Accent1 5 2" xfId="1175"/>
    <cellStyle name="Accent1 5 2 2" xfId="1176"/>
    <cellStyle name="Accent1 5 2 3" xfId="8688"/>
    <cellStyle name="Accent1 5 3" xfId="1177"/>
    <cellStyle name="Accent1 5 4" xfId="7904"/>
    <cellStyle name="Accent1 6" xfId="1178"/>
    <cellStyle name="Accent1 6 2" xfId="1179"/>
    <cellStyle name="Accent1 6 2 2" xfId="1180"/>
    <cellStyle name="Accent1 6 2 3" xfId="8690"/>
    <cellStyle name="Accent1 6 3" xfId="1181"/>
    <cellStyle name="Accent1 6 4" xfId="8689"/>
    <cellStyle name="Accent1 7" xfId="1182"/>
    <cellStyle name="Accent1 7 2" xfId="1183"/>
    <cellStyle name="Accent1 7 2 2" xfId="1184"/>
    <cellStyle name="Accent1 7 2 3" xfId="8692"/>
    <cellStyle name="Accent1 7 3" xfId="1185"/>
    <cellStyle name="Accent1 7 4" xfId="8691"/>
    <cellStyle name="Accent1 8" xfId="1186"/>
    <cellStyle name="Accent1 8 2" xfId="1187"/>
    <cellStyle name="Accent1 8 2 2" xfId="1188"/>
    <cellStyle name="Accent1 8 2 3" xfId="8694"/>
    <cellStyle name="Accent1 8 3" xfId="1189"/>
    <cellStyle name="Accent1 8 4" xfId="8693"/>
    <cellStyle name="Accent1 9" xfId="1190"/>
    <cellStyle name="Accent1 9 2" xfId="1191"/>
    <cellStyle name="Accent1 9 3" xfId="8695"/>
    <cellStyle name="Accent2 - 20 %" xfId="1192"/>
    <cellStyle name="Accent2 - 20 % 2" xfId="1193"/>
    <cellStyle name="Accent2 - 20 % 2 2" xfId="11872"/>
    <cellStyle name="Accent2 - 20 % 3" xfId="8696"/>
    <cellStyle name="Accent2 - 40 %" xfId="1194"/>
    <cellStyle name="Accent2 - 40 % 2" xfId="1195"/>
    <cellStyle name="Accent2 - 40 % 2 2" xfId="11873"/>
    <cellStyle name="Accent2 - 40 % 3" xfId="8697"/>
    <cellStyle name="Accent2 - 60 %" xfId="1196"/>
    <cellStyle name="Accent2 - 60 % 2" xfId="1197"/>
    <cellStyle name="Accent2 - 60 % 3" xfId="8698"/>
    <cellStyle name="Accent2 10" xfId="1198"/>
    <cellStyle name="Accent2 10 2" xfId="1199"/>
    <cellStyle name="Accent2 10 3" xfId="8699"/>
    <cellStyle name="Accent2 11" xfId="1200"/>
    <cellStyle name="Accent2 11 2" xfId="1201"/>
    <cellStyle name="Accent2 11 2 2" xfId="1202"/>
    <cellStyle name="Accent2 11 2 3" xfId="8701"/>
    <cellStyle name="Accent2 11 3" xfId="1203"/>
    <cellStyle name="Accent2 11 3 2" xfId="1204"/>
    <cellStyle name="Accent2 11 3 3" xfId="8702"/>
    <cellStyle name="Accent2 11 4" xfId="1205"/>
    <cellStyle name="Accent2 11 4 2" xfId="1206"/>
    <cellStyle name="Accent2 11 4 3" xfId="8703"/>
    <cellStyle name="Accent2 11 5" xfId="1207"/>
    <cellStyle name="Accent2 11 5 2" xfId="1208"/>
    <cellStyle name="Accent2 11 5 3" xfId="8704"/>
    <cellStyle name="Accent2 11 6" xfId="1209"/>
    <cellStyle name="Accent2 11 7" xfId="8700"/>
    <cellStyle name="Accent2 12" xfId="1210"/>
    <cellStyle name="Accent2 12 2" xfId="1211"/>
    <cellStyle name="Accent2 12 2 2" xfId="1212"/>
    <cellStyle name="Accent2 12 2 3" xfId="8706"/>
    <cellStyle name="Accent2 12 3" xfId="1213"/>
    <cellStyle name="Accent2 12 3 2" xfId="1214"/>
    <cellStyle name="Accent2 12 3 3" xfId="8707"/>
    <cellStyle name="Accent2 12 4" xfId="1215"/>
    <cellStyle name="Accent2 12 4 2" xfId="1216"/>
    <cellStyle name="Accent2 12 4 3" xfId="8708"/>
    <cellStyle name="Accent2 12 5" xfId="1217"/>
    <cellStyle name="Accent2 12 6" xfId="8705"/>
    <cellStyle name="Accent2 13" xfId="1218"/>
    <cellStyle name="Accent2 13 2" xfId="1219"/>
    <cellStyle name="Accent2 13 2 2" xfId="1220"/>
    <cellStyle name="Accent2 13 2 3" xfId="8710"/>
    <cellStyle name="Accent2 13 3" xfId="1221"/>
    <cellStyle name="Accent2 13 4" xfId="8709"/>
    <cellStyle name="Accent2 14" xfId="1222"/>
    <cellStyle name="Accent2 14 2" xfId="1223"/>
    <cellStyle name="Accent2 14 3" xfId="8711"/>
    <cellStyle name="Accent2 15" xfId="1224"/>
    <cellStyle name="Accent2 15 2" xfId="1225"/>
    <cellStyle name="Accent2 15 3" xfId="8712"/>
    <cellStyle name="Accent2 16" xfId="1226"/>
    <cellStyle name="Accent2 16 2" xfId="1227"/>
    <cellStyle name="Accent2 16 3" xfId="8713"/>
    <cellStyle name="Accent2 17" xfId="1228"/>
    <cellStyle name="Accent2 17 2" xfId="1229"/>
    <cellStyle name="Accent2 17 3" xfId="8714"/>
    <cellStyle name="Accent2 18" xfId="1230"/>
    <cellStyle name="Accent2 18 2" xfId="1231"/>
    <cellStyle name="Accent2 18 3" xfId="8715"/>
    <cellStyle name="Accent2 19" xfId="1232"/>
    <cellStyle name="Accent2 19 2" xfId="1233"/>
    <cellStyle name="Accent2 19 3" xfId="8716"/>
    <cellStyle name="Accent2 2" xfId="1234"/>
    <cellStyle name="Accent2 2 2" xfId="1235"/>
    <cellStyle name="Accent2 2 2 2" xfId="1236"/>
    <cellStyle name="Accent2 2 2 3" xfId="8717"/>
    <cellStyle name="Accent2 2 3" xfId="1237"/>
    <cellStyle name="Accent2 2 3 2" xfId="1238"/>
    <cellStyle name="Accent2 2 3 3" xfId="8718"/>
    <cellStyle name="Accent2 2 4" xfId="1239"/>
    <cellStyle name="Accent2 2 4 2" xfId="1240"/>
    <cellStyle name="Accent2 2 4 3" xfId="8719"/>
    <cellStyle name="Accent2 2 5" xfId="1241"/>
    <cellStyle name="Accent2 2 6" xfId="7905"/>
    <cellStyle name="Accent2 20" xfId="1242"/>
    <cellStyle name="Accent2 20 2" xfId="1243"/>
    <cellStyle name="Accent2 20 3" xfId="8720"/>
    <cellStyle name="Accent2 21" xfId="1244"/>
    <cellStyle name="Accent2 21 2" xfId="1245"/>
    <cellStyle name="Accent2 21 3" xfId="8721"/>
    <cellStyle name="Accent2 22" xfId="1246"/>
    <cellStyle name="Accent2 22 2" xfId="1247"/>
    <cellStyle name="Accent2 22 3" xfId="8722"/>
    <cellStyle name="Accent2 3" xfId="1248"/>
    <cellStyle name="Accent2 3 2" xfId="1249"/>
    <cellStyle name="Accent2 3 2 2" xfId="1250"/>
    <cellStyle name="Accent2 3 2 3" xfId="8723"/>
    <cellStyle name="Accent2 3 3" xfId="1251"/>
    <cellStyle name="Accent2 3 3 2" xfId="1252"/>
    <cellStyle name="Accent2 3 3 3" xfId="8724"/>
    <cellStyle name="Accent2 3 4" xfId="1253"/>
    <cellStyle name="Accent2 3 4 2" xfId="1254"/>
    <cellStyle name="Accent2 3 4 3" xfId="8725"/>
    <cellStyle name="Accent2 3 5" xfId="1255"/>
    <cellStyle name="Accent2 3 6" xfId="7906"/>
    <cellStyle name="Accent2 4" xfId="1256"/>
    <cellStyle name="Accent2 4 2" xfId="1257"/>
    <cellStyle name="Accent2 4 2 2" xfId="1258"/>
    <cellStyle name="Accent2 4 2 3" xfId="8726"/>
    <cellStyle name="Accent2 4 3" xfId="1259"/>
    <cellStyle name="Accent2 4 3 2" xfId="1260"/>
    <cellStyle name="Accent2 4 3 3" xfId="8727"/>
    <cellStyle name="Accent2 4 4" xfId="1261"/>
    <cellStyle name="Accent2 4 4 2" xfId="1262"/>
    <cellStyle name="Accent2 4 4 3" xfId="8728"/>
    <cellStyle name="Accent2 4 5" xfId="1263"/>
    <cellStyle name="Accent2 4 6" xfId="7907"/>
    <cellStyle name="Accent2 5" xfId="1264"/>
    <cellStyle name="Accent2 5 2" xfId="1265"/>
    <cellStyle name="Accent2 5 2 2" xfId="1266"/>
    <cellStyle name="Accent2 5 2 3" xfId="8729"/>
    <cellStyle name="Accent2 5 3" xfId="1267"/>
    <cellStyle name="Accent2 5 4" xfId="7908"/>
    <cellStyle name="Accent2 6" xfId="1268"/>
    <cellStyle name="Accent2 6 2" xfId="1269"/>
    <cellStyle name="Accent2 6 2 2" xfId="1270"/>
    <cellStyle name="Accent2 6 2 3" xfId="8731"/>
    <cellStyle name="Accent2 6 3" xfId="1271"/>
    <cellStyle name="Accent2 6 4" xfId="8730"/>
    <cellStyle name="Accent2 7" xfId="1272"/>
    <cellStyle name="Accent2 7 2" xfId="1273"/>
    <cellStyle name="Accent2 7 2 2" xfId="1274"/>
    <cellStyle name="Accent2 7 2 3" xfId="8733"/>
    <cellStyle name="Accent2 7 3" xfId="1275"/>
    <cellStyle name="Accent2 7 4" xfId="8732"/>
    <cellStyle name="Accent2 8" xfId="1276"/>
    <cellStyle name="Accent2 8 2" xfId="1277"/>
    <cellStyle name="Accent2 8 2 2" xfId="1278"/>
    <cellStyle name="Accent2 8 2 3" xfId="8735"/>
    <cellStyle name="Accent2 8 3" xfId="1279"/>
    <cellStyle name="Accent2 8 4" xfId="8734"/>
    <cellStyle name="Accent2 9" xfId="1280"/>
    <cellStyle name="Accent2 9 2" xfId="1281"/>
    <cellStyle name="Accent2 9 3" xfId="8736"/>
    <cellStyle name="Accent3 - 20 %" xfId="1282"/>
    <cellStyle name="Accent3 - 20 % 2" xfId="1283"/>
    <cellStyle name="Accent3 - 20 % 2 2" xfId="11874"/>
    <cellStyle name="Accent3 - 20 % 3" xfId="8737"/>
    <cellStyle name="Accent3 - 40 %" xfId="1284"/>
    <cellStyle name="Accent3 - 40 % 2" xfId="1285"/>
    <cellStyle name="Accent3 - 40 % 2 2" xfId="11875"/>
    <cellStyle name="Accent3 - 40 % 3" xfId="8738"/>
    <cellStyle name="Accent3 - 60 %" xfId="1286"/>
    <cellStyle name="Accent3 - 60 % 2" xfId="1287"/>
    <cellStyle name="Accent3 - 60 % 3" xfId="8739"/>
    <cellStyle name="Accent3 10" xfId="1288"/>
    <cellStyle name="Accent3 10 2" xfId="1289"/>
    <cellStyle name="Accent3 10 3" xfId="8740"/>
    <cellStyle name="Accent3 11" xfId="1290"/>
    <cellStyle name="Accent3 11 2" xfId="1291"/>
    <cellStyle name="Accent3 11 2 2" xfId="1292"/>
    <cellStyle name="Accent3 11 2 3" xfId="8742"/>
    <cellStyle name="Accent3 11 3" xfId="1293"/>
    <cellStyle name="Accent3 11 3 2" xfId="1294"/>
    <cellStyle name="Accent3 11 3 3" xfId="8743"/>
    <cellStyle name="Accent3 11 4" xfId="1295"/>
    <cellStyle name="Accent3 11 4 2" xfId="1296"/>
    <cellStyle name="Accent3 11 4 3" xfId="8744"/>
    <cellStyle name="Accent3 11 5" xfId="1297"/>
    <cellStyle name="Accent3 11 5 2" xfId="1298"/>
    <cellStyle name="Accent3 11 5 3" xfId="8745"/>
    <cellStyle name="Accent3 11 6" xfId="1299"/>
    <cellStyle name="Accent3 11 7" xfId="8741"/>
    <cellStyle name="Accent3 12" xfId="1300"/>
    <cellStyle name="Accent3 12 2" xfId="1301"/>
    <cellStyle name="Accent3 12 2 2" xfId="1302"/>
    <cellStyle name="Accent3 12 2 3" xfId="8747"/>
    <cellStyle name="Accent3 12 3" xfId="1303"/>
    <cellStyle name="Accent3 12 3 2" xfId="1304"/>
    <cellStyle name="Accent3 12 3 3" xfId="8748"/>
    <cellStyle name="Accent3 12 4" xfId="1305"/>
    <cellStyle name="Accent3 12 4 2" xfId="1306"/>
    <cellStyle name="Accent3 12 4 3" xfId="8749"/>
    <cellStyle name="Accent3 12 5" xfId="1307"/>
    <cellStyle name="Accent3 12 6" xfId="8746"/>
    <cellStyle name="Accent3 13" xfId="1308"/>
    <cellStyle name="Accent3 13 2" xfId="1309"/>
    <cellStyle name="Accent3 13 2 2" xfId="1310"/>
    <cellStyle name="Accent3 13 2 3" xfId="8751"/>
    <cellStyle name="Accent3 13 3" xfId="1311"/>
    <cellStyle name="Accent3 13 4" xfId="8750"/>
    <cellStyle name="Accent3 14" xfId="1312"/>
    <cellStyle name="Accent3 14 2" xfId="1313"/>
    <cellStyle name="Accent3 14 3" xfId="8752"/>
    <cellStyle name="Accent3 15" xfId="1314"/>
    <cellStyle name="Accent3 15 2" xfId="1315"/>
    <cellStyle name="Accent3 15 3" xfId="8753"/>
    <cellStyle name="Accent3 16" xfId="1316"/>
    <cellStyle name="Accent3 16 2" xfId="1317"/>
    <cellStyle name="Accent3 16 3" xfId="8754"/>
    <cellStyle name="Accent3 17" xfId="1318"/>
    <cellStyle name="Accent3 17 2" xfId="1319"/>
    <cellStyle name="Accent3 17 3" xfId="8755"/>
    <cellStyle name="Accent3 18" xfId="1320"/>
    <cellStyle name="Accent3 18 2" xfId="1321"/>
    <cellStyle name="Accent3 18 3" xfId="8756"/>
    <cellStyle name="Accent3 19" xfId="1322"/>
    <cellStyle name="Accent3 19 2" xfId="1323"/>
    <cellStyle name="Accent3 19 3" xfId="8757"/>
    <cellStyle name="Accent3 2" xfId="1324"/>
    <cellStyle name="Accent3 2 2" xfId="1325"/>
    <cellStyle name="Accent3 2 2 2" xfId="1326"/>
    <cellStyle name="Accent3 2 2 3" xfId="8758"/>
    <cellStyle name="Accent3 2 3" xfId="1327"/>
    <cellStyle name="Accent3 2 3 2" xfId="1328"/>
    <cellStyle name="Accent3 2 3 3" xfId="8759"/>
    <cellStyle name="Accent3 2 4" xfId="1329"/>
    <cellStyle name="Accent3 2 4 2" xfId="1330"/>
    <cellStyle name="Accent3 2 4 3" xfId="8760"/>
    <cellStyle name="Accent3 2 5" xfId="1331"/>
    <cellStyle name="Accent3 2 6" xfId="7909"/>
    <cellStyle name="Accent3 20" xfId="1332"/>
    <cellStyle name="Accent3 20 2" xfId="1333"/>
    <cellStyle name="Accent3 20 3" xfId="8761"/>
    <cellStyle name="Accent3 21" xfId="1334"/>
    <cellStyle name="Accent3 21 2" xfId="1335"/>
    <cellStyle name="Accent3 21 3" xfId="8762"/>
    <cellStyle name="Accent3 22" xfId="1336"/>
    <cellStyle name="Accent3 22 2" xfId="1337"/>
    <cellStyle name="Accent3 22 3" xfId="8763"/>
    <cellStyle name="Accent3 3" xfId="1338"/>
    <cellStyle name="Accent3 3 2" xfId="1339"/>
    <cellStyle name="Accent3 3 2 2" xfId="1340"/>
    <cellStyle name="Accent3 3 2 3" xfId="8764"/>
    <cellStyle name="Accent3 3 3" xfId="1341"/>
    <cellStyle name="Accent3 3 3 2" xfId="1342"/>
    <cellStyle name="Accent3 3 3 3" xfId="8765"/>
    <cellStyle name="Accent3 3 4" xfId="1343"/>
    <cellStyle name="Accent3 3 4 2" xfId="1344"/>
    <cellStyle name="Accent3 3 4 3" xfId="8766"/>
    <cellStyle name="Accent3 3 5" xfId="1345"/>
    <cellStyle name="Accent3 3 6" xfId="7910"/>
    <cellStyle name="Accent3 4" xfId="1346"/>
    <cellStyle name="Accent3 4 2" xfId="1347"/>
    <cellStyle name="Accent3 4 2 2" xfId="1348"/>
    <cellStyle name="Accent3 4 2 3" xfId="8767"/>
    <cellStyle name="Accent3 4 3" xfId="1349"/>
    <cellStyle name="Accent3 4 3 2" xfId="1350"/>
    <cellStyle name="Accent3 4 3 3" xfId="8768"/>
    <cellStyle name="Accent3 4 4" xfId="1351"/>
    <cellStyle name="Accent3 4 4 2" xfId="1352"/>
    <cellStyle name="Accent3 4 4 3" xfId="8769"/>
    <cellStyle name="Accent3 4 5" xfId="1353"/>
    <cellStyle name="Accent3 4 6" xfId="7911"/>
    <cellStyle name="Accent3 5" xfId="1354"/>
    <cellStyle name="Accent3 5 2" xfId="1355"/>
    <cellStyle name="Accent3 5 2 2" xfId="1356"/>
    <cellStyle name="Accent3 5 2 3" xfId="8770"/>
    <cellStyle name="Accent3 5 3" xfId="1357"/>
    <cellStyle name="Accent3 5 4" xfId="7912"/>
    <cellStyle name="Accent3 6" xfId="1358"/>
    <cellStyle name="Accent3 6 2" xfId="1359"/>
    <cellStyle name="Accent3 6 2 2" xfId="1360"/>
    <cellStyle name="Accent3 6 2 3" xfId="8772"/>
    <cellStyle name="Accent3 6 3" xfId="1361"/>
    <cellStyle name="Accent3 6 4" xfId="8771"/>
    <cellStyle name="Accent3 7" xfId="1362"/>
    <cellStyle name="Accent3 7 2" xfId="1363"/>
    <cellStyle name="Accent3 7 2 2" xfId="1364"/>
    <cellStyle name="Accent3 7 2 3" xfId="8774"/>
    <cellStyle name="Accent3 7 3" xfId="1365"/>
    <cellStyle name="Accent3 7 4" xfId="8773"/>
    <cellStyle name="Accent3 8" xfId="1366"/>
    <cellStyle name="Accent3 8 2" xfId="1367"/>
    <cellStyle name="Accent3 8 2 2" xfId="1368"/>
    <cellStyle name="Accent3 8 2 3" xfId="8776"/>
    <cellStyle name="Accent3 8 3" xfId="1369"/>
    <cellStyle name="Accent3 8 4" xfId="8775"/>
    <cellStyle name="Accent3 9" xfId="1370"/>
    <cellStyle name="Accent3 9 2" xfId="1371"/>
    <cellStyle name="Accent3 9 3" xfId="8777"/>
    <cellStyle name="Accent4 - 20 %" xfId="1372"/>
    <cellStyle name="Accent4 - 20 % 2" xfId="1373"/>
    <cellStyle name="Accent4 - 20 % 2 2" xfId="11876"/>
    <cellStyle name="Accent4 - 20 % 3" xfId="8778"/>
    <cellStyle name="Accent4 - 40 %" xfId="1374"/>
    <cellStyle name="Accent4 - 40 % 2" xfId="1375"/>
    <cellStyle name="Accent4 - 40 % 2 2" xfId="11877"/>
    <cellStyle name="Accent4 - 40 % 3" xfId="8779"/>
    <cellStyle name="Accent4 - 60 %" xfId="1376"/>
    <cellStyle name="Accent4 - 60 % 2" xfId="1377"/>
    <cellStyle name="Accent4 - 60 % 3" xfId="8780"/>
    <cellStyle name="Accent4 10" xfId="1378"/>
    <cellStyle name="Accent4 10 2" xfId="1379"/>
    <cellStyle name="Accent4 10 3" xfId="8781"/>
    <cellStyle name="Accent4 11" xfId="1380"/>
    <cellStyle name="Accent4 11 2" xfId="1381"/>
    <cellStyle name="Accent4 11 2 2" xfId="1382"/>
    <cellStyle name="Accent4 11 2 3" xfId="8783"/>
    <cellStyle name="Accent4 11 3" xfId="1383"/>
    <cellStyle name="Accent4 11 3 2" xfId="1384"/>
    <cellStyle name="Accent4 11 3 3" xfId="8784"/>
    <cellStyle name="Accent4 11 4" xfId="1385"/>
    <cellStyle name="Accent4 11 4 2" xfId="1386"/>
    <cellStyle name="Accent4 11 4 3" xfId="8785"/>
    <cellStyle name="Accent4 11 5" xfId="1387"/>
    <cellStyle name="Accent4 11 6" xfId="8782"/>
    <cellStyle name="Accent4 12" xfId="1388"/>
    <cellStyle name="Accent4 12 2" xfId="1389"/>
    <cellStyle name="Accent4 12 2 2" xfId="1390"/>
    <cellStyle name="Accent4 12 2 3" xfId="8787"/>
    <cellStyle name="Accent4 12 3" xfId="1391"/>
    <cellStyle name="Accent4 12 3 2" xfId="1392"/>
    <cellStyle name="Accent4 12 3 3" xfId="8788"/>
    <cellStyle name="Accent4 12 4" xfId="1393"/>
    <cellStyle name="Accent4 12 5" xfId="8786"/>
    <cellStyle name="Accent4 13" xfId="1394"/>
    <cellStyle name="Accent4 13 2" xfId="1395"/>
    <cellStyle name="Accent4 13 3" xfId="8789"/>
    <cellStyle name="Accent4 14" xfId="1396"/>
    <cellStyle name="Accent4 14 2" xfId="1397"/>
    <cellStyle name="Accent4 14 3" xfId="8790"/>
    <cellStyle name="Accent4 15" xfId="1398"/>
    <cellStyle name="Accent4 15 2" xfId="1399"/>
    <cellStyle name="Accent4 15 3" xfId="8791"/>
    <cellStyle name="Accent4 16" xfId="1400"/>
    <cellStyle name="Accent4 16 2" xfId="1401"/>
    <cellStyle name="Accent4 16 3" xfId="8792"/>
    <cellStyle name="Accent4 17" xfId="1402"/>
    <cellStyle name="Accent4 17 2" xfId="1403"/>
    <cellStyle name="Accent4 17 3" xfId="8793"/>
    <cellStyle name="Accent4 18" xfId="1404"/>
    <cellStyle name="Accent4 18 2" xfId="1405"/>
    <cellStyle name="Accent4 18 3" xfId="8794"/>
    <cellStyle name="Accent4 19" xfId="1406"/>
    <cellStyle name="Accent4 19 2" xfId="1407"/>
    <cellStyle name="Accent4 19 3" xfId="8795"/>
    <cellStyle name="Accent4 2" xfId="1408"/>
    <cellStyle name="Accent4 2 2" xfId="1409"/>
    <cellStyle name="Accent4 2 2 2" xfId="1410"/>
    <cellStyle name="Accent4 2 2 3" xfId="8796"/>
    <cellStyle name="Accent4 2 3" xfId="1411"/>
    <cellStyle name="Accent4 2 3 2" xfId="1412"/>
    <cellStyle name="Accent4 2 3 3" xfId="8797"/>
    <cellStyle name="Accent4 2 4" xfId="1413"/>
    <cellStyle name="Accent4 2 4 2" xfId="1414"/>
    <cellStyle name="Accent4 2 4 3" xfId="8798"/>
    <cellStyle name="Accent4 2 5" xfId="1415"/>
    <cellStyle name="Accent4 2 6" xfId="7913"/>
    <cellStyle name="Accent4 20" xfId="1416"/>
    <cellStyle name="Accent4 20 2" xfId="1417"/>
    <cellStyle name="Accent4 20 3" xfId="8799"/>
    <cellStyle name="Accent4 21" xfId="1418"/>
    <cellStyle name="Accent4 21 2" xfId="1419"/>
    <cellStyle name="Accent4 21 3" xfId="8800"/>
    <cellStyle name="Accent4 22" xfId="1420"/>
    <cellStyle name="Accent4 22 2" xfId="1421"/>
    <cellStyle name="Accent4 22 3" xfId="8801"/>
    <cellStyle name="Accent4 3" xfId="1422"/>
    <cellStyle name="Accent4 3 2" xfId="1423"/>
    <cellStyle name="Accent4 3 2 2" xfId="1424"/>
    <cellStyle name="Accent4 3 2 3" xfId="8802"/>
    <cellStyle name="Accent4 3 3" xfId="1425"/>
    <cellStyle name="Accent4 3 3 2" xfId="1426"/>
    <cellStyle name="Accent4 3 3 3" xfId="8803"/>
    <cellStyle name="Accent4 3 4" xfId="1427"/>
    <cellStyle name="Accent4 3 4 2" xfId="1428"/>
    <cellStyle name="Accent4 3 4 3" xfId="8804"/>
    <cellStyle name="Accent4 3 5" xfId="1429"/>
    <cellStyle name="Accent4 3 6" xfId="7914"/>
    <cellStyle name="Accent4 4" xfId="1430"/>
    <cellStyle name="Accent4 4 2" xfId="1431"/>
    <cellStyle name="Accent4 4 2 2" xfId="1432"/>
    <cellStyle name="Accent4 4 2 3" xfId="8805"/>
    <cellStyle name="Accent4 4 3" xfId="1433"/>
    <cellStyle name="Accent4 4 3 2" xfId="1434"/>
    <cellStyle name="Accent4 4 3 3" xfId="8806"/>
    <cellStyle name="Accent4 4 4" xfId="1435"/>
    <cellStyle name="Accent4 4 4 2" xfId="1436"/>
    <cellStyle name="Accent4 4 4 3" xfId="8807"/>
    <cellStyle name="Accent4 4 5" xfId="1437"/>
    <cellStyle name="Accent4 4 6" xfId="7915"/>
    <cellStyle name="Accent4 5" xfId="1438"/>
    <cellStyle name="Accent4 5 2" xfId="1439"/>
    <cellStyle name="Accent4 5 2 2" xfId="1440"/>
    <cellStyle name="Accent4 5 2 3" xfId="8808"/>
    <cellStyle name="Accent4 5 3" xfId="1441"/>
    <cellStyle name="Accent4 5 4" xfId="7916"/>
    <cellStyle name="Accent4 6" xfId="1442"/>
    <cellStyle name="Accent4 6 2" xfId="1443"/>
    <cellStyle name="Accent4 6 3" xfId="8809"/>
    <cellStyle name="Accent4 7" xfId="1444"/>
    <cellStyle name="Accent4 7 2" xfId="1445"/>
    <cellStyle name="Accent4 7 3" xfId="8810"/>
    <cellStyle name="Accent4 8" xfId="1446"/>
    <cellStyle name="Accent4 8 2" xfId="1447"/>
    <cellStyle name="Accent4 8 3" xfId="8811"/>
    <cellStyle name="Accent4 9" xfId="1448"/>
    <cellStyle name="Accent4 9 2" xfId="1449"/>
    <cellStyle name="Accent4 9 3" xfId="8812"/>
    <cellStyle name="Accent5 - 20 %" xfId="1450"/>
    <cellStyle name="Accent5 - 20 % 2" xfId="1451"/>
    <cellStyle name="Accent5 - 20 % 2 2" xfId="11878"/>
    <cellStyle name="Accent5 - 20 % 3" xfId="8813"/>
    <cellStyle name="Accent5 - 40 %" xfId="1452"/>
    <cellStyle name="Accent5 - 40 % 2" xfId="1453"/>
    <cellStyle name="Accent5 - 40 % 2 2" xfId="11879"/>
    <cellStyle name="Accent5 - 40 % 3" xfId="8814"/>
    <cellStyle name="Accent5 - 60 %" xfId="1454"/>
    <cellStyle name="Accent5 - 60 % 2" xfId="1455"/>
    <cellStyle name="Accent5 - 60 % 3" xfId="8815"/>
    <cellStyle name="Accent5 10" xfId="1456"/>
    <cellStyle name="Accent5 10 2" xfId="1457"/>
    <cellStyle name="Accent5 10 3" xfId="8816"/>
    <cellStyle name="Accent5 11" xfId="1458"/>
    <cellStyle name="Accent5 11 2" xfId="1459"/>
    <cellStyle name="Accent5 11 2 2" xfId="1460"/>
    <cellStyle name="Accent5 11 2 3" xfId="8818"/>
    <cellStyle name="Accent5 11 3" xfId="1461"/>
    <cellStyle name="Accent5 11 4" xfId="8817"/>
    <cellStyle name="Accent5 12" xfId="1462"/>
    <cellStyle name="Accent5 12 2" xfId="1463"/>
    <cellStyle name="Accent5 12 3" xfId="8819"/>
    <cellStyle name="Accent5 13" xfId="1464"/>
    <cellStyle name="Accent5 13 2" xfId="1465"/>
    <cellStyle name="Accent5 13 3" xfId="8820"/>
    <cellStyle name="Accent5 14" xfId="1466"/>
    <cellStyle name="Accent5 14 2" xfId="1467"/>
    <cellStyle name="Accent5 14 3" xfId="8821"/>
    <cellStyle name="Accent5 15" xfId="1468"/>
    <cellStyle name="Accent5 15 2" xfId="1469"/>
    <cellStyle name="Accent5 15 3" xfId="8822"/>
    <cellStyle name="Accent5 16" xfId="1470"/>
    <cellStyle name="Accent5 16 2" xfId="1471"/>
    <cellStyle name="Accent5 16 3" xfId="8823"/>
    <cellStyle name="Accent5 17" xfId="1472"/>
    <cellStyle name="Accent5 17 2" xfId="1473"/>
    <cellStyle name="Accent5 17 3" xfId="8824"/>
    <cellStyle name="Accent5 18" xfId="1474"/>
    <cellStyle name="Accent5 18 2" xfId="1475"/>
    <cellStyle name="Accent5 18 3" xfId="8825"/>
    <cellStyle name="Accent5 19" xfId="1476"/>
    <cellStyle name="Accent5 19 2" xfId="1477"/>
    <cellStyle name="Accent5 19 3" xfId="8826"/>
    <cellStyle name="Accent5 2" xfId="1478"/>
    <cellStyle name="Accent5 2 2" xfId="1479"/>
    <cellStyle name="Accent5 2 2 2" xfId="1480"/>
    <cellStyle name="Accent5 2 2 3" xfId="8827"/>
    <cellStyle name="Accent5 2 3" xfId="1481"/>
    <cellStyle name="Accent5 2 3 2" xfId="1482"/>
    <cellStyle name="Accent5 2 3 3" xfId="8828"/>
    <cellStyle name="Accent5 2 4" xfId="1483"/>
    <cellStyle name="Accent5 2 4 2" xfId="1484"/>
    <cellStyle name="Accent5 2 4 3" xfId="8829"/>
    <cellStyle name="Accent5 2 5" xfId="1485"/>
    <cellStyle name="Accent5 2 6" xfId="7917"/>
    <cellStyle name="Accent5 20" xfId="1486"/>
    <cellStyle name="Accent5 20 2" xfId="1487"/>
    <cellStyle name="Accent5 20 3" xfId="8830"/>
    <cellStyle name="Accent5 21" xfId="1488"/>
    <cellStyle name="Accent5 21 2" xfId="1489"/>
    <cellStyle name="Accent5 21 3" xfId="8831"/>
    <cellStyle name="Accent5 3" xfId="1490"/>
    <cellStyle name="Accent5 3 2" xfId="1491"/>
    <cellStyle name="Accent5 3 2 2" xfId="1492"/>
    <cellStyle name="Accent5 3 2 3" xfId="8832"/>
    <cellStyle name="Accent5 3 3" xfId="1493"/>
    <cellStyle name="Accent5 3 3 2" xfId="1494"/>
    <cellStyle name="Accent5 3 3 3" xfId="8833"/>
    <cellStyle name="Accent5 3 4" xfId="1495"/>
    <cellStyle name="Accent5 3 4 2" xfId="1496"/>
    <cellStyle name="Accent5 3 4 3" xfId="8834"/>
    <cellStyle name="Accent5 3 5" xfId="1497"/>
    <cellStyle name="Accent5 3 6" xfId="7918"/>
    <cellStyle name="Accent5 4" xfId="1498"/>
    <cellStyle name="Accent5 4 2" xfId="1499"/>
    <cellStyle name="Accent5 4 2 2" xfId="1500"/>
    <cellStyle name="Accent5 4 2 3" xfId="8835"/>
    <cellStyle name="Accent5 4 3" xfId="1501"/>
    <cellStyle name="Accent5 4 3 2" xfId="1502"/>
    <cellStyle name="Accent5 4 3 3" xfId="8836"/>
    <cellStyle name="Accent5 4 4" xfId="1503"/>
    <cellStyle name="Accent5 4 4 2" xfId="1504"/>
    <cellStyle name="Accent5 4 4 3" xfId="8837"/>
    <cellStyle name="Accent5 4 5" xfId="1505"/>
    <cellStyle name="Accent5 4 6" xfId="7919"/>
    <cellStyle name="Accent5 5" xfId="1506"/>
    <cellStyle name="Accent5 5 2" xfId="1507"/>
    <cellStyle name="Accent5 5 2 2" xfId="1508"/>
    <cellStyle name="Accent5 5 2 3" xfId="8838"/>
    <cellStyle name="Accent5 5 3" xfId="1509"/>
    <cellStyle name="Accent5 5 4" xfId="7920"/>
    <cellStyle name="Accent5 6" xfId="1510"/>
    <cellStyle name="Accent5 6 2" xfId="1511"/>
    <cellStyle name="Accent5 6 3" xfId="8839"/>
    <cellStyle name="Accent5 7" xfId="1512"/>
    <cellStyle name="Accent5 7 2" xfId="1513"/>
    <cellStyle name="Accent5 7 3" xfId="8840"/>
    <cellStyle name="Accent5 8" xfId="1514"/>
    <cellStyle name="Accent5 8 2" xfId="1515"/>
    <cellStyle name="Accent5 8 3" xfId="8841"/>
    <cellStyle name="Accent5 9" xfId="1516"/>
    <cellStyle name="Accent5 9 2" xfId="1517"/>
    <cellStyle name="Accent5 9 3" xfId="8842"/>
    <cellStyle name="Accent6 - 20 %" xfId="1518"/>
    <cellStyle name="Accent6 - 20 % 2" xfId="1519"/>
    <cellStyle name="Accent6 - 20 % 2 2" xfId="11880"/>
    <cellStyle name="Accent6 - 20 % 3" xfId="8843"/>
    <cellStyle name="Accent6 - 40 %" xfId="1520"/>
    <cellStyle name="Accent6 - 40 % 2" xfId="1521"/>
    <cellStyle name="Accent6 - 40 % 2 2" xfId="11881"/>
    <cellStyle name="Accent6 - 40 % 3" xfId="8844"/>
    <cellStyle name="Accent6 - 60 %" xfId="1522"/>
    <cellStyle name="Accent6 - 60 % 2" xfId="1523"/>
    <cellStyle name="Accent6 - 60 % 3" xfId="8845"/>
    <cellStyle name="Accent6 10" xfId="1524"/>
    <cellStyle name="Accent6 10 2" xfId="1525"/>
    <cellStyle name="Accent6 10 3" xfId="8846"/>
    <cellStyle name="Accent6 11" xfId="1526"/>
    <cellStyle name="Accent6 11 2" xfId="1527"/>
    <cellStyle name="Accent6 11 2 2" xfId="1528"/>
    <cellStyle name="Accent6 11 2 3" xfId="8848"/>
    <cellStyle name="Accent6 11 3" xfId="1529"/>
    <cellStyle name="Accent6 11 3 2" xfId="1530"/>
    <cellStyle name="Accent6 11 3 3" xfId="8849"/>
    <cellStyle name="Accent6 11 4" xfId="1531"/>
    <cellStyle name="Accent6 11 4 2" xfId="1532"/>
    <cellStyle name="Accent6 11 4 3" xfId="8850"/>
    <cellStyle name="Accent6 11 5" xfId="1533"/>
    <cellStyle name="Accent6 11 5 2" xfId="1534"/>
    <cellStyle name="Accent6 11 5 3" xfId="8851"/>
    <cellStyle name="Accent6 11 6" xfId="1535"/>
    <cellStyle name="Accent6 11 7" xfId="8847"/>
    <cellStyle name="Accent6 12" xfId="1536"/>
    <cellStyle name="Accent6 12 2" xfId="1537"/>
    <cellStyle name="Accent6 12 2 2" xfId="1538"/>
    <cellStyle name="Accent6 12 2 3" xfId="8853"/>
    <cellStyle name="Accent6 12 3" xfId="1539"/>
    <cellStyle name="Accent6 12 3 2" xfId="1540"/>
    <cellStyle name="Accent6 12 3 3" xfId="8854"/>
    <cellStyle name="Accent6 12 4" xfId="1541"/>
    <cellStyle name="Accent6 12 4 2" xfId="1542"/>
    <cellStyle name="Accent6 12 4 3" xfId="8855"/>
    <cellStyle name="Accent6 12 5" xfId="1543"/>
    <cellStyle name="Accent6 12 6" xfId="8852"/>
    <cellStyle name="Accent6 13" xfId="1544"/>
    <cellStyle name="Accent6 13 2" xfId="1545"/>
    <cellStyle name="Accent6 13 2 2" xfId="1546"/>
    <cellStyle name="Accent6 13 2 3" xfId="8857"/>
    <cellStyle name="Accent6 13 3" xfId="1547"/>
    <cellStyle name="Accent6 13 4" xfId="8856"/>
    <cellStyle name="Accent6 14" xfId="1548"/>
    <cellStyle name="Accent6 14 2" xfId="1549"/>
    <cellStyle name="Accent6 14 3" xfId="8858"/>
    <cellStyle name="Accent6 15" xfId="1550"/>
    <cellStyle name="Accent6 15 2" xfId="1551"/>
    <cellStyle name="Accent6 15 3" xfId="8859"/>
    <cellStyle name="Accent6 16" xfId="1552"/>
    <cellStyle name="Accent6 16 2" xfId="1553"/>
    <cellStyle name="Accent6 16 3" xfId="8860"/>
    <cellStyle name="Accent6 17" xfId="1554"/>
    <cellStyle name="Accent6 17 2" xfId="1555"/>
    <cellStyle name="Accent6 17 3" xfId="8861"/>
    <cellStyle name="Accent6 18" xfId="1556"/>
    <cellStyle name="Accent6 18 2" xfId="1557"/>
    <cellStyle name="Accent6 18 3" xfId="8862"/>
    <cellStyle name="Accent6 19" xfId="1558"/>
    <cellStyle name="Accent6 19 2" xfId="1559"/>
    <cellStyle name="Accent6 19 3" xfId="8863"/>
    <cellStyle name="Accent6 2" xfId="1560"/>
    <cellStyle name="Accent6 2 2" xfId="1561"/>
    <cellStyle name="Accent6 2 2 2" xfId="1562"/>
    <cellStyle name="Accent6 2 2 3" xfId="8864"/>
    <cellStyle name="Accent6 2 3" xfId="1563"/>
    <cellStyle name="Accent6 2 3 2" xfId="1564"/>
    <cellStyle name="Accent6 2 3 3" xfId="8865"/>
    <cellStyle name="Accent6 2 4" xfId="1565"/>
    <cellStyle name="Accent6 2 4 2" xfId="1566"/>
    <cellStyle name="Accent6 2 4 3" xfId="8866"/>
    <cellStyle name="Accent6 2 5" xfId="1567"/>
    <cellStyle name="Accent6 2 6" xfId="7921"/>
    <cellStyle name="Accent6 20" xfId="1568"/>
    <cellStyle name="Accent6 20 2" xfId="1569"/>
    <cellStyle name="Accent6 20 3" xfId="8867"/>
    <cellStyle name="Accent6 21" xfId="1570"/>
    <cellStyle name="Accent6 21 2" xfId="1571"/>
    <cellStyle name="Accent6 21 3" xfId="8868"/>
    <cellStyle name="Accent6 22" xfId="1572"/>
    <cellStyle name="Accent6 22 2" xfId="1573"/>
    <cellStyle name="Accent6 22 3" xfId="8869"/>
    <cellStyle name="Accent6 3" xfId="1574"/>
    <cellStyle name="Accent6 3 2" xfId="1575"/>
    <cellStyle name="Accent6 3 2 2" xfId="1576"/>
    <cellStyle name="Accent6 3 2 3" xfId="8870"/>
    <cellStyle name="Accent6 3 3" xfId="1577"/>
    <cellStyle name="Accent6 3 3 2" xfId="1578"/>
    <cellStyle name="Accent6 3 3 3" xfId="8871"/>
    <cellStyle name="Accent6 3 4" xfId="1579"/>
    <cellStyle name="Accent6 3 4 2" xfId="1580"/>
    <cellStyle name="Accent6 3 4 3" xfId="8872"/>
    <cellStyle name="Accent6 3 5" xfId="1581"/>
    <cellStyle name="Accent6 3 6" xfId="7922"/>
    <cellStyle name="Accent6 4" xfId="1582"/>
    <cellStyle name="Accent6 4 2" xfId="1583"/>
    <cellStyle name="Accent6 4 2 2" xfId="1584"/>
    <cellStyle name="Accent6 4 2 3" xfId="8873"/>
    <cellStyle name="Accent6 4 3" xfId="1585"/>
    <cellStyle name="Accent6 4 3 2" xfId="1586"/>
    <cellStyle name="Accent6 4 3 3" xfId="8874"/>
    <cellStyle name="Accent6 4 4" xfId="1587"/>
    <cellStyle name="Accent6 4 4 2" xfId="1588"/>
    <cellStyle name="Accent6 4 4 3" xfId="8875"/>
    <cellStyle name="Accent6 4 5" xfId="1589"/>
    <cellStyle name="Accent6 4 6" xfId="7923"/>
    <cellStyle name="Accent6 5" xfId="1590"/>
    <cellStyle name="Accent6 5 2" xfId="1591"/>
    <cellStyle name="Accent6 5 2 2" xfId="1592"/>
    <cellStyle name="Accent6 5 2 3" xfId="8876"/>
    <cellStyle name="Accent6 5 3" xfId="1593"/>
    <cellStyle name="Accent6 5 4" xfId="7924"/>
    <cellStyle name="Accent6 6" xfId="1594"/>
    <cellStyle name="Accent6 6 2" xfId="1595"/>
    <cellStyle name="Accent6 6 2 2" xfId="1596"/>
    <cellStyle name="Accent6 6 2 3" xfId="8878"/>
    <cellStyle name="Accent6 6 3" xfId="1597"/>
    <cellStyle name="Accent6 6 4" xfId="8877"/>
    <cellStyle name="Accent6 7" xfId="1598"/>
    <cellStyle name="Accent6 7 2" xfId="1599"/>
    <cellStyle name="Accent6 7 2 2" xfId="1600"/>
    <cellStyle name="Accent6 7 2 3" xfId="8880"/>
    <cellStyle name="Accent6 7 3" xfId="1601"/>
    <cellStyle name="Accent6 7 4" xfId="8879"/>
    <cellStyle name="Accent6 8" xfId="1602"/>
    <cellStyle name="Accent6 8 2" xfId="1603"/>
    <cellStyle name="Accent6 8 2 2" xfId="1604"/>
    <cellStyle name="Accent6 8 2 3" xfId="8882"/>
    <cellStyle name="Accent6 8 3" xfId="1605"/>
    <cellStyle name="Accent6 8 4" xfId="8881"/>
    <cellStyle name="Accent6 9" xfId="1606"/>
    <cellStyle name="Accent6 9 2" xfId="1607"/>
    <cellStyle name="Accent6 9 3" xfId="8883"/>
    <cellStyle name="AggblueBoldCels" xfId="1608"/>
    <cellStyle name="AggblueBoldCels 2" xfId="1609"/>
    <cellStyle name="AggblueBoldCels 3" xfId="8884"/>
    <cellStyle name="AggblueCels" xfId="1610"/>
    <cellStyle name="AggblueCels 2" xfId="1611"/>
    <cellStyle name="AggblueCels 3" xfId="8885"/>
    <cellStyle name="AggBoldCells" xfId="1612"/>
    <cellStyle name="AggBoldCells 2" xfId="1613"/>
    <cellStyle name="AggBoldCells 3" xfId="8886"/>
    <cellStyle name="AggCels" xfId="1614"/>
    <cellStyle name="AggCels 2" xfId="1615"/>
    <cellStyle name="AggCels 3" xfId="8887"/>
    <cellStyle name="AggGreen" xfId="1616"/>
    <cellStyle name="AggGreen 2" xfId="1617"/>
    <cellStyle name="AggGreen 3" xfId="8888"/>
    <cellStyle name="AggGreen12" xfId="1618"/>
    <cellStyle name="AggGreen12 2" xfId="1619"/>
    <cellStyle name="AggGreen12 3" xfId="8889"/>
    <cellStyle name="AggOrange" xfId="1620"/>
    <cellStyle name="AggOrange 2" xfId="1621"/>
    <cellStyle name="AggOrange 3" xfId="8890"/>
    <cellStyle name="AggOrange9" xfId="1622"/>
    <cellStyle name="AggOrange9 2" xfId="1623"/>
    <cellStyle name="AggOrange9 3" xfId="8891"/>
    <cellStyle name="AggOrangeLB_2x" xfId="1624"/>
    <cellStyle name="AggOrangeLBorder" xfId="1625"/>
    <cellStyle name="AggOrangeLBorder 2" xfId="1626"/>
    <cellStyle name="AggOrangeLBorder 3" xfId="8892"/>
    <cellStyle name="AggOrangeRBorder" xfId="1627"/>
    <cellStyle name="AggOrangeRBorder 2" xfId="1628"/>
    <cellStyle name="AggOrangeRBorder 3" xfId="8893"/>
    <cellStyle name="Avertissement 10" xfId="1629"/>
    <cellStyle name="Avertissement 10 2" xfId="1630"/>
    <cellStyle name="Avertissement 10 3" xfId="8894"/>
    <cellStyle name="Avertissement 11" xfId="1631"/>
    <cellStyle name="Avertissement 11 2" xfId="1632"/>
    <cellStyle name="Avertissement 11 2 2" xfId="1633"/>
    <cellStyle name="Avertissement 11 2 3" xfId="8896"/>
    <cellStyle name="Avertissement 11 3" xfId="1634"/>
    <cellStyle name="Avertissement 11 4" xfId="8895"/>
    <cellStyle name="Avertissement 12" xfId="1635"/>
    <cellStyle name="Avertissement 12 2" xfId="1636"/>
    <cellStyle name="Avertissement 12 3" xfId="8897"/>
    <cellStyle name="Avertissement 13" xfId="1637"/>
    <cellStyle name="Avertissement 13 2" xfId="1638"/>
    <cellStyle name="Avertissement 13 3" xfId="8898"/>
    <cellStyle name="Avertissement 2" xfId="1639"/>
    <cellStyle name="Avertissement 2 2" xfId="1640"/>
    <cellStyle name="Avertissement 2 2 2" xfId="1641"/>
    <cellStyle name="Avertissement 2 2 3" xfId="8899"/>
    <cellStyle name="Avertissement 2 3" xfId="1642"/>
    <cellStyle name="Avertissement 2 3 2" xfId="1643"/>
    <cellStyle name="Avertissement 2 3 3" xfId="8900"/>
    <cellStyle name="Avertissement 2 4" xfId="1644"/>
    <cellStyle name="Avertissement 2 4 2" xfId="1645"/>
    <cellStyle name="Avertissement 2 4 3" xfId="8901"/>
    <cellStyle name="Avertissement 2 5" xfId="1646"/>
    <cellStyle name="Avertissement 2 6" xfId="7925"/>
    <cellStyle name="Avertissement 3" xfId="1647"/>
    <cellStyle name="Avertissement 3 2" xfId="1648"/>
    <cellStyle name="Avertissement 3 2 2" xfId="1649"/>
    <cellStyle name="Avertissement 3 2 3" xfId="8902"/>
    <cellStyle name="Avertissement 3 3" xfId="1650"/>
    <cellStyle name="Avertissement 3 3 2" xfId="1651"/>
    <cellStyle name="Avertissement 3 3 3" xfId="8903"/>
    <cellStyle name="Avertissement 3 4" xfId="1652"/>
    <cellStyle name="Avertissement 3 4 2" xfId="1653"/>
    <cellStyle name="Avertissement 3 4 3" xfId="8904"/>
    <cellStyle name="Avertissement 3 5" xfId="1654"/>
    <cellStyle name="Avertissement 3 6" xfId="7926"/>
    <cellStyle name="Avertissement 4" xfId="1655"/>
    <cellStyle name="Avertissement 4 2" xfId="1656"/>
    <cellStyle name="Avertissement 4 2 2" xfId="1657"/>
    <cellStyle name="Avertissement 4 2 3" xfId="8905"/>
    <cellStyle name="Avertissement 4 3" xfId="1658"/>
    <cellStyle name="Avertissement 4 3 2" xfId="1659"/>
    <cellStyle name="Avertissement 4 3 3" xfId="8906"/>
    <cellStyle name="Avertissement 4 4" xfId="1660"/>
    <cellStyle name="Avertissement 4 4 2" xfId="1661"/>
    <cellStyle name="Avertissement 4 4 3" xfId="8907"/>
    <cellStyle name="Avertissement 4 5" xfId="1662"/>
    <cellStyle name="Avertissement 4 6" xfId="7927"/>
    <cellStyle name="Avertissement 5" xfId="1663"/>
    <cellStyle name="Avertissement 5 2" xfId="1664"/>
    <cellStyle name="Avertissement 5 2 2" xfId="1665"/>
    <cellStyle name="Avertissement 5 2 3" xfId="8908"/>
    <cellStyle name="Avertissement 5 3" xfId="1666"/>
    <cellStyle name="Avertissement 5 4" xfId="7928"/>
    <cellStyle name="Avertissement 6" xfId="1667"/>
    <cellStyle name="Avertissement 6 2" xfId="1668"/>
    <cellStyle name="Avertissement 6 3" xfId="8909"/>
    <cellStyle name="Avertissement 7" xfId="1669"/>
    <cellStyle name="Avertissement 7 2" xfId="1670"/>
    <cellStyle name="Avertissement 7 3" xfId="8910"/>
    <cellStyle name="Avertissement 8" xfId="1671"/>
    <cellStyle name="Avertissement 8 2" xfId="1672"/>
    <cellStyle name="Avertissement 8 3" xfId="8911"/>
    <cellStyle name="Avertissement 9" xfId="1673"/>
    <cellStyle name="Avertissement 9 2" xfId="1674"/>
    <cellStyle name="Avertissement 9 3" xfId="8912"/>
    <cellStyle name="Bold GHG Numbers (0.00)" xfId="1675"/>
    <cellStyle name="Bold GHG Numbers (0.00) 2" xfId="1676"/>
    <cellStyle name="Bold GHG Numbers (0.00) 3" xfId="1677"/>
    <cellStyle name="Bold GHG Numbers (0.00) 4" xfId="7929"/>
    <cellStyle name="Calcul 10" xfId="1678"/>
    <cellStyle name="Calcul 10 2" xfId="1679"/>
    <cellStyle name="Calcul 10 3" xfId="8913"/>
    <cellStyle name="Calcul 11" xfId="1680"/>
    <cellStyle name="Calcul 11 2" xfId="1681"/>
    <cellStyle name="Calcul 11 2 2" xfId="1682"/>
    <cellStyle name="Calcul 11 2 3" xfId="8915"/>
    <cellStyle name="Calcul 11 3" xfId="1683"/>
    <cellStyle name="Calcul 11 3 2" xfId="1684"/>
    <cellStyle name="Calcul 11 3 3" xfId="8916"/>
    <cellStyle name="Calcul 11 4" xfId="1685"/>
    <cellStyle name="Calcul 11 4 2" xfId="1686"/>
    <cellStyle name="Calcul 11 4 3" xfId="8917"/>
    <cellStyle name="Calcul 11 5" xfId="1687"/>
    <cellStyle name="Calcul 11 6" xfId="8914"/>
    <cellStyle name="Calcul 12" xfId="1688"/>
    <cellStyle name="Calcul 12 2" xfId="1689"/>
    <cellStyle name="Calcul 12 2 2" xfId="1690"/>
    <cellStyle name="Calcul 12 2 3" xfId="8919"/>
    <cellStyle name="Calcul 12 3" xfId="1691"/>
    <cellStyle name="Calcul 12 3 2" xfId="1692"/>
    <cellStyle name="Calcul 12 3 3" xfId="8920"/>
    <cellStyle name="Calcul 12 4" xfId="1693"/>
    <cellStyle name="Calcul 12 5" xfId="8918"/>
    <cellStyle name="Calcul 13" xfId="1694"/>
    <cellStyle name="Calcul 13 2" xfId="1695"/>
    <cellStyle name="Calcul 13 3" xfId="8921"/>
    <cellStyle name="Calcul 14" xfId="1696"/>
    <cellStyle name="Calcul 14 2" xfId="1697"/>
    <cellStyle name="Calcul 14 3" xfId="8922"/>
    <cellStyle name="Calcul 15" xfId="1698"/>
    <cellStyle name="Calcul 15 2" xfId="1699"/>
    <cellStyle name="Calcul 15 3" xfId="8923"/>
    <cellStyle name="Calcul 2" xfId="1700"/>
    <cellStyle name="Calcul 2 2" xfId="1701"/>
    <cellStyle name="Calcul 2 2 2" xfId="1702"/>
    <cellStyle name="Calcul 2 2 3" xfId="8924"/>
    <cellStyle name="Calcul 2 3" xfId="1703"/>
    <cellStyle name="Calcul 2 3 2" xfId="1704"/>
    <cellStyle name="Calcul 2 3 3" xfId="8925"/>
    <cellStyle name="Calcul 2 4" xfId="1705"/>
    <cellStyle name="Calcul 2 4 2" xfId="1706"/>
    <cellStyle name="Calcul 2 4 3" xfId="8926"/>
    <cellStyle name="Calcul 2 5" xfId="1707"/>
    <cellStyle name="Calcul 2 6" xfId="7930"/>
    <cellStyle name="Calcul 3" xfId="1708"/>
    <cellStyle name="Calcul 3 2" xfId="1709"/>
    <cellStyle name="Calcul 3 2 2" xfId="1710"/>
    <cellStyle name="Calcul 3 2 3" xfId="8927"/>
    <cellStyle name="Calcul 3 3" xfId="1711"/>
    <cellStyle name="Calcul 3 3 2" xfId="1712"/>
    <cellStyle name="Calcul 3 3 3" xfId="8928"/>
    <cellStyle name="Calcul 3 4" xfId="1713"/>
    <cellStyle name="Calcul 3 4 2" xfId="1714"/>
    <cellStyle name="Calcul 3 4 3" xfId="8929"/>
    <cellStyle name="Calcul 3 5" xfId="1715"/>
    <cellStyle name="Calcul 3 6" xfId="7931"/>
    <cellStyle name="Calcul 4" xfId="1716"/>
    <cellStyle name="Calcul 4 2" xfId="1717"/>
    <cellStyle name="Calcul 4 2 2" xfId="1718"/>
    <cellStyle name="Calcul 4 2 3" xfId="8930"/>
    <cellStyle name="Calcul 4 3" xfId="1719"/>
    <cellStyle name="Calcul 4 3 2" xfId="1720"/>
    <cellStyle name="Calcul 4 3 3" xfId="8931"/>
    <cellStyle name="Calcul 4 4" xfId="1721"/>
    <cellStyle name="Calcul 4 4 2" xfId="1722"/>
    <cellStyle name="Calcul 4 4 3" xfId="8932"/>
    <cellStyle name="Calcul 4 5" xfId="1723"/>
    <cellStyle name="Calcul 4 6" xfId="7932"/>
    <cellStyle name="Calcul 5" xfId="1724"/>
    <cellStyle name="Calcul 5 2" xfId="1725"/>
    <cellStyle name="Calcul 5 2 2" xfId="1726"/>
    <cellStyle name="Calcul 5 2 3" xfId="8933"/>
    <cellStyle name="Calcul 5 3" xfId="1727"/>
    <cellStyle name="Calcul 5 4" xfId="7933"/>
    <cellStyle name="Calcul 6" xfId="1728"/>
    <cellStyle name="Calcul 6 2" xfId="1729"/>
    <cellStyle name="Calcul 6 2 2" xfId="1730"/>
    <cellStyle name="Calcul 6 2 3" xfId="8935"/>
    <cellStyle name="Calcul 6 3" xfId="1731"/>
    <cellStyle name="Calcul 6 4" xfId="8934"/>
    <cellStyle name="Calcul 7" xfId="1732"/>
    <cellStyle name="Calcul 7 2" xfId="1733"/>
    <cellStyle name="Calcul 7 3" xfId="8936"/>
    <cellStyle name="Calcul 8" xfId="1734"/>
    <cellStyle name="Calcul 8 2" xfId="1735"/>
    <cellStyle name="Calcul 8 3" xfId="8937"/>
    <cellStyle name="Calcul 9" xfId="1736"/>
    <cellStyle name="Calcul 9 2" xfId="1737"/>
    <cellStyle name="Calcul 9 3" xfId="8938"/>
    <cellStyle name="Calculated" xfId="1738"/>
    <cellStyle name="Calculated 2" xfId="1739"/>
    <cellStyle name="Calculated 3" xfId="8939"/>
    <cellStyle name="Cellule liée 10" xfId="1740"/>
    <cellStyle name="Cellule liée 10 2" xfId="1741"/>
    <cellStyle name="Cellule liée 10 3" xfId="8940"/>
    <cellStyle name="Cellule liée 11" xfId="1742"/>
    <cellStyle name="Cellule liée 11 2" xfId="1743"/>
    <cellStyle name="Cellule liée 11 2 2" xfId="1744"/>
    <cellStyle name="Cellule liée 11 2 3" xfId="8942"/>
    <cellStyle name="Cellule liée 11 3" xfId="1745"/>
    <cellStyle name="Cellule liée 11 3 2" xfId="1746"/>
    <cellStyle name="Cellule liée 11 3 3" xfId="8943"/>
    <cellStyle name="Cellule liée 11 4" xfId="1747"/>
    <cellStyle name="Cellule liée 11 4 2" xfId="1748"/>
    <cellStyle name="Cellule liée 11 4 3" xfId="8944"/>
    <cellStyle name="Cellule liée 11 5" xfId="1749"/>
    <cellStyle name="Cellule liée 11 6" xfId="8941"/>
    <cellStyle name="Cellule liée 12" xfId="1750"/>
    <cellStyle name="Cellule liée 12 2" xfId="1751"/>
    <cellStyle name="Cellule liée 12 2 2" xfId="1752"/>
    <cellStyle name="Cellule liée 12 2 3" xfId="8946"/>
    <cellStyle name="Cellule liée 12 3" xfId="1753"/>
    <cellStyle name="Cellule liée 12 3 2" xfId="1754"/>
    <cellStyle name="Cellule liée 12 3 3" xfId="8947"/>
    <cellStyle name="Cellule liée 12 4" xfId="1755"/>
    <cellStyle name="Cellule liée 12 5" xfId="8945"/>
    <cellStyle name="Cellule liée 13" xfId="1756"/>
    <cellStyle name="Cellule liée 13 2" xfId="1757"/>
    <cellStyle name="Cellule liée 13 3" xfId="8948"/>
    <cellStyle name="Cellule liée 14" xfId="1758"/>
    <cellStyle name="Cellule liée 14 2" xfId="1759"/>
    <cellStyle name="Cellule liée 14 3" xfId="8949"/>
    <cellStyle name="Cellule liée 15" xfId="1760"/>
    <cellStyle name="Cellule liée 15 2" xfId="1761"/>
    <cellStyle name="Cellule liée 15 3" xfId="8950"/>
    <cellStyle name="Cellule liée 2" xfId="1762"/>
    <cellStyle name="Cellule liée 2 2" xfId="1763"/>
    <cellStyle name="Cellule liée 2 2 2" xfId="1764"/>
    <cellStyle name="Cellule liée 2 2 3" xfId="8951"/>
    <cellStyle name="Cellule liée 2 3" xfId="1765"/>
    <cellStyle name="Cellule liée 2 3 2" xfId="1766"/>
    <cellStyle name="Cellule liée 2 3 3" xfId="8952"/>
    <cellStyle name="Cellule liée 2 4" xfId="1767"/>
    <cellStyle name="Cellule liée 2 4 2" xfId="1768"/>
    <cellStyle name="Cellule liée 2 4 3" xfId="8953"/>
    <cellStyle name="Cellule liée 2 5" xfId="1769"/>
    <cellStyle name="Cellule liée 2 6" xfId="7934"/>
    <cellStyle name="Cellule liée 3" xfId="1770"/>
    <cellStyle name="Cellule liée 3 2" xfId="1771"/>
    <cellStyle name="Cellule liée 3 2 2" xfId="1772"/>
    <cellStyle name="Cellule liée 3 2 3" xfId="8954"/>
    <cellStyle name="Cellule liée 3 3" xfId="1773"/>
    <cellStyle name="Cellule liée 3 3 2" xfId="1774"/>
    <cellStyle name="Cellule liée 3 3 3" xfId="8955"/>
    <cellStyle name="Cellule liée 3 4" xfId="1775"/>
    <cellStyle name="Cellule liée 3 4 2" xfId="1776"/>
    <cellStyle name="Cellule liée 3 4 3" xfId="8956"/>
    <cellStyle name="Cellule liée 3 5" xfId="1777"/>
    <cellStyle name="Cellule liée 3 6" xfId="7935"/>
    <cellStyle name="Cellule liée 4" xfId="1778"/>
    <cellStyle name="Cellule liée 4 2" xfId="1779"/>
    <cellStyle name="Cellule liée 4 2 2" xfId="1780"/>
    <cellStyle name="Cellule liée 4 2 3" xfId="8957"/>
    <cellStyle name="Cellule liée 4 3" xfId="1781"/>
    <cellStyle name="Cellule liée 4 3 2" xfId="1782"/>
    <cellStyle name="Cellule liée 4 3 3" xfId="8958"/>
    <cellStyle name="Cellule liée 4 4" xfId="1783"/>
    <cellStyle name="Cellule liée 4 4 2" xfId="1784"/>
    <cellStyle name="Cellule liée 4 4 3" xfId="8959"/>
    <cellStyle name="Cellule liée 4 5" xfId="1785"/>
    <cellStyle name="Cellule liée 4 6" xfId="7936"/>
    <cellStyle name="Cellule liée 5" xfId="1786"/>
    <cellStyle name="Cellule liée 5 2" xfId="1787"/>
    <cellStyle name="Cellule liée 5 2 2" xfId="1788"/>
    <cellStyle name="Cellule liée 5 2 3" xfId="8960"/>
    <cellStyle name="Cellule liée 5 3" xfId="1789"/>
    <cellStyle name="Cellule liée 5 4" xfId="7937"/>
    <cellStyle name="Cellule liée 6" xfId="1790"/>
    <cellStyle name="Cellule liée 6 2" xfId="1791"/>
    <cellStyle name="Cellule liée 6 2 2" xfId="1792"/>
    <cellStyle name="Cellule liée 6 2 3" xfId="8962"/>
    <cellStyle name="Cellule liée 6 3" xfId="1793"/>
    <cellStyle name="Cellule liée 6 4" xfId="8961"/>
    <cellStyle name="Cellule liée 7" xfId="1794"/>
    <cellStyle name="Cellule liée 7 2" xfId="1795"/>
    <cellStyle name="Cellule liée 7 3" xfId="8963"/>
    <cellStyle name="Cellule liée 8" xfId="1796"/>
    <cellStyle name="Cellule liée 8 2" xfId="1797"/>
    <cellStyle name="Cellule liée 8 3" xfId="8964"/>
    <cellStyle name="Cellule liée 9" xfId="1798"/>
    <cellStyle name="Cellule liée 9 2" xfId="1799"/>
    <cellStyle name="Cellule liée 9 3" xfId="8965"/>
    <cellStyle name="Comma [0]" xfId="1800"/>
    <cellStyle name="Comma [0] 10" xfId="1801"/>
    <cellStyle name="Comma [0] 10 2" xfId="1802"/>
    <cellStyle name="Comma [0] 10 2 2" xfId="11883"/>
    <cellStyle name="Comma [0] 10 3" xfId="1803"/>
    <cellStyle name="Comma [0] 10 4" xfId="8967"/>
    <cellStyle name="Comma [0] 11" xfId="1804"/>
    <cellStyle name="Comma [0] 11 2" xfId="1805"/>
    <cellStyle name="Comma [0] 11 2 2" xfId="11884"/>
    <cellStyle name="Comma [0] 11 3" xfId="1806"/>
    <cellStyle name="Comma [0] 11 4" xfId="8968"/>
    <cellStyle name="Comma [0] 12" xfId="1807"/>
    <cellStyle name="Comma [0] 12 2" xfId="11882"/>
    <cellStyle name="Comma [0] 13" xfId="1808"/>
    <cellStyle name="Comma [0] 14" xfId="8966"/>
    <cellStyle name="Comma [0] 2" xfId="1809"/>
    <cellStyle name="Comma [0] 2 2" xfId="1810"/>
    <cellStyle name="Comma [0] 2 2 2" xfId="11885"/>
    <cellStyle name="Comma [0] 2 3" xfId="1811"/>
    <cellStyle name="Comma [0] 2 4" xfId="8969"/>
    <cellStyle name="Comma [0] 3" xfId="1812"/>
    <cellStyle name="Comma [0] 3 2" xfId="1813"/>
    <cellStyle name="Comma [0] 3 2 2" xfId="11886"/>
    <cellStyle name="Comma [0] 3 3" xfId="1814"/>
    <cellStyle name="Comma [0] 3 4" xfId="8970"/>
    <cellStyle name="Comma [0] 4" xfId="1815"/>
    <cellStyle name="Comma [0] 4 2" xfId="1816"/>
    <cellStyle name="Comma [0] 4 2 2" xfId="11887"/>
    <cellStyle name="Comma [0] 4 3" xfId="1817"/>
    <cellStyle name="Comma [0] 4 4" xfId="8971"/>
    <cellStyle name="Comma [0] 5" xfId="1818"/>
    <cellStyle name="Comma [0] 5 2" xfId="1819"/>
    <cellStyle name="Comma [0] 5 2 2" xfId="11888"/>
    <cellStyle name="Comma [0] 5 3" xfId="1820"/>
    <cellStyle name="Comma [0] 5 4" xfId="8972"/>
    <cellStyle name="Comma [0] 6" xfId="1821"/>
    <cellStyle name="Comma [0] 6 2" xfId="1822"/>
    <cellStyle name="Comma [0] 6 2 2" xfId="11889"/>
    <cellStyle name="Comma [0] 6 3" xfId="1823"/>
    <cellStyle name="Comma [0] 6 4" xfId="8973"/>
    <cellStyle name="Comma [0] 7" xfId="1824"/>
    <cellStyle name="Comma [0] 7 2" xfId="1825"/>
    <cellStyle name="Comma [0] 7 2 2" xfId="11890"/>
    <cellStyle name="Comma [0] 7 3" xfId="1826"/>
    <cellStyle name="Comma [0] 7 4" xfId="8974"/>
    <cellStyle name="Comma [0] 8" xfId="1827"/>
    <cellStyle name="Comma [0] 8 2" xfId="1828"/>
    <cellStyle name="Comma [0] 8 2 2" xfId="11891"/>
    <cellStyle name="Comma [0] 8 3" xfId="1829"/>
    <cellStyle name="Comma [0] 8 4" xfId="8975"/>
    <cellStyle name="Comma [0] 9" xfId="1830"/>
    <cellStyle name="Comma [0] 9 2" xfId="1831"/>
    <cellStyle name="Comma [0] 9 2 2" xfId="11892"/>
    <cellStyle name="Comma [0] 9 3" xfId="1832"/>
    <cellStyle name="Comma [0] 9 4" xfId="8976"/>
    <cellStyle name="Comment" xfId="1833"/>
    <cellStyle name="Comment 2" xfId="1834"/>
    <cellStyle name="Comment 3" xfId="8977"/>
    <cellStyle name="Commentaire 10" xfId="1835"/>
    <cellStyle name="Commentaire 10 2" xfId="1836"/>
    <cellStyle name="Commentaire 10 2 2" xfId="11893"/>
    <cellStyle name="Commentaire 10 3" xfId="8978"/>
    <cellStyle name="Commentaire 2" xfId="1837"/>
    <cellStyle name="Commentaire 2 10" xfId="7938"/>
    <cellStyle name="Commentaire 2 2" xfId="1838"/>
    <cellStyle name="Commentaire 2 2 2" xfId="1839"/>
    <cellStyle name="Commentaire 2 2 2 2" xfId="1840"/>
    <cellStyle name="Commentaire 2 2 2 2 2" xfId="1841"/>
    <cellStyle name="Commentaire 2 2 2 2 3" xfId="8981"/>
    <cellStyle name="Commentaire 2 2 2 3" xfId="1842"/>
    <cellStyle name="Commentaire 2 2 2 4" xfId="8980"/>
    <cellStyle name="Commentaire 2 2 3" xfId="1843"/>
    <cellStyle name="Commentaire 2 2 4" xfId="8979"/>
    <cellStyle name="Commentaire 2 3" xfId="1844"/>
    <cellStyle name="Commentaire 2 3 2" xfId="1845"/>
    <cellStyle name="Commentaire 2 3 2 2" xfId="1846"/>
    <cellStyle name="Commentaire 2 3 2 3" xfId="8983"/>
    <cellStyle name="Commentaire 2 3 3" xfId="1847"/>
    <cellStyle name="Commentaire 2 3 4" xfId="8982"/>
    <cellStyle name="Commentaire 2 4" xfId="1848"/>
    <cellStyle name="Commentaire 2 4 2" xfId="1849"/>
    <cellStyle name="Commentaire 2 4 3" xfId="8984"/>
    <cellStyle name="Commentaire 2 5" xfId="1850"/>
    <cellStyle name="Commentaire 2 5 2" xfId="1851"/>
    <cellStyle name="Commentaire 2 5 3" xfId="8985"/>
    <cellStyle name="Commentaire 2 6" xfId="1852"/>
    <cellStyle name="Commentaire 2 6 2" xfId="1853"/>
    <cellStyle name="Commentaire 2 6 2 2" xfId="11894"/>
    <cellStyle name="Commentaire 2 6 3" xfId="8986"/>
    <cellStyle name="Commentaire 2 7" xfId="1854"/>
    <cellStyle name="Commentaire 2 7 2" xfId="1855"/>
    <cellStyle name="Commentaire 2 7 3" xfId="8987"/>
    <cellStyle name="Commentaire 2 8" xfId="1856"/>
    <cellStyle name="Commentaire 2 8 2" xfId="1857"/>
    <cellStyle name="Commentaire 2 8 2 2" xfId="11895"/>
    <cellStyle name="Commentaire 2 8 3" xfId="8988"/>
    <cellStyle name="Commentaire 2 9" xfId="1858"/>
    <cellStyle name="Commentaire 3" xfId="1859"/>
    <cellStyle name="Commentaire 3 2" xfId="1860"/>
    <cellStyle name="Commentaire 3 2 2" xfId="1861"/>
    <cellStyle name="Commentaire 3 2 2 2" xfId="1862"/>
    <cellStyle name="Commentaire 3 2 2 2 2" xfId="1863"/>
    <cellStyle name="Commentaire 3 2 2 2 3" xfId="8991"/>
    <cellStyle name="Commentaire 3 2 2 3" xfId="1864"/>
    <cellStyle name="Commentaire 3 2 2 4" xfId="8990"/>
    <cellStyle name="Commentaire 3 2 3" xfId="1865"/>
    <cellStyle name="Commentaire 3 2 4" xfId="8989"/>
    <cellStyle name="Commentaire 3 3" xfId="1866"/>
    <cellStyle name="Commentaire 3 3 2" xfId="1867"/>
    <cellStyle name="Commentaire 3 3 2 2" xfId="1868"/>
    <cellStyle name="Commentaire 3 3 2 3" xfId="8993"/>
    <cellStyle name="Commentaire 3 3 3" xfId="1869"/>
    <cellStyle name="Commentaire 3 3 3 2" xfId="1870"/>
    <cellStyle name="Commentaire 3 3 3 2 2" xfId="11896"/>
    <cellStyle name="Commentaire 3 3 3 3" xfId="8994"/>
    <cellStyle name="Commentaire 3 3 4" xfId="1871"/>
    <cellStyle name="Commentaire 3 3 5" xfId="8992"/>
    <cellStyle name="Commentaire 3 4" xfId="1872"/>
    <cellStyle name="Commentaire 3 4 2" xfId="1873"/>
    <cellStyle name="Commentaire 3 4 2 2" xfId="1874"/>
    <cellStyle name="Commentaire 3 4 2 3" xfId="8996"/>
    <cellStyle name="Commentaire 3 4 3" xfId="1875"/>
    <cellStyle name="Commentaire 3 4 4" xfId="8995"/>
    <cellStyle name="Commentaire 3 5" xfId="1876"/>
    <cellStyle name="Commentaire 3 5 2" xfId="1877"/>
    <cellStyle name="Commentaire 3 5 3" xfId="8997"/>
    <cellStyle name="Commentaire 3 6" xfId="1878"/>
    <cellStyle name="Commentaire 3 6 2" xfId="1879"/>
    <cellStyle name="Commentaire 3 6 2 2" xfId="11897"/>
    <cellStyle name="Commentaire 3 6 3" xfId="8998"/>
    <cellStyle name="Commentaire 3 7" xfId="1880"/>
    <cellStyle name="Commentaire 3 7 2" xfId="1881"/>
    <cellStyle name="Commentaire 3 7 3" xfId="8999"/>
    <cellStyle name="Commentaire 3 8" xfId="1882"/>
    <cellStyle name="Commentaire 3 9" xfId="7939"/>
    <cellStyle name="Commentaire 4" xfId="1883"/>
    <cellStyle name="Commentaire 4 2" xfId="1884"/>
    <cellStyle name="Commentaire 4 2 2" xfId="1885"/>
    <cellStyle name="Commentaire 4 2 2 2" xfId="1886"/>
    <cellStyle name="Commentaire 4 2 2 3" xfId="9001"/>
    <cellStyle name="Commentaire 4 2 3" xfId="1887"/>
    <cellStyle name="Commentaire 4 2 4" xfId="9000"/>
    <cellStyle name="Commentaire 4 3" xfId="1888"/>
    <cellStyle name="Commentaire 4 3 2" xfId="1889"/>
    <cellStyle name="Commentaire 4 3 2 2" xfId="1890"/>
    <cellStyle name="Commentaire 4 3 2 3" xfId="9003"/>
    <cellStyle name="Commentaire 4 3 3" xfId="1891"/>
    <cellStyle name="Commentaire 4 3 4" xfId="9002"/>
    <cellStyle name="Commentaire 4 4" xfId="1892"/>
    <cellStyle name="Commentaire 4 4 2" xfId="1893"/>
    <cellStyle name="Commentaire 4 4 3" xfId="9004"/>
    <cellStyle name="Commentaire 4 5" xfId="1894"/>
    <cellStyle name="Commentaire 4 5 2" xfId="1895"/>
    <cellStyle name="Commentaire 4 5 3" xfId="9005"/>
    <cellStyle name="Commentaire 4 6" xfId="1896"/>
    <cellStyle name="Commentaire 4 6 2" xfId="1897"/>
    <cellStyle name="Commentaire 4 6 3" xfId="9006"/>
    <cellStyle name="Commentaire 4 7" xfId="1898"/>
    <cellStyle name="Commentaire 4 8" xfId="7940"/>
    <cellStyle name="Commentaire 5" xfId="1899"/>
    <cellStyle name="Commentaire 5 2" xfId="1900"/>
    <cellStyle name="Commentaire 5 2 2" xfId="1901"/>
    <cellStyle name="Commentaire 5 2 2 2" xfId="1902"/>
    <cellStyle name="Commentaire 5 2 2 3" xfId="9008"/>
    <cellStyle name="Commentaire 5 2 3" xfId="1903"/>
    <cellStyle name="Commentaire 5 2 4" xfId="9007"/>
    <cellStyle name="Commentaire 5 3" xfId="1904"/>
    <cellStyle name="Commentaire 5 3 2" xfId="1905"/>
    <cellStyle name="Commentaire 5 3 2 2" xfId="1906"/>
    <cellStyle name="Commentaire 5 3 2 3" xfId="9010"/>
    <cellStyle name="Commentaire 5 3 3" xfId="1907"/>
    <cellStyle name="Commentaire 5 3 4" xfId="9009"/>
    <cellStyle name="Commentaire 5 4" xfId="1908"/>
    <cellStyle name="Commentaire 5 4 2" xfId="1909"/>
    <cellStyle name="Commentaire 5 4 3" xfId="9011"/>
    <cellStyle name="Commentaire 5 5" xfId="1910"/>
    <cellStyle name="Commentaire 5 5 2" xfId="1911"/>
    <cellStyle name="Commentaire 5 5 3" xfId="9012"/>
    <cellStyle name="Commentaire 5 6" xfId="1912"/>
    <cellStyle name="Commentaire 5 6 2" xfId="1913"/>
    <cellStyle name="Commentaire 5 6 3" xfId="9013"/>
    <cellStyle name="Commentaire 5 7" xfId="1914"/>
    <cellStyle name="Commentaire 5 8" xfId="7941"/>
    <cellStyle name="Commentaire 6" xfId="1915"/>
    <cellStyle name="Commentaire 6 2" xfId="1916"/>
    <cellStyle name="Commentaire 6 2 2" xfId="1917"/>
    <cellStyle name="Commentaire 6 2 3" xfId="9015"/>
    <cellStyle name="Commentaire 6 3" xfId="1918"/>
    <cellStyle name="Commentaire 6 3 2" xfId="1919"/>
    <cellStyle name="Commentaire 6 3 3" xfId="9016"/>
    <cellStyle name="Commentaire 6 4" xfId="1920"/>
    <cellStyle name="Commentaire 6 4 2" xfId="1921"/>
    <cellStyle name="Commentaire 6 4 3" xfId="9017"/>
    <cellStyle name="Commentaire 6 5" xfId="1922"/>
    <cellStyle name="Commentaire 6 5 2" xfId="1923"/>
    <cellStyle name="Commentaire 6 5 3" xfId="9018"/>
    <cellStyle name="Commentaire 6 6" xfId="1924"/>
    <cellStyle name="Commentaire 6 6 2" xfId="1925"/>
    <cellStyle name="Commentaire 6 6 3" xfId="9019"/>
    <cellStyle name="Commentaire 6 7" xfId="1926"/>
    <cellStyle name="Commentaire 6 8" xfId="9014"/>
    <cellStyle name="Commentaire 7" xfId="1927"/>
    <cellStyle name="Commentaire 7 2" xfId="1928"/>
    <cellStyle name="Commentaire 7 2 2" xfId="1929"/>
    <cellStyle name="Commentaire 7 2 3" xfId="9021"/>
    <cellStyle name="Commentaire 7 3" xfId="1930"/>
    <cellStyle name="Commentaire 7 4" xfId="9020"/>
    <cellStyle name="Commentaire 8" xfId="1931"/>
    <cellStyle name="Commentaire 8 2" xfId="1932"/>
    <cellStyle name="Commentaire 8 3" xfId="9022"/>
    <cellStyle name="Commentaire 9" xfId="1933"/>
    <cellStyle name="Commentaire 9 2" xfId="1934"/>
    <cellStyle name="Commentaire 9 3" xfId="9023"/>
    <cellStyle name="Constants" xfId="1935"/>
    <cellStyle name="Constants 2" xfId="1936"/>
    <cellStyle name="Constants 3" xfId="9024"/>
    <cellStyle name="Currency [0]" xfId="1937"/>
    <cellStyle name="Currency [0] 10" xfId="1938"/>
    <cellStyle name="Currency [0] 10 2" xfId="1939"/>
    <cellStyle name="Currency [0] 10 3" xfId="9026"/>
    <cellStyle name="Currency [0] 11" xfId="1940"/>
    <cellStyle name="Currency [0] 11 2" xfId="1941"/>
    <cellStyle name="Currency [0] 11 3" xfId="9027"/>
    <cellStyle name="Currency [0] 12" xfId="1942"/>
    <cellStyle name="Currency [0] 13" xfId="9025"/>
    <cellStyle name="Currency [0] 2" xfId="1943"/>
    <cellStyle name="Currency [0] 2 2" xfId="1944"/>
    <cellStyle name="Currency [0] 2 3" xfId="9028"/>
    <cellStyle name="Currency [0] 3" xfId="1945"/>
    <cellStyle name="Currency [0] 3 2" xfId="1946"/>
    <cellStyle name="Currency [0] 3 3" xfId="9029"/>
    <cellStyle name="Currency [0] 4" xfId="1947"/>
    <cellStyle name="Currency [0] 4 2" xfId="1948"/>
    <cellStyle name="Currency [0] 4 3" xfId="9030"/>
    <cellStyle name="Currency [0] 5" xfId="1949"/>
    <cellStyle name="Currency [0] 5 2" xfId="1950"/>
    <cellStyle name="Currency [0] 5 3" xfId="9031"/>
    <cellStyle name="Currency [0] 6" xfId="1951"/>
    <cellStyle name="Currency [0] 6 2" xfId="1952"/>
    <cellStyle name="Currency [0] 6 3" xfId="9032"/>
    <cellStyle name="Currency [0] 7" xfId="1953"/>
    <cellStyle name="Currency [0] 7 2" xfId="1954"/>
    <cellStyle name="Currency [0] 7 3" xfId="9033"/>
    <cellStyle name="Currency [0] 8" xfId="1955"/>
    <cellStyle name="Currency [0] 8 2" xfId="1956"/>
    <cellStyle name="Currency [0] 8 3" xfId="9034"/>
    <cellStyle name="Currency [0] 9" xfId="1957"/>
    <cellStyle name="Currency [0] 9 2" xfId="1958"/>
    <cellStyle name="Currency [0] 9 3" xfId="9035"/>
    <cellStyle name="CustomCellsOrange" xfId="1959"/>
    <cellStyle name="CustomCellsOrange 2" xfId="1960"/>
    <cellStyle name="CustomCellsOrange 3" xfId="9036"/>
    <cellStyle name="CustomizationCells" xfId="1961"/>
    <cellStyle name="CustomizationCells 2" xfId="1962"/>
    <cellStyle name="CustomizationCells 3" xfId="9037"/>
    <cellStyle name="CustomizationGreenCells" xfId="1963"/>
    <cellStyle name="CustomizationGreenCells 2" xfId="1964"/>
    <cellStyle name="CustomizationGreenCells 3" xfId="9038"/>
    <cellStyle name="Date" xfId="1965"/>
    <cellStyle name="Date 10" xfId="1966"/>
    <cellStyle name="Date 10 2" xfId="1967"/>
    <cellStyle name="Date 10 3" xfId="9039"/>
    <cellStyle name="Date 11" xfId="1968"/>
    <cellStyle name="Date 11 2" xfId="1969"/>
    <cellStyle name="Date 11 3" xfId="9040"/>
    <cellStyle name="Date 12" xfId="1970"/>
    <cellStyle name="Date 12 2" xfId="1971"/>
    <cellStyle name="Date 12 3" xfId="9041"/>
    <cellStyle name="Date 13" xfId="1972"/>
    <cellStyle name="Date 13 2" xfId="1973"/>
    <cellStyle name="Date 13 3" xfId="9042"/>
    <cellStyle name="Date 14" xfId="1974"/>
    <cellStyle name="Date 14 2" xfId="1975"/>
    <cellStyle name="Date 14 3" xfId="9043"/>
    <cellStyle name="Date 15" xfId="1976"/>
    <cellStyle name="Date 15 2" xfId="1977"/>
    <cellStyle name="Date 15 3" xfId="9044"/>
    <cellStyle name="Date 16" xfId="1978"/>
    <cellStyle name="Date 16 2" xfId="1979"/>
    <cellStyle name="Date 16 3" xfId="9045"/>
    <cellStyle name="Date 17" xfId="1980"/>
    <cellStyle name="Date 17 2" xfId="1981"/>
    <cellStyle name="Date 17 3" xfId="9046"/>
    <cellStyle name="Date 18" xfId="1982"/>
    <cellStyle name="Date 18 2" xfId="1983"/>
    <cellStyle name="Date 18 3" xfId="9047"/>
    <cellStyle name="Date 19" xfId="1984"/>
    <cellStyle name="Date 19 2" xfId="1985"/>
    <cellStyle name="Date 19 3" xfId="9048"/>
    <cellStyle name="Date 2" xfId="1986"/>
    <cellStyle name="Date 2 2" xfId="1987"/>
    <cellStyle name="Date 2 2 2" xfId="1988"/>
    <cellStyle name="Date 2 2 3" xfId="9049"/>
    <cellStyle name="Date 2 3" xfId="1989"/>
    <cellStyle name="Date 2 3 2" xfId="1990"/>
    <cellStyle name="Date 2 3 2 2" xfId="1991"/>
    <cellStyle name="Date 2 3 2 3" xfId="9051"/>
    <cellStyle name="Date 2 3 3" xfId="1992"/>
    <cellStyle name="Date 2 3 4" xfId="9050"/>
    <cellStyle name="Date 2 4" xfId="1993"/>
    <cellStyle name="Date 2 4 2" xfId="1994"/>
    <cellStyle name="Date 2 4 3" xfId="9052"/>
    <cellStyle name="Date 2 5" xfId="1995"/>
    <cellStyle name="Date 2 6" xfId="7942"/>
    <cellStyle name="Date 20" xfId="1996"/>
    <cellStyle name="Date 20 2" xfId="1997"/>
    <cellStyle name="Date 20 3" xfId="9053"/>
    <cellStyle name="Date 21" xfId="1998"/>
    <cellStyle name="Date 21 2" xfId="1999"/>
    <cellStyle name="Date 21 3" xfId="9054"/>
    <cellStyle name="Date 22" xfId="2000"/>
    <cellStyle name="Date 22 2" xfId="2001"/>
    <cellStyle name="Date 22 3" xfId="9055"/>
    <cellStyle name="Date 23" xfId="2002"/>
    <cellStyle name="Date 23 2" xfId="2003"/>
    <cellStyle name="Date 23 3" xfId="9056"/>
    <cellStyle name="Date 24" xfId="2004"/>
    <cellStyle name="Date 24 2" xfId="2005"/>
    <cellStyle name="Date 24 3" xfId="9057"/>
    <cellStyle name="Date 25" xfId="2006"/>
    <cellStyle name="Date 25 2" xfId="2007"/>
    <cellStyle name="Date 25 3" xfId="9058"/>
    <cellStyle name="Date 26" xfId="2008"/>
    <cellStyle name="Date 26 2" xfId="2009"/>
    <cellStyle name="Date 26 3" xfId="9059"/>
    <cellStyle name="Date 27" xfId="2010"/>
    <cellStyle name="Date 27 2" xfId="2011"/>
    <cellStyle name="Date 27 3" xfId="9060"/>
    <cellStyle name="Date 28" xfId="2012"/>
    <cellStyle name="Date 28 2" xfId="2013"/>
    <cellStyle name="Date 28 3" xfId="9061"/>
    <cellStyle name="Date 29" xfId="2014"/>
    <cellStyle name="Date 29 2" xfId="2015"/>
    <cellStyle name="Date 29 3" xfId="9062"/>
    <cellStyle name="Date 3" xfId="2016"/>
    <cellStyle name="Date 3 2" xfId="2017"/>
    <cellStyle name="Date 3 2 2" xfId="2018"/>
    <cellStyle name="Date 3 2 3" xfId="9064"/>
    <cellStyle name="Date 3 3" xfId="2019"/>
    <cellStyle name="Date 3 3 2" xfId="2020"/>
    <cellStyle name="Date 3 3 3" xfId="9065"/>
    <cellStyle name="Date 3 4" xfId="2021"/>
    <cellStyle name="Date 3 5" xfId="9063"/>
    <cellStyle name="Date 30" xfId="2022"/>
    <cellStyle name="Date 30 2" xfId="2023"/>
    <cellStyle name="Date 30 3" xfId="9066"/>
    <cellStyle name="Date 31" xfId="2024"/>
    <cellStyle name="Date 31 2" xfId="2025"/>
    <cellStyle name="Date 31 3" xfId="9067"/>
    <cellStyle name="Date 32" xfId="2026"/>
    <cellStyle name="Date 32 2" xfId="2027"/>
    <cellStyle name="Date 32 3" xfId="9068"/>
    <cellStyle name="Date 33" xfId="2028"/>
    <cellStyle name="Date 33 2" xfId="2029"/>
    <cellStyle name="Date 33 3" xfId="9069"/>
    <cellStyle name="Date 34" xfId="2030"/>
    <cellStyle name="Date 34 2" xfId="2031"/>
    <cellStyle name="Date 34 3" xfId="9070"/>
    <cellStyle name="Date 35" xfId="2032"/>
    <cellStyle name="Date 35 2" xfId="2033"/>
    <cellStyle name="Date 35 3" xfId="9071"/>
    <cellStyle name="Date 36" xfId="2034"/>
    <cellStyle name="Date 36 2" xfId="2035"/>
    <cellStyle name="Date 36 3" xfId="9072"/>
    <cellStyle name="Date 37" xfId="2036"/>
    <cellStyle name="Date 37 2" xfId="2037"/>
    <cellStyle name="Date 37 3" xfId="9073"/>
    <cellStyle name="Date 38" xfId="2038"/>
    <cellStyle name="Date 38 2" xfId="2039"/>
    <cellStyle name="Date 38 3" xfId="9074"/>
    <cellStyle name="Date 39" xfId="2040"/>
    <cellStyle name="Date 39 2" xfId="2041"/>
    <cellStyle name="Date 39 3" xfId="9075"/>
    <cellStyle name="Date 4" xfId="2042"/>
    <cellStyle name="Date 4 2" xfId="2043"/>
    <cellStyle name="Date 4 3" xfId="9076"/>
    <cellStyle name="Date 40" xfId="2044"/>
    <cellStyle name="Date 40 2" xfId="2045"/>
    <cellStyle name="Date 40 3" xfId="9077"/>
    <cellStyle name="Date 41" xfId="2046"/>
    <cellStyle name="Date 41 2" xfId="2047"/>
    <cellStyle name="Date 41 3" xfId="9078"/>
    <cellStyle name="Date 42" xfId="2048"/>
    <cellStyle name="Date 43" xfId="7785"/>
    <cellStyle name="Date 5" xfId="2049"/>
    <cellStyle name="Date 5 2" xfId="2050"/>
    <cellStyle name="Date 5 3" xfId="9079"/>
    <cellStyle name="Date 6" xfId="2051"/>
    <cellStyle name="Date 6 2" xfId="2052"/>
    <cellStyle name="Date 6 3" xfId="9080"/>
    <cellStyle name="Date 7" xfId="2053"/>
    <cellStyle name="Date 7 2" xfId="2054"/>
    <cellStyle name="Date 7 3" xfId="9081"/>
    <cellStyle name="Date 8" xfId="2055"/>
    <cellStyle name="Date 8 2" xfId="2056"/>
    <cellStyle name="Date 8 3" xfId="9082"/>
    <cellStyle name="Date 9" xfId="2057"/>
    <cellStyle name="Date 9 2" xfId="2058"/>
    <cellStyle name="Date 9 3" xfId="9083"/>
    <cellStyle name="Dezimal_Abweichung WCR__" xfId="2059"/>
    <cellStyle name="DocBox_EmptyRow" xfId="2060"/>
    <cellStyle name="Duizend" xfId="2061"/>
    <cellStyle name="Duizend 2" xfId="2062"/>
    <cellStyle name="Duizend 3" xfId="9084"/>
    <cellStyle name="Duizend met sterren" xfId="2063"/>
    <cellStyle name="Duizend met sterren 2" xfId="2064"/>
    <cellStyle name="Duizend met sterren 3" xfId="9085"/>
    <cellStyle name="Duizend zonder sterren" xfId="2065"/>
    <cellStyle name="Duizend zonder sterren 2" xfId="2066"/>
    <cellStyle name="Duizend zonder sterren 3" xfId="9086"/>
    <cellStyle name="Duizend,0" xfId="2067"/>
    <cellStyle name="Duizend,0 2" xfId="2068"/>
    <cellStyle name="Duizend,0 3" xfId="9087"/>
    <cellStyle name="Duizend_full4" xfId="2069"/>
    <cellStyle name="Emphase 1" xfId="2070"/>
    <cellStyle name="Emphase 1 2" xfId="2071"/>
    <cellStyle name="Emphase 1 3" xfId="9088"/>
    <cellStyle name="Emphase 2" xfId="2072"/>
    <cellStyle name="Emphase 2 2" xfId="2073"/>
    <cellStyle name="Emphase 2 3" xfId="9089"/>
    <cellStyle name="Emphase 3" xfId="2074"/>
    <cellStyle name="Emphase 3 2" xfId="2075"/>
    <cellStyle name="Emphase 3 3" xfId="9090"/>
    <cellStyle name="Empty_B_border" xfId="2076"/>
    <cellStyle name="En-tête 1" xfId="2101"/>
    <cellStyle name="En-tête 1 10" xfId="2102"/>
    <cellStyle name="En-tête 1 10 2" xfId="2103"/>
    <cellStyle name="En-tête 1 10 3" xfId="9091"/>
    <cellStyle name="En-tête 1 11" xfId="2104"/>
    <cellStyle name="En-tête 1 11 2" xfId="2105"/>
    <cellStyle name="En-tête 1 11 3" xfId="9092"/>
    <cellStyle name="En-tête 1 12" xfId="2106"/>
    <cellStyle name="En-tête 1 12 2" xfId="2107"/>
    <cellStyle name="En-tête 1 12 3" xfId="9093"/>
    <cellStyle name="En-tête 1 13" xfId="2108"/>
    <cellStyle name="En-tête 1 13 2" xfId="2109"/>
    <cellStyle name="En-tête 1 13 3" xfId="9094"/>
    <cellStyle name="En-tête 1 14" xfId="2110"/>
    <cellStyle name="En-tête 1 14 2" xfId="2111"/>
    <cellStyle name="En-tête 1 14 3" xfId="9095"/>
    <cellStyle name="En-tête 1 15" xfId="2112"/>
    <cellStyle name="En-tête 1 15 2" xfId="2113"/>
    <cellStyle name="En-tête 1 15 3" xfId="9096"/>
    <cellStyle name="En-tête 1 16" xfId="2114"/>
    <cellStyle name="En-tête 1 16 2" xfId="2115"/>
    <cellStyle name="En-tête 1 16 3" xfId="9097"/>
    <cellStyle name="En-tête 1 17" xfId="2116"/>
    <cellStyle name="En-tête 1 17 2" xfId="2117"/>
    <cellStyle name="En-tête 1 17 3" xfId="9098"/>
    <cellStyle name="En-tête 1 18" xfId="2118"/>
    <cellStyle name="En-tête 1 18 2" xfId="2119"/>
    <cellStyle name="En-tête 1 18 3" xfId="9099"/>
    <cellStyle name="En-tête 1 19" xfId="2120"/>
    <cellStyle name="En-tête 1 19 2" xfId="2121"/>
    <cellStyle name="En-tête 1 19 3" xfId="9100"/>
    <cellStyle name="En-tête 1 2" xfId="2122"/>
    <cellStyle name="En-tête 1 2 2" xfId="2123"/>
    <cellStyle name="En-tête 1 2 2 2" xfId="2124"/>
    <cellStyle name="En-tête 1 2 2 3" xfId="9102"/>
    <cellStyle name="En-tête 1 2 3" xfId="2125"/>
    <cellStyle name="En-tête 1 2 4" xfId="9101"/>
    <cellStyle name="En-tête 1 20" xfId="2126"/>
    <cellStyle name="En-tête 1 20 2" xfId="2127"/>
    <cellStyle name="En-tête 1 20 3" xfId="9103"/>
    <cellStyle name="En-tête 1 21" xfId="2128"/>
    <cellStyle name="En-tête 1 21 2" xfId="2129"/>
    <cellStyle name="En-tête 1 21 3" xfId="9104"/>
    <cellStyle name="En-tête 1 22" xfId="2130"/>
    <cellStyle name="En-tête 1 22 2" xfId="2131"/>
    <cellStyle name="En-tête 1 22 3" xfId="9105"/>
    <cellStyle name="En-tête 1 23" xfId="2132"/>
    <cellStyle name="En-tête 1 23 2" xfId="2133"/>
    <cellStyle name="En-tête 1 23 3" xfId="9106"/>
    <cellStyle name="En-tête 1 24" xfId="2134"/>
    <cellStyle name="En-tête 1 24 2" xfId="2135"/>
    <cellStyle name="En-tête 1 24 3" xfId="9107"/>
    <cellStyle name="En-tête 1 25" xfId="2136"/>
    <cellStyle name="En-tête 1 25 2" xfId="2137"/>
    <cellStyle name="En-tête 1 25 3" xfId="9108"/>
    <cellStyle name="En-tête 1 26" xfId="2138"/>
    <cellStyle name="En-tête 1 26 2" xfId="2139"/>
    <cellStyle name="En-tête 1 26 3" xfId="9109"/>
    <cellStyle name="En-tête 1 27" xfId="2140"/>
    <cellStyle name="En-tête 1 27 2" xfId="2141"/>
    <cellStyle name="En-tête 1 27 3" xfId="9110"/>
    <cellStyle name="En-tête 1 28" xfId="2142"/>
    <cellStyle name="En-tête 1 28 2" xfId="2143"/>
    <cellStyle name="En-tête 1 28 3" xfId="9111"/>
    <cellStyle name="En-tête 1 29" xfId="2144"/>
    <cellStyle name="En-tête 1 29 2" xfId="2145"/>
    <cellStyle name="En-tête 1 29 3" xfId="9112"/>
    <cellStyle name="En-tête 1 3" xfId="2146"/>
    <cellStyle name="En-tête 1 3 2" xfId="2147"/>
    <cellStyle name="En-tête 1 3 3" xfId="9113"/>
    <cellStyle name="En-tête 1 30" xfId="2148"/>
    <cellStyle name="En-tête 1 30 2" xfId="2149"/>
    <cellStyle name="En-tête 1 30 3" xfId="9114"/>
    <cellStyle name="En-tête 1 31" xfId="2150"/>
    <cellStyle name="En-tête 1 31 2" xfId="2151"/>
    <cellStyle name="En-tête 1 31 3" xfId="9115"/>
    <cellStyle name="En-tête 1 32" xfId="2152"/>
    <cellStyle name="En-tête 1 32 2" xfId="2153"/>
    <cellStyle name="En-tête 1 32 3" xfId="9116"/>
    <cellStyle name="En-tête 1 33" xfId="2154"/>
    <cellStyle name="En-tête 1 33 2" xfId="2155"/>
    <cellStyle name="En-tête 1 33 3" xfId="9117"/>
    <cellStyle name="En-tête 1 34" xfId="2156"/>
    <cellStyle name="En-tête 1 34 2" xfId="2157"/>
    <cellStyle name="En-tête 1 34 3" xfId="9118"/>
    <cellStyle name="En-tête 1 35" xfId="2158"/>
    <cellStyle name="En-tête 1 35 2" xfId="2159"/>
    <cellStyle name="En-tête 1 35 3" xfId="9119"/>
    <cellStyle name="En-tête 1 36" xfId="2160"/>
    <cellStyle name="En-tête 1 36 2" xfId="2161"/>
    <cellStyle name="En-tête 1 36 3" xfId="9120"/>
    <cellStyle name="En-tête 1 37" xfId="2162"/>
    <cellStyle name="En-tête 1 37 2" xfId="2163"/>
    <cellStyle name="En-tête 1 37 3" xfId="9121"/>
    <cellStyle name="En-tête 1 38" xfId="2164"/>
    <cellStyle name="En-tête 1 38 2" xfId="2165"/>
    <cellStyle name="En-tête 1 38 3" xfId="9122"/>
    <cellStyle name="En-tête 1 39" xfId="2166"/>
    <cellStyle name="En-tête 1 39 2" xfId="2167"/>
    <cellStyle name="En-tête 1 39 3" xfId="9123"/>
    <cellStyle name="En-tête 1 4" xfId="2168"/>
    <cellStyle name="En-tête 1 4 2" xfId="2169"/>
    <cellStyle name="En-tête 1 4 3" xfId="9124"/>
    <cellStyle name="En-tête 1 40" xfId="2170"/>
    <cellStyle name="En-tête 1 40 2" xfId="2171"/>
    <cellStyle name="En-tête 1 40 3" xfId="11464"/>
    <cellStyle name="En-tête 1 41" xfId="2172"/>
    <cellStyle name="En-tête 1 41 2" xfId="2173"/>
    <cellStyle name="En-tête 1 41 3" xfId="11472"/>
    <cellStyle name="En-tête 1 42" xfId="2174"/>
    <cellStyle name="En-tête 1 43" xfId="7786"/>
    <cellStyle name="En-tête 1 5" xfId="2175"/>
    <cellStyle name="En-tête 1 5 2" xfId="2176"/>
    <cellStyle name="En-tête 1 5 3" xfId="9125"/>
    <cellStyle name="En-tête 1 6" xfId="2177"/>
    <cellStyle name="En-tête 1 6 2" xfId="2178"/>
    <cellStyle name="En-tête 1 6 3" xfId="9126"/>
    <cellStyle name="En-tête 1 7" xfId="2179"/>
    <cellStyle name="En-tête 1 7 2" xfId="2180"/>
    <cellStyle name="En-tête 1 7 3" xfId="9127"/>
    <cellStyle name="En-tête 1 8" xfId="2181"/>
    <cellStyle name="En-tête 1 8 2" xfId="2182"/>
    <cellStyle name="En-tête 1 8 3" xfId="9128"/>
    <cellStyle name="En-tête 1 9" xfId="2183"/>
    <cellStyle name="En-tête 1 9 2" xfId="2184"/>
    <cellStyle name="En-tête 1 9 3" xfId="9129"/>
    <cellStyle name="En-tête 2" xfId="2185"/>
    <cellStyle name="En-tête 2 10" xfId="2186"/>
    <cellStyle name="En-tête 2 10 2" xfId="2187"/>
    <cellStyle name="En-tête 2 10 3" xfId="9130"/>
    <cellStyle name="En-tête 2 11" xfId="2188"/>
    <cellStyle name="En-tête 2 11 2" xfId="2189"/>
    <cellStyle name="En-tête 2 11 3" xfId="9131"/>
    <cellStyle name="En-tête 2 12" xfId="2190"/>
    <cellStyle name="En-tête 2 12 2" xfId="2191"/>
    <cellStyle name="En-tête 2 12 3" xfId="9132"/>
    <cellStyle name="En-tête 2 13" xfId="2192"/>
    <cellStyle name="En-tête 2 13 2" xfId="2193"/>
    <cellStyle name="En-tête 2 13 3" xfId="9133"/>
    <cellStyle name="En-tête 2 14" xfId="2194"/>
    <cellStyle name="En-tête 2 14 2" xfId="2195"/>
    <cellStyle name="En-tête 2 14 3" xfId="9134"/>
    <cellStyle name="En-tête 2 15" xfId="2196"/>
    <cellStyle name="En-tête 2 15 2" xfId="2197"/>
    <cellStyle name="En-tête 2 15 3" xfId="9135"/>
    <cellStyle name="En-tête 2 16" xfId="2198"/>
    <cellStyle name="En-tête 2 16 2" xfId="2199"/>
    <cellStyle name="En-tête 2 16 3" xfId="9136"/>
    <cellStyle name="En-tête 2 17" xfId="2200"/>
    <cellStyle name="En-tête 2 17 2" xfId="2201"/>
    <cellStyle name="En-tête 2 17 3" xfId="9137"/>
    <cellStyle name="En-tête 2 18" xfId="2202"/>
    <cellStyle name="En-tête 2 18 2" xfId="2203"/>
    <cellStyle name="En-tête 2 18 3" xfId="9138"/>
    <cellStyle name="En-tête 2 19" xfId="2204"/>
    <cellStyle name="En-tête 2 19 2" xfId="2205"/>
    <cellStyle name="En-tête 2 19 3" xfId="9139"/>
    <cellStyle name="En-tête 2 2" xfId="2206"/>
    <cellStyle name="En-tête 2 2 2" xfId="2207"/>
    <cellStyle name="En-tête 2 2 2 2" xfId="2208"/>
    <cellStyle name="En-tête 2 2 2 3" xfId="9141"/>
    <cellStyle name="En-tête 2 2 3" xfId="2209"/>
    <cellStyle name="En-tête 2 2 4" xfId="9140"/>
    <cellStyle name="En-tête 2 20" xfId="2210"/>
    <cellStyle name="En-tête 2 20 2" xfId="2211"/>
    <cellStyle name="En-tête 2 20 3" xfId="9142"/>
    <cellStyle name="En-tête 2 21" xfId="2212"/>
    <cellStyle name="En-tête 2 21 2" xfId="2213"/>
    <cellStyle name="En-tête 2 21 3" xfId="9143"/>
    <cellStyle name="En-tête 2 22" xfId="2214"/>
    <cellStyle name="En-tête 2 22 2" xfId="2215"/>
    <cellStyle name="En-tête 2 22 3" xfId="9144"/>
    <cellStyle name="En-tête 2 23" xfId="2216"/>
    <cellStyle name="En-tête 2 23 2" xfId="2217"/>
    <cellStyle name="En-tête 2 23 3" xfId="9145"/>
    <cellStyle name="En-tête 2 24" xfId="2218"/>
    <cellStyle name="En-tête 2 24 2" xfId="2219"/>
    <cellStyle name="En-tête 2 24 3" xfId="9146"/>
    <cellStyle name="En-tête 2 25" xfId="2220"/>
    <cellStyle name="En-tête 2 25 2" xfId="2221"/>
    <cellStyle name="En-tête 2 25 3" xfId="9147"/>
    <cellStyle name="En-tête 2 26" xfId="2222"/>
    <cellStyle name="En-tête 2 26 2" xfId="2223"/>
    <cellStyle name="En-tête 2 26 3" xfId="9148"/>
    <cellStyle name="En-tête 2 27" xfId="2224"/>
    <cellStyle name="En-tête 2 27 2" xfId="2225"/>
    <cellStyle name="En-tête 2 27 3" xfId="9149"/>
    <cellStyle name="En-tête 2 28" xfId="2226"/>
    <cellStyle name="En-tête 2 28 2" xfId="2227"/>
    <cellStyle name="En-tête 2 28 3" xfId="9150"/>
    <cellStyle name="En-tête 2 29" xfId="2228"/>
    <cellStyle name="En-tête 2 29 2" xfId="2229"/>
    <cellStyle name="En-tête 2 29 3" xfId="9151"/>
    <cellStyle name="En-tête 2 3" xfId="2230"/>
    <cellStyle name="En-tête 2 3 2" xfId="2231"/>
    <cellStyle name="En-tête 2 3 3" xfId="9152"/>
    <cellStyle name="En-tête 2 30" xfId="2232"/>
    <cellStyle name="En-tête 2 30 2" xfId="2233"/>
    <cellStyle name="En-tête 2 30 3" xfId="9153"/>
    <cellStyle name="En-tête 2 31" xfId="2234"/>
    <cellStyle name="En-tête 2 31 2" xfId="2235"/>
    <cellStyle name="En-tête 2 31 3" xfId="9154"/>
    <cellStyle name="En-tête 2 32" xfId="2236"/>
    <cellStyle name="En-tête 2 32 2" xfId="2237"/>
    <cellStyle name="En-tête 2 32 3" xfId="9155"/>
    <cellStyle name="En-tête 2 33" xfId="2238"/>
    <cellStyle name="En-tête 2 33 2" xfId="2239"/>
    <cellStyle name="En-tête 2 33 3" xfId="9156"/>
    <cellStyle name="En-tête 2 34" xfId="2240"/>
    <cellStyle name="En-tête 2 34 2" xfId="2241"/>
    <cellStyle name="En-tête 2 34 3" xfId="9157"/>
    <cellStyle name="En-tête 2 35" xfId="2242"/>
    <cellStyle name="En-tête 2 35 2" xfId="2243"/>
    <cellStyle name="En-tête 2 35 3" xfId="9158"/>
    <cellStyle name="En-tête 2 36" xfId="2244"/>
    <cellStyle name="En-tête 2 36 2" xfId="2245"/>
    <cellStyle name="En-tête 2 36 3" xfId="9159"/>
    <cellStyle name="En-tête 2 37" xfId="2246"/>
    <cellStyle name="En-tête 2 37 2" xfId="2247"/>
    <cellStyle name="En-tête 2 37 3" xfId="9160"/>
    <cellStyle name="En-tête 2 38" xfId="2248"/>
    <cellStyle name="En-tête 2 38 2" xfId="2249"/>
    <cellStyle name="En-tête 2 38 3" xfId="9161"/>
    <cellStyle name="En-tête 2 39" xfId="2250"/>
    <cellStyle name="En-tête 2 39 2" xfId="2251"/>
    <cellStyle name="En-tête 2 39 3" xfId="9162"/>
    <cellStyle name="En-tête 2 4" xfId="2252"/>
    <cellStyle name="En-tête 2 4 2" xfId="2253"/>
    <cellStyle name="En-tête 2 4 3" xfId="9163"/>
    <cellStyle name="En-tête 2 40" xfId="2254"/>
    <cellStyle name="En-tête 2 40 2" xfId="2255"/>
    <cellStyle name="En-tête 2 40 3" xfId="11465"/>
    <cellStyle name="En-tête 2 41" xfId="2256"/>
    <cellStyle name="En-tête 2 41 2" xfId="2257"/>
    <cellStyle name="En-tête 2 41 3" xfId="11473"/>
    <cellStyle name="En-tête 2 42" xfId="2258"/>
    <cellStyle name="En-tête 2 43" xfId="7787"/>
    <cellStyle name="En-tête 2 5" xfId="2259"/>
    <cellStyle name="En-tête 2 5 2" xfId="2260"/>
    <cellStyle name="En-tête 2 5 3" xfId="9164"/>
    <cellStyle name="En-tête 2 6" xfId="2261"/>
    <cellStyle name="En-tête 2 6 2" xfId="2262"/>
    <cellStyle name="En-tête 2 6 3" xfId="9165"/>
    <cellStyle name="En-tête 2 7" xfId="2263"/>
    <cellStyle name="En-tête 2 7 2" xfId="2264"/>
    <cellStyle name="En-tête 2 7 3" xfId="9166"/>
    <cellStyle name="En-tête 2 8" xfId="2265"/>
    <cellStyle name="En-tête 2 8 2" xfId="2266"/>
    <cellStyle name="En-tête 2 8 3" xfId="9167"/>
    <cellStyle name="En-tête 2 9" xfId="2267"/>
    <cellStyle name="En-tête 2 9 2" xfId="2268"/>
    <cellStyle name="En-tête 2 9 3" xfId="9168"/>
    <cellStyle name="EN-TETE1" xfId="2077"/>
    <cellStyle name="EN-TETE1 2" xfId="2078"/>
    <cellStyle name="EN-TETE1 2 2" xfId="2079"/>
    <cellStyle name="EN-TETE1 2 2 2" xfId="2080"/>
    <cellStyle name="EN-TETE1 2 2 3" xfId="9170"/>
    <cellStyle name="EN-TETE1 2 3" xfId="2081"/>
    <cellStyle name="EN-TETE1 2 4" xfId="9169"/>
    <cellStyle name="EN-TETE1 3" xfId="2082"/>
    <cellStyle name="EN-TETE1 3 2" xfId="2083"/>
    <cellStyle name="EN-TETE1 3 2 2" xfId="2084"/>
    <cellStyle name="EN-TETE1 3 2 3" xfId="9172"/>
    <cellStyle name="EN-TETE1 3 3" xfId="2085"/>
    <cellStyle name="EN-TETE1 3 4" xfId="9171"/>
    <cellStyle name="EN-TETE1 4" xfId="2086"/>
    <cellStyle name="EN-TETE1 4 2" xfId="2087"/>
    <cellStyle name="EN-TETE1 4 3" xfId="9173"/>
    <cellStyle name="EN-TETE1 5" xfId="2088"/>
    <cellStyle name="EN-TETE1 6" xfId="7943"/>
    <cellStyle name="EN-TETE2" xfId="2089"/>
    <cellStyle name="EN-TETE2 2" xfId="2090"/>
    <cellStyle name="EN-TETE2 2 2" xfId="2091"/>
    <cellStyle name="EN-TETE2 2 2 2" xfId="2092"/>
    <cellStyle name="EN-TETE2 2 2 3" xfId="9175"/>
    <cellStyle name="EN-TETE2 2 3" xfId="2093"/>
    <cellStyle name="EN-TETE2 2 4" xfId="9174"/>
    <cellStyle name="EN-TETE2 3" xfId="2094"/>
    <cellStyle name="EN-TETE2 3 2" xfId="2095"/>
    <cellStyle name="EN-TETE2 3 2 2" xfId="2096"/>
    <cellStyle name="EN-TETE2 3 2 3" xfId="9177"/>
    <cellStyle name="EN-TETE2 3 3" xfId="2097"/>
    <cellStyle name="EN-TETE2 3 4" xfId="9176"/>
    <cellStyle name="EN-TETE2 4" xfId="2098"/>
    <cellStyle name="EN-TETE2 4 2" xfId="2099"/>
    <cellStyle name="EN-TETE2 4 3" xfId="9178"/>
    <cellStyle name="EN-TETE2 5" xfId="2100"/>
    <cellStyle name="EN-TETE2 6" xfId="7944"/>
    <cellStyle name="entetecolonne" xfId="2269"/>
    <cellStyle name="entetecolonne 2" xfId="2270"/>
    <cellStyle name="entetecolonne 3" xfId="9179"/>
    <cellStyle name="Entrée 10" xfId="2271"/>
    <cellStyle name="Entrée 10 2" xfId="2272"/>
    <cellStyle name="Entrée 10 3" xfId="9180"/>
    <cellStyle name="Entrée 11" xfId="2273"/>
    <cellStyle name="Entrée 11 2" xfId="2274"/>
    <cellStyle name="Entrée 11 2 2" xfId="2275"/>
    <cellStyle name="Entrée 11 2 3" xfId="9182"/>
    <cellStyle name="Entrée 11 3" xfId="2276"/>
    <cellStyle name="Entrée 11 3 2" xfId="2277"/>
    <cellStyle name="Entrée 11 3 3" xfId="9183"/>
    <cellStyle name="Entrée 11 4" xfId="2278"/>
    <cellStyle name="Entrée 11 4 2" xfId="2279"/>
    <cellStyle name="Entrée 11 4 3" xfId="9184"/>
    <cellStyle name="Entrée 11 5" xfId="2280"/>
    <cellStyle name="Entrée 11 6" xfId="9181"/>
    <cellStyle name="Entrée 12" xfId="2281"/>
    <cellStyle name="Entrée 12 2" xfId="2282"/>
    <cellStyle name="Entrée 12 2 2" xfId="2283"/>
    <cellStyle name="Entrée 12 2 3" xfId="9186"/>
    <cellStyle name="Entrée 12 3" xfId="2284"/>
    <cellStyle name="Entrée 12 3 2" xfId="2285"/>
    <cellStyle name="Entrée 12 3 3" xfId="9187"/>
    <cellStyle name="Entrée 12 4" xfId="2286"/>
    <cellStyle name="Entrée 12 5" xfId="9185"/>
    <cellStyle name="Entrée 13" xfId="2287"/>
    <cellStyle name="Entrée 13 2" xfId="2288"/>
    <cellStyle name="Entrée 13 3" xfId="9188"/>
    <cellStyle name="Entrée 14" xfId="2289"/>
    <cellStyle name="Entrée 14 2" xfId="2290"/>
    <cellStyle name="Entrée 14 3" xfId="9189"/>
    <cellStyle name="Entrée 15" xfId="2291"/>
    <cellStyle name="Entrée 15 2" xfId="2292"/>
    <cellStyle name="Entrée 15 3" xfId="9190"/>
    <cellStyle name="Entrée 2" xfId="2293"/>
    <cellStyle name="Entrée 2 2" xfId="2294"/>
    <cellStyle name="Entrée 2 2 2" xfId="2295"/>
    <cellStyle name="Entrée 2 2 3" xfId="9191"/>
    <cellStyle name="Entrée 2 3" xfId="2296"/>
    <cellStyle name="Entrée 2 3 2" xfId="2297"/>
    <cellStyle name="Entrée 2 3 2 2" xfId="2298"/>
    <cellStyle name="Entrée 2 3 2 3" xfId="9193"/>
    <cellStyle name="Entrée 2 3 3" xfId="2299"/>
    <cellStyle name="Entrée 2 3 4" xfId="9192"/>
    <cellStyle name="Entrée 2 4" xfId="2300"/>
    <cellStyle name="Entrée 2 4 2" xfId="2301"/>
    <cellStyle name="Entrée 2 4 3" xfId="9194"/>
    <cellStyle name="Entrée 2 5" xfId="2302"/>
    <cellStyle name="Entrée 2 6" xfId="7945"/>
    <cellStyle name="Entrée 3" xfId="2303"/>
    <cellStyle name="Entrée 3 2" xfId="2304"/>
    <cellStyle name="Entrée 3 2 2" xfId="2305"/>
    <cellStyle name="Entrée 3 2 3" xfId="9195"/>
    <cellStyle name="Entrée 3 3" xfId="2306"/>
    <cellStyle name="Entrée 3 3 2" xfId="2307"/>
    <cellStyle name="Entrée 3 3 3" xfId="9196"/>
    <cellStyle name="Entrée 3 4" xfId="2308"/>
    <cellStyle name="Entrée 3 4 2" xfId="2309"/>
    <cellStyle name="Entrée 3 4 3" xfId="9197"/>
    <cellStyle name="Entrée 3 5" xfId="2310"/>
    <cellStyle name="Entrée 3 6" xfId="7946"/>
    <cellStyle name="Entrée 4" xfId="2311"/>
    <cellStyle name="Entrée 4 2" xfId="2312"/>
    <cellStyle name="Entrée 4 2 2" xfId="2313"/>
    <cellStyle name="Entrée 4 2 3" xfId="9198"/>
    <cellStyle name="Entrée 4 3" xfId="2314"/>
    <cellStyle name="Entrée 4 3 2" xfId="2315"/>
    <cellStyle name="Entrée 4 3 3" xfId="9199"/>
    <cellStyle name="Entrée 4 4" xfId="2316"/>
    <cellStyle name="Entrée 4 4 2" xfId="2317"/>
    <cellStyle name="Entrée 4 4 3" xfId="9200"/>
    <cellStyle name="Entrée 4 5" xfId="2318"/>
    <cellStyle name="Entrée 4 6" xfId="7947"/>
    <cellStyle name="Entrée 5" xfId="2319"/>
    <cellStyle name="Entrée 5 2" xfId="2320"/>
    <cellStyle name="Entrée 5 2 2" xfId="2321"/>
    <cellStyle name="Entrée 5 2 3" xfId="9201"/>
    <cellStyle name="Entrée 5 3" xfId="2322"/>
    <cellStyle name="Entrée 5 4" xfId="7948"/>
    <cellStyle name="Entrée 6" xfId="2323"/>
    <cellStyle name="Entrée 6 2" xfId="2324"/>
    <cellStyle name="Entrée 6 2 2" xfId="2325"/>
    <cellStyle name="Entrée 6 2 3" xfId="9203"/>
    <cellStyle name="Entrée 6 3" xfId="2326"/>
    <cellStyle name="Entrée 6 4" xfId="9202"/>
    <cellStyle name="Entrée 7" xfId="2327"/>
    <cellStyle name="Entrée 7 2" xfId="2328"/>
    <cellStyle name="Entrée 7 3" xfId="9204"/>
    <cellStyle name="Entrée 8" xfId="2329"/>
    <cellStyle name="Entrée 8 2" xfId="2330"/>
    <cellStyle name="Entrée 8 3" xfId="9205"/>
    <cellStyle name="Entrée 9" xfId="2331"/>
    <cellStyle name="Entrée 9 2" xfId="2332"/>
    <cellStyle name="Entrée 9 3" xfId="9206"/>
    <cellStyle name="Euro" xfId="2333"/>
    <cellStyle name="Euro 2" xfId="2334"/>
    <cellStyle name="Euro 2 2" xfId="2335"/>
    <cellStyle name="Euro 2 2 2" xfId="11898"/>
    <cellStyle name="Euro 2 3" xfId="2336"/>
    <cellStyle name="Euro 2 4" xfId="9208"/>
    <cellStyle name="Euro 3" xfId="2337"/>
    <cellStyle name="Euro 3 2" xfId="2338"/>
    <cellStyle name="Euro 3 3" xfId="9209"/>
    <cellStyle name="Euro 4" xfId="2339"/>
    <cellStyle name="Euro 4 2" xfId="2340"/>
    <cellStyle name="Euro 4 3" xfId="9210"/>
    <cellStyle name="Euro 5" xfId="2341"/>
    <cellStyle name="Euro 6" xfId="9207"/>
    <cellStyle name="Excel Built-in Explanatory Text" xfId="12130"/>
    <cellStyle name="f_tep" xfId="2902"/>
    <cellStyle name="f_tep 2" xfId="2903"/>
    <cellStyle name="f_tep 3" xfId="9211"/>
    <cellStyle name="F2" xfId="2342"/>
    <cellStyle name="F2 10" xfId="2343"/>
    <cellStyle name="F2 10 2" xfId="2344"/>
    <cellStyle name="F2 10 3" xfId="9212"/>
    <cellStyle name="F2 11" xfId="2345"/>
    <cellStyle name="F2 11 2" xfId="2346"/>
    <cellStyle name="F2 11 3" xfId="9213"/>
    <cellStyle name="F2 12" xfId="2347"/>
    <cellStyle name="F2 12 2" xfId="2348"/>
    <cellStyle name="F2 12 3" xfId="9214"/>
    <cellStyle name="F2 13" xfId="2349"/>
    <cellStyle name="F2 13 2" xfId="2350"/>
    <cellStyle name="F2 13 3" xfId="9215"/>
    <cellStyle name="F2 14" xfId="2351"/>
    <cellStyle name="F2 14 2" xfId="2352"/>
    <cellStyle name="F2 14 3" xfId="9216"/>
    <cellStyle name="F2 15" xfId="2353"/>
    <cellStyle name="F2 15 2" xfId="2354"/>
    <cellStyle name="F2 15 3" xfId="9217"/>
    <cellStyle name="F2 16" xfId="2355"/>
    <cellStyle name="F2 16 2" xfId="2356"/>
    <cellStyle name="F2 16 3" xfId="9218"/>
    <cellStyle name="F2 17" xfId="2357"/>
    <cellStyle name="F2 17 2" xfId="2358"/>
    <cellStyle name="F2 17 3" xfId="9219"/>
    <cellStyle name="F2 18" xfId="2359"/>
    <cellStyle name="F2 18 2" xfId="2360"/>
    <cellStyle name="F2 18 3" xfId="9220"/>
    <cellStyle name="F2 19" xfId="2361"/>
    <cellStyle name="F2 19 2" xfId="2362"/>
    <cellStyle name="F2 19 3" xfId="9221"/>
    <cellStyle name="F2 2" xfId="2363"/>
    <cellStyle name="F2 2 2" xfId="2364"/>
    <cellStyle name="F2 2 2 2" xfId="2365"/>
    <cellStyle name="F2 2 2 3" xfId="9222"/>
    <cellStyle name="F2 2 3" xfId="2366"/>
    <cellStyle name="F2 2 4" xfId="7949"/>
    <cellStyle name="F2 20" xfId="2367"/>
    <cellStyle name="F2 20 2" xfId="2368"/>
    <cellStyle name="F2 20 3" xfId="9223"/>
    <cellStyle name="F2 21" xfId="2369"/>
    <cellStyle name="F2 21 2" xfId="2370"/>
    <cellStyle name="F2 21 3" xfId="9224"/>
    <cellStyle name="F2 22" xfId="2371"/>
    <cellStyle name="F2 22 2" xfId="2372"/>
    <cellStyle name="F2 22 3" xfId="9225"/>
    <cellStyle name="F2 23" xfId="2373"/>
    <cellStyle name="F2 23 2" xfId="2374"/>
    <cellStyle name="F2 23 3" xfId="9226"/>
    <cellStyle name="F2 24" xfId="2375"/>
    <cellStyle name="F2 24 2" xfId="2376"/>
    <cellStyle name="F2 24 3" xfId="9227"/>
    <cellStyle name="F2 25" xfId="2377"/>
    <cellStyle name="F2 25 2" xfId="2378"/>
    <cellStyle name="F2 25 3" xfId="9228"/>
    <cellStyle name="F2 26" xfId="2379"/>
    <cellStyle name="F2 26 2" xfId="2380"/>
    <cellStyle name="F2 26 3" xfId="9229"/>
    <cellStyle name="F2 27" xfId="2381"/>
    <cellStyle name="F2 27 2" xfId="2382"/>
    <cellStyle name="F2 27 3" xfId="9230"/>
    <cellStyle name="F2 28" xfId="2383"/>
    <cellStyle name="F2 28 2" xfId="2384"/>
    <cellStyle name="F2 28 3" xfId="9231"/>
    <cellStyle name="F2 29" xfId="2385"/>
    <cellStyle name="F2 29 2" xfId="2386"/>
    <cellStyle name="F2 29 3" xfId="9232"/>
    <cellStyle name="F2 3" xfId="2387"/>
    <cellStyle name="F2 3 2" xfId="2388"/>
    <cellStyle name="F2 3 2 2" xfId="2389"/>
    <cellStyle name="F2 3 2 3" xfId="9233"/>
    <cellStyle name="F2 3 3" xfId="2390"/>
    <cellStyle name="F2 3 4" xfId="7950"/>
    <cellStyle name="F2 30" xfId="2391"/>
    <cellStyle name="F2 30 2" xfId="2392"/>
    <cellStyle name="F2 30 3" xfId="9234"/>
    <cellStyle name="F2 31" xfId="2393"/>
    <cellStyle name="F2 31 2" xfId="2394"/>
    <cellStyle name="F2 31 3" xfId="9235"/>
    <cellStyle name="F2 32" xfId="2395"/>
    <cellStyle name="F2 32 2" xfId="2396"/>
    <cellStyle name="F2 32 3" xfId="9236"/>
    <cellStyle name="F2 33" xfId="2397"/>
    <cellStyle name="F2 33 2" xfId="2398"/>
    <cellStyle name="F2 33 3" xfId="9237"/>
    <cellStyle name="F2 34" xfId="2399"/>
    <cellStyle name="F2 34 2" xfId="2400"/>
    <cellStyle name="F2 34 3" xfId="9238"/>
    <cellStyle name="F2 35" xfId="2401"/>
    <cellStyle name="F2 35 2" xfId="2402"/>
    <cellStyle name="F2 35 3" xfId="9239"/>
    <cellStyle name="F2 36" xfId="2403"/>
    <cellStyle name="F2 36 2" xfId="2404"/>
    <cellStyle name="F2 36 3" xfId="9240"/>
    <cellStyle name="F2 37" xfId="2405"/>
    <cellStyle name="F2 37 2" xfId="2406"/>
    <cellStyle name="F2 37 3" xfId="9241"/>
    <cellStyle name="F2 38" xfId="2407"/>
    <cellStyle name="F2 38 2" xfId="2408"/>
    <cellStyle name="F2 38 3" xfId="9242"/>
    <cellStyle name="F2 39" xfId="2409"/>
    <cellStyle name="F2 4" xfId="2410"/>
    <cellStyle name="F2 4 2" xfId="2411"/>
    <cellStyle name="F2 4 3" xfId="9243"/>
    <cellStyle name="F2 40" xfId="7788"/>
    <cellStyle name="F2 5" xfId="2412"/>
    <cellStyle name="F2 5 2" xfId="2413"/>
    <cellStyle name="F2 5 3" xfId="9244"/>
    <cellStyle name="F2 6" xfId="2414"/>
    <cellStyle name="F2 6 2" xfId="2415"/>
    <cellStyle name="F2 6 3" xfId="9245"/>
    <cellStyle name="F2 7" xfId="2416"/>
    <cellStyle name="F2 7 2" xfId="2417"/>
    <cellStyle name="F2 7 3" xfId="9246"/>
    <cellStyle name="F2 8" xfId="2418"/>
    <cellStyle name="F2 8 2" xfId="2419"/>
    <cellStyle name="F2 8 3" xfId="9247"/>
    <cellStyle name="F2 9" xfId="2420"/>
    <cellStyle name="F2 9 2" xfId="2421"/>
    <cellStyle name="F2 9 3" xfId="9248"/>
    <cellStyle name="F3" xfId="2422"/>
    <cellStyle name="F3 10" xfId="2423"/>
    <cellStyle name="F3 10 2" xfId="2424"/>
    <cellStyle name="F3 10 3" xfId="9249"/>
    <cellStyle name="F3 11" xfId="2425"/>
    <cellStyle name="F3 11 2" xfId="2426"/>
    <cellStyle name="F3 11 3" xfId="9250"/>
    <cellStyle name="F3 12" xfId="2427"/>
    <cellStyle name="F3 12 2" xfId="2428"/>
    <cellStyle name="F3 12 3" xfId="9251"/>
    <cellStyle name="F3 13" xfId="2429"/>
    <cellStyle name="F3 13 2" xfId="2430"/>
    <cellStyle name="F3 13 3" xfId="9252"/>
    <cellStyle name="F3 14" xfId="2431"/>
    <cellStyle name="F3 14 2" xfId="2432"/>
    <cellStyle name="F3 14 3" xfId="9253"/>
    <cellStyle name="F3 15" xfId="2433"/>
    <cellStyle name="F3 15 2" xfId="2434"/>
    <cellStyle name="F3 15 3" xfId="9254"/>
    <cellStyle name="F3 16" xfId="2435"/>
    <cellStyle name="F3 16 2" xfId="2436"/>
    <cellStyle name="F3 16 3" xfId="9255"/>
    <cellStyle name="F3 17" xfId="2437"/>
    <cellStyle name="F3 17 2" xfId="2438"/>
    <cellStyle name="F3 17 3" xfId="9256"/>
    <cellStyle name="F3 18" xfId="2439"/>
    <cellStyle name="F3 18 2" xfId="2440"/>
    <cellStyle name="F3 18 3" xfId="9257"/>
    <cellStyle name="F3 19" xfId="2441"/>
    <cellStyle name="F3 19 2" xfId="2442"/>
    <cellStyle name="F3 19 3" xfId="9258"/>
    <cellStyle name="F3 2" xfId="2443"/>
    <cellStyle name="F3 2 2" xfId="2444"/>
    <cellStyle name="F3 2 2 2" xfId="2445"/>
    <cellStyle name="F3 2 2 3" xfId="9259"/>
    <cellStyle name="F3 2 3" xfId="2446"/>
    <cellStyle name="F3 2 4" xfId="7951"/>
    <cellStyle name="F3 20" xfId="2447"/>
    <cellStyle name="F3 20 2" xfId="2448"/>
    <cellStyle name="F3 20 3" xfId="9260"/>
    <cellStyle name="F3 21" xfId="2449"/>
    <cellStyle name="F3 21 2" xfId="2450"/>
    <cellStyle name="F3 21 3" xfId="9261"/>
    <cellStyle name="F3 22" xfId="2451"/>
    <cellStyle name="F3 22 2" xfId="2452"/>
    <cellStyle name="F3 22 3" xfId="9262"/>
    <cellStyle name="F3 23" xfId="2453"/>
    <cellStyle name="F3 23 2" xfId="2454"/>
    <cellStyle name="F3 23 3" xfId="9263"/>
    <cellStyle name="F3 24" xfId="2455"/>
    <cellStyle name="F3 24 2" xfId="2456"/>
    <cellStyle name="F3 24 3" xfId="9264"/>
    <cellStyle name="F3 25" xfId="2457"/>
    <cellStyle name="F3 25 2" xfId="2458"/>
    <cellStyle name="F3 25 3" xfId="9265"/>
    <cellStyle name="F3 26" xfId="2459"/>
    <cellStyle name="F3 26 2" xfId="2460"/>
    <cellStyle name="F3 26 3" xfId="9266"/>
    <cellStyle name="F3 27" xfId="2461"/>
    <cellStyle name="F3 27 2" xfId="2462"/>
    <cellStyle name="F3 27 3" xfId="9267"/>
    <cellStyle name="F3 28" xfId="2463"/>
    <cellStyle name="F3 28 2" xfId="2464"/>
    <cellStyle name="F3 28 3" xfId="9268"/>
    <cellStyle name="F3 29" xfId="2465"/>
    <cellStyle name="F3 29 2" xfId="2466"/>
    <cellStyle name="F3 29 3" xfId="9269"/>
    <cellStyle name="F3 3" xfId="2467"/>
    <cellStyle name="F3 3 2" xfId="2468"/>
    <cellStyle name="F3 3 2 2" xfId="2469"/>
    <cellStyle name="F3 3 2 3" xfId="9270"/>
    <cellStyle name="F3 3 3" xfId="2470"/>
    <cellStyle name="F3 3 4" xfId="7952"/>
    <cellStyle name="F3 30" xfId="2471"/>
    <cellStyle name="F3 30 2" xfId="2472"/>
    <cellStyle name="F3 30 3" xfId="9271"/>
    <cellStyle name="F3 31" xfId="2473"/>
    <cellStyle name="F3 31 2" xfId="2474"/>
    <cellStyle name="F3 31 3" xfId="9272"/>
    <cellStyle name="F3 32" xfId="2475"/>
    <cellStyle name="F3 32 2" xfId="2476"/>
    <cellStyle name="F3 32 3" xfId="9273"/>
    <cellStyle name="F3 33" xfId="2477"/>
    <cellStyle name="F3 33 2" xfId="2478"/>
    <cellStyle name="F3 33 3" xfId="9274"/>
    <cellStyle name="F3 34" xfId="2479"/>
    <cellStyle name="F3 34 2" xfId="2480"/>
    <cellStyle name="F3 34 3" xfId="9275"/>
    <cellStyle name="F3 35" xfId="2481"/>
    <cellStyle name="F3 35 2" xfId="2482"/>
    <cellStyle name="F3 35 3" xfId="9276"/>
    <cellStyle name="F3 36" xfId="2483"/>
    <cellStyle name="F3 36 2" xfId="2484"/>
    <cellStyle name="F3 36 3" xfId="9277"/>
    <cellStyle name="F3 37" xfId="2485"/>
    <cellStyle name="F3 37 2" xfId="2486"/>
    <cellStyle name="F3 37 3" xfId="9278"/>
    <cellStyle name="F3 38" xfId="2487"/>
    <cellStyle name="F3 38 2" xfId="2488"/>
    <cellStyle name="F3 38 3" xfId="9279"/>
    <cellStyle name="F3 39" xfId="2489"/>
    <cellStyle name="F3 4" xfId="2490"/>
    <cellStyle name="F3 4 2" xfId="2491"/>
    <cellStyle name="F3 4 3" xfId="9280"/>
    <cellStyle name="F3 40" xfId="7789"/>
    <cellStyle name="F3 5" xfId="2492"/>
    <cellStyle name="F3 5 2" xfId="2493"/>
    <cellStyle name="F3 5 3" xfId="9281"/>
    <cellStyle name="F3 6" xfId="2494"/>
    <cellStyle name="F3 6 2" xfId="2495"/>
    <cellStyle name="F3 6 3" xfId="9282"/>
    <cellStyle name="F3 7" xfId="2496"/>
    <cellStyle name="F3 7 2" xfId="2497"/>
    <cellStyle name="F3 7 3" xfId="9283"/>
    <cellStyle name="F3 8" xfId="2498"/>
    <cellStyle name="F3 8 2" xfId="2499"/>
    <cellStyle name="F3 8 3" xfId="9284"/>
    <cellStyle name="F3 9" xfId="2500"/>
    <cellStyle name="F3 9 2" xfId="2501"/>
    <cellStyle name="F3 9 3" xfId="9285"/>
    <cellStyle name="F4" xfId="2502"/>
    <cellStyle name="F4 10" xfId="2503"/>
    <cellStyle name="F4 10 2" xfId="2504"/>
    <cellStyle name="F4 10 3" xfId="9286"/>
    <cellStyle name="F4 11" xfId="2505"/>
    <cellStyle name="F4 11 2" xfId="2506"/>
    <cellStyle name="F4 11 3" xfId="9287"/>
    <cellStyle name="F4 12" xfId="2507"/>
    <cellStyle name="F4 12 2" xfId="2508"/>
    <cellStyle name="F4 12 3" xfId="9288"/>
    <cellStyle name="F4 13" xfId="2509"/>
    <cellStyle name="F4 13 2" xfId="2510"/>
    <cellStyle name="F4 13 3" xfId="9289"/>
    <cellStyle name="F4 14" xfId="2511"/>
    <cellStyle name="F4 14 2" xfId="2512"/>
    <cellStyle name="F4 14 3" xfId="9290"/>
    <cellStyle name="F4 15" xfId="2513"/>
    <cellStyle name="F4 15 2" xfId="2514"/>
    <cellStyle name="F4 15 3" xfId="9291"/>
    <cellStyle name="F4 16" xfId="2515"/>
    <cellStyle name="F4 16 2" xfId="2516"/>
    <cellStyle name="F4 16 3" xfId="9292"/>
    <cellStyle name="F4 17" xfId="2517"/>
    <cellStyle name="F4 17 2" xfId="2518"/>
    <cellStyle name="F4 17 3" xfId="9293"/>
    <cellStyle name="F4 18" xfId="2519"/>
    <cellStyle name="F4 18 2" xfId="2520"/>
    <cellStyle name="F4 18 3" xfId="9294"/>
    <cellStyle name="F4 19" xfId="2521"/>
    <cellStyle name="F4 19 2" xfId="2522"/>
    <cellStyle name="F4 19 3" xfId="9295"/>
    <cellStyle name="F4 2" xfId="2523"/>
    <cellStyle name="F4 2 2" xfId="2524"/>
    <cellStyle name="F4 2 2 2" xfId="2525"/>
    <cellStyle name="F4 2 2 3" xfId="9296"/>
    <cellStyle name="F4 2 3" xfId="2526"/>
    <cellStyle name="F4 2 4" xfId="7953"/>
    <cellStyle name="F4 20" xfId="2527"/>
    <cellStyle name="F4 20 2" xfId="2528"/>
    <cellStyle name="F4 20 3" xfId="9297"/>
    <cellStyle name="F4 21" xfId="2529"/>
    <cellStyle name="F4 21 2" xfId="2530"/>
    <cellStyle name="F4 21 3" xfId="9298"/>
    <cellStyle name="F4 22" xfId="2531"/>
    <cellStyle name="F4 22 2" xfId="2532"/>
    <cellStyle name="F4 22 3" xfId="9299"/>
    <cellStyle name="F4 23" xfId="2533"/>
    <cellStyle name="F4 23 2" xfId="2534"/>
    <cellStyle name="F4 23 3" xfId="9300"/>
    <cellStyle name="F4 24" xfId="2535"/>
    <cellStyle name="F4 24 2" xfId="2536"/>
    <cellStyle name="F4 24 3" xfId="9301"/>
    <cellStyle name="F4 25" xfId="2537"/>
    <cellStyle name="F4 25 2" xfId="2538"/>
    <cellStyle name="F4 25 3" xfId="9302"/>
    <cellStyle name="F4 26" xfId="2539"/>
    <cellStyle name="F4 26 2" xfId="2540"/>
    <cellStyle name="F4 26 3" xfId="9303"/>
    <cellStyle name="F4 27" xfId="2541"/>
    <cellStyle name="F4 27 2" xfId="2542"/>
    <cellStyle name="F4 27 3" xfId="9304"/>
    <cellStyle name="F4 28" xfId="2543"/>
    <cellStyle name="F4 28 2" xfId="2544"/>
    <cellStyle name="F4 28 3" xfId="9305"/>
    <cellStyle name="F4 29" xfId="2545"/>
    <cellStyle name="F4 29 2" xfId="2546"/>
    <cellStyle name="F4 29 3" xfId="9306"/>
    <cellStyle name="F4 3" xfId="2547"/>
    <cellStyle name="F4 3 2" xfId="2548"/>
    <cellStyle name="F4 3 2 2" xfId="2549"/>
    <cellStyle name="F4 3 2 3" xfId="9307"/>
    <cellStyle name="F4 3 3" xfId="2550"/>
    <cellStyle name="F4 3 4" xfId="7954"/>
    <cellStyle name="F4 30" xfId="2551"/>
    <cellStyle name="F4 30 2" xfId="2552"/>
    <cellStyle name="F4 30 3" xfId="9308"/>
    <cellStyle name="F4 31" xfId="2553"/>
    <cellStyle name="F4 31 2" xfId="2554"/>
    <cellStyle name="F4 31 3" xfId="9309"/>
    <cellStyle name="F4 32" xfId="2555"/>
    <cellStyle name="F4 32 2" xfId="2556"/>
    <cellStyle name="F4 32 3" xfId="9310"/>
    <cellStyle name="F4 33" xfId="2557"/>
    <cellStyle name="F4 33 2" xfId="2558"/>
    <cellStyle name="F4 33 3" xfId="9311"/>
    <cellStyle name="F4 34" xfId="2559"/>
    <cellStyle name="F4 34 2" xfId="2560"/>
    <cellStyle name="F4 34 3" xfId="9312"/>
    <cellStyle name="F4 35" xfId="2561"/>
    <cellStyle name="F4 35 2" xfId="2562"/>
    <cellStyle name="F4 35 3" xfId="9313"/>
    <cellStyle name="F4 36" xfId="2563"/>
    <cellStyle name="F4 36 2" xfId="2564"/>
    <cellStyle name="F4 36 3" xfId="9314"/>
    <cellStyle name="F4 37" xfId="2565"/>
    <cellStyle name="F4 37 2" xfId="2566"/>
    <cellStyle name="F4 37 3" xfId="9315"/>
    <cellStyle name="F4 38" xfId="2567"/>
    <cellStyle name="F4 38 2" xfId="2568"/>
    <cellStyle name="F4 38 3" xfId="9316"/>
    <cellStyle name="F4 39" xfId="2569"/>
    <cellStyle name="F4 4" xfId="2570"/>
    <cellStyle name="F4 4 2" xfId="2571"/>
    <cellStyle name="F4 4 3" xfId="9317"/>
    <cellStyle name="F4 40" xfId="7790"/>
    <cellStyle name="F4 5" xfId="2572"/>
    <cellStyle name="F4 5 2" xfId="2573"/>
    <cellStyle name="F4 5 3" xfId="9318"/>
    <cellStyle name="F4 6" xfId="2574"/>
    <cellStyle name="F4 6 2" xfId="2575"/>
    <cellStyle name="F4 6 3" xfId="9319"/>
    <cellStyle name="F4 7" xfId="2576"/>
    <cellStyle name="F4 7 2" xfId="2577"/>
    <cellStyle name="F4 7 3" xfId="9320"/>
    <cellStyle name="F4 8" xfId="2578"/>
    <cellStyle name="F4 8 2" xfId="2579"/>
    <cellStyle name="F4 8 3" xfId="9321"/>
    <cellStyle name="F4 9" xfId="2580"/>
    <cellStyle name="F4 9 2" xfId="2581"/>
    <cellStyle name="F4 9 3" xfId="9322"/>
    <cellStyle name="F5" xfId="2582"/>
    <cellStyle name="F5 10" xfId="2583"/>
    <cellStyle name="F5 10 2" xfId="2584"/>
    <cellStyle name="F5 10 3" xfId="9323"/>
    <cellStyle name="F5 11" xfId="2585"/>
    <cellStyle name="F5 11 2" xfId="2586"/>
    <cellStyle name="F5 11 3" xfId="9324"/>
    <cellStyle name="F5 12" xfId="2587"/>
    <cellStyle name="F5 12 2" xfId="2588"/>
    <cellStyle name="F5 12 3" xfId="9325"/>
    <cellStyle name="F5 13" xfId="2589"/>
    <cellStyle name="F5 13 2" xfId="2590"/>
    <cellStyle name="F5 13 3" xfId="9326"/>
    <cellStyle name="F5 14" xfId="2591"/>
    <cellStyle name="F5 14 2" xfId="2592"/>
    <cellStyle name="F5 14 3" xfId="9327"/>
    <cellStyle name="F5 15" xfId="2593"/>
    <cellStyle name="F5 15 2" xfId="2594"/>
    <cellStyle name="F5 15 3" xfId="9328"/>
    <cellStyle name="F5 16" xfId="2595"/>
    <cellStyle name="F5 16 2" xfId="2596"/>
    <cellStyle name="F5 16 3" xfId="9329"/>
    <cellStyle name="F5 17" xfId="2597"/>
    <cellStyle name="F5 17 2" xfId="2598"/>
    <cellStyle name="F5 17 3" xfId="9330"/>
    <cellStyle name="F5 18" xfId="2599"/>
    <cellStyle name="F5 18 2" xfId="2600"/>
    <cellStyle name="F5 18 3" xfId="9331"/>
    <cellStyle name="F5 19" xfId="2601"/>
    <cellStyle name="F5 19 2" xfId="2602"/>
    <cellStyle name="F5 19 3" xfId="9332"/>
    <cellStyle name="F5 2" xfId="2603"/>
    <cellStyle name="F5 2 2" xfId="2604"/>
    <cellStyle name="F5 2 2 2" xfId="2605"/>
    <cellStyle name="F5 2 2 3" xfId="9333"/>
    <cellStyle name="F5 2 3" xfId="2606"/>
    <cellStyle name="F5 2 4" xfId="7955"/>
    <cellStyle name="F5 20" xfId="2607"/>
    <cellStyle name="F5 20 2" xfId="2608"/>
    <cellStyle name="F5 20 3" xfId="9334"/>
    <cellStyle name="F5 21" xfId="2609"/>
    <cellStyle name="F5 21 2" xfId="2610"/>
    <cellStyle name="F5 21 3" xfId="9335"/>
    <cellStyle name="F5 22" xfId="2611"/>
    <cellStyle name="F5 22 2" xfId="2612"/>
    <cellStyle name="F5 22 3" xfId="9336"/>
    <cellStyle name="F5 23" xfId="2613"/>
    <cellStyle name="F5 23 2" xfId="2614"/>
    <cellStyle name="F5 23 3" xfId="9337"/>
    <cellStyle name="F5 24" xfId="2615"/>
    <cellStyle name="F5 24 2" xfId="2616"/>
    <cellStyle name="F5 24 3" xfId="9338"/>
    <cellStyle name="F5 25" xfId="2617"/>
    <cellStyle name="F5 25 2" xfId="2618"/>
    <cellStyle name="F5 25 3" xfId="9339"/>
    <cellStyle name="F5 26" xfId="2619"/>
    <cellStyle name="F5 26 2" xfId="2620"/>
    <cellStyle name="F5 26 3" xfId="9340"/>
    <cellStyle name="F5 27" xfId="2621"/>
    <cellStyle name="F5 27 2" xfId="2622"/>
    <cellStyle name="F5 27 3" xfId="9341"/>
    <cellStyle name="F5 28" xfId="2623"/>
    <cellStyle name="F5 28 2" xfId="2624"/>
    <cellStyle name="F5 28 3" xfId="9342"/>
    <cellStyle name="F5 29" xfId="2625"/>
    <cellStyle name="F5 29 2" xfId="2626"/>
    <cellStyle name="F5 29 3" xfId="9343"/>
    <cellStyle name="F5 3" xfId="2627"/>
    <cellStyle name="F5 3 2" xfId="2628"/>
    <cellStyle name="F5 3 2 2" xfId="2629"/>
    <cellStyle name="F5 3 2 3" xfId="9344"/>
    <cellStyle name="F5 3 3" xfId="2630"/>
    <cellStyle name="F5 3 4" xfId="7956"/>
    <cellStyle name="F5 30" xfId="2631"/>
    <cellStyle name="F5 30 2" xfId="2632"/>
    <cellStyle name="F5 30 3" xfId="9345"/>
    <cellStyle name="F5 31" xfId="2633"/>
    <cellStyle name="F5 31 2" xfId="2634"/>
    <cellStyle name="F5 31 3" xfId="9346"/>
    <cellStyle name="F5 32" xfId="2635"/>
    <cellStyle name="F5 32 2" xfId="2636"/>
    <cellStyle name="F5 32 3" xfId="9347"/>
    <cellStyle name="F5 33" xfId="2637"/>
    <cellStyle name="F5 33 2" xfId="2638"/>
    <cellStyle name="F5 33 3" xfId="9348"/>
    <cellStyle name="F5 34" xfId="2639"/>
    <cellStyle name="F5 34 2" xfId="2640"/>
    <cellStyle name="F5 34 3" xfId="9349"/>
    <cellStyle name="F5 35" xfId="2641"/>
    <cellStyle name="F5 35 2" xfId="2642"/>
    <cellStyle name="F5 35 3" xfId="9350"/>
    <cellStyle name="F5 36" xfId="2643"/>
    <cellStyle name="F5 36 2" xfId="2644"/>
    <cellStyle name="F5 36 3" xfId="9351"/>
    <cellStyle name="F5 37" xfId="2645"/>
    <cellStyle name="F5 37 2" xfId="2646"/>
    <cellStyle name="F5 37 3" xfId="9352"/>
    <cellStyle name="F5 38" xfId="2647"/>
    <cellStyle name="F5 38 2" xfId="2648"/>
    <cellStyle name="F5 38 3" xfId="9353"/>
    <cellStyle name="F5 39" xfId="2649"/>
    <cellStyle name="F5 4" xfId="2650"/>
    <cellStyle name="F5 4 2" xfId="2651"/>
    <cellStyle name="F5 4 3" xfId="9354"/>
    <cellStyle name="F5 40" xfId="7791"/>
    <cellStyle name="F5 5" xfId="2652"/>
    <cellStyle name="F5 5 2" xfId="2653"/>
    <cellStyle name="F5 5 3" xfId="9355"/>
    <cellStyle name="F5 6" xfId="2654"/>
    <cellStyle name="F5 6 2" xfId="2655"/>
    <cellStyle name="F5 6 3" xfId="9356"/>
    <cellStyle name="F5 7" xfId="2656"/>
    <cellStyle name="F5 7 2" xfId="2657"/>
    <cellStyle name="F5 7 3" xfId="9357"/>
    <cellStyle name="F5 8" xfId="2658"/>
    <cellStyle name="F5 8 2" xfId="2659"/>
    <cellStyle name="F5 8 3" xfId="9358"/>
    <cellStyle name="F5 9" xfId="2660"/>
    <cellStyle name="F5 9 2" xfId="2661"/>
    <cellStyle name="F5 9 3" xfId="9359"/>
    <cellStyle name="F6" xfId="2662"/>
    <cellStyle name="F6 10" xfId="2663"/>
    <cellStyle name="F6 10 2" xfId="2664"/>
    <cellStyle name="F6 10 3" xfId="9360"/>
    <cellStyle name="F6 11" xfId="2665"/>
    <cellStyle name="F6 11 2" xfId="2666"/>
    <cellStyle name="F6 11 3" xfId="9361"/>
    <cellStyle name="F6 12" xfId="2667"/>
    <cellStyle name="F6 12 2" xfId="2668"/>
    <cellStyle name="F6 12 3" xfId="9362"/>
    <cellStyle name="F6 13" xfId="2669"/>
    <cellStyle name="F6 13 2" xfId="2670"/>
    <cellStyle name="F6 13 3" xfId="9363"/>
    <cellStyle name="F6 14" xfId="2671"/>
    <cellStyle name="F6 14 2" xfId="2672"/>
    <cellStyle name="F6 14 3" xfId="9364"/>
    <cellStyle name="F6 15" xfId="2673"/>
    <cellStyle name="F6 15 2" xfId="2674"/>
    <cellStyle name="F6 15 3" xfId="9365"/>
    <cellStyle name="F6 16" xfId="2675"/>
    <cellStyle name="F6 16 2" xfId="2676"/>
    <cellStyle name="F6 16 3" xfId="9366"/>
    <cellStyle name="F6 17" xfId="2677"/>
    <cellStyle name="F6 17 2" xfId="2678"/>
    <cellStyle name="F6 17 3" xfId="9367"/>
    <cellStyle name="F6 18" xfId="2679"/>
    <cellStyle name="F6 18 2" xfId="2680"/>
    <cellStyle name="F6 18 3" xfId="9368"/>
    <cellStyle name="F6 19" xfId="2681"/>
    <cellStyle name="F6 19 2" xfId="2682"/>
    <cellStyle name="F6 19 3" xfId="9369"/>
    <cellStyle name="F6 2" xfId="2683"/>
    <cellStyle name="F6 2 2" xfId="2684"/>
    <cellStyle name="F6 2 2 2" xfId="2685"/>
    <cellStyle name="F6 2 2 3" xfId="9370"/>
    <cellStyle name="F6 2 3" xfId="2686"/>
    <cellStyle name="F6 2 4" xfId="7957"/>
    <cellStyle name="F6 20" xfId="2687"/>
    <cellStyle name="F6 20 2" xfId="2688"/>
    <cellStyle name="F6 20 3" xfId="9371"/>
    <cellStyle name="F6 21" xfId="2689"/>
    <cellStyle name="F6 21 2" xfId="2690"/>
    <cellStyle name="F6 21 3" xfId="9372"/>
    <cellStyle name="F6 22" xfId="2691"/>
    <cellStyle name="F6 22 2" xfId="2692"/>
    <cellStyle name="F6 22 3" xfId="9373"/>
    <cellStyle name="F6 23" xfId="2693"/>
    <cellStyle name="F6 23 2" xfId="2694"/>
    <cellStyle name="F6 23 3" xfId="9374"/>
    <cellStyle name="F6 24" xfId="2695"/>
    <cellStyle name="F6 24 2" xfId="2696"/>
    <cellStyle name="F6 24 3" xfId="9375"/>
    <cellStyle name="F6 25" xfId="2697"/>
    <cellStyle name="F6 25 2" xfId="2698"/>
    <cellStyle name="F6 25 3" xfId="9376"/>
    <cellStyle name="F6 26" xfId="2699"/>
    <cellStyle name="F6 26 2" xfId="2700"/>
    <cellStyle name="F6 26 3" xfId="9377"/>
    <cellStyle name="F6 27" xfId="2701"/>
    <cellStyle name="F6 27 2" xfId="2702"/>
    <cellStyle name="F6 27 3" xfId="9378"/>
    <cellStyle name="F6 28" xfId="2703"/>
    <cellStyle name="F6 28 2" xfId="2704"/>
    <cellStyle name="F6 28 3" xfId="9379"/>
    <cellStyle name="F6 29" xfId="2705"/>
    <cellStyle name="F6 29 2" xfId="2706"/>
    <cellStyle name="F6 29 3" xfId="9380"/>
    <cellStyle name="F6 3" xfId="2707"/>
    <cellStyle name="F6 3 2" xfId="2708"/>
    <cellStyle name="F6 3 2 2" xfId="2709"/>
    <cellStyle name="F6 3 2 3" xfId="9381"/>
    <cellStyle name="F6 3 3" xfId="2710"/>
    <cellStyle name="F6 3 4" xfId="7958"/>
    <cellStyle name="F6 30" xfId="2711"/>
    <cellStyle name="F6 30 2" xfId="2712"/>
    <cellStyle name="F6 30 3" xfId="9382"/>
    <cellStyle name="F6 31" xfId="2713"/>
    <cellStyle name="F6 31 2" xfId="2714"/>
    <cellStyle name="F6 31 3" xfId="9383"/>
    <cellStyle name="F6 32" xfId="2715"/>
    <cellStyle name="F6 32 2" xfId="2716"/>
    <cellStyle name="F6 32 3" xfId="9384"/>
    <cellStyle name="F6 33" xfId="2717"/>
    <cellStyle name="F6 33 2" xfId="2718"/>
    <cellStyle name="F6 33 3" xfId="9385"/>
    <cellStyle name="F6 34" xfId="2719"/>
    <cellStyle name="F6 34 2" xfId="2720"/>
    <cellStyle name="F6 34 3" xfId="9386"/>
    <cellStyle name="F6 35" xfId="2721"/>
    <cellStyle name="F6 35 2" xfId="2722"/>
    <cellStyle name="F6 35 3" xfId="9387"/>
    <cellStyle name="F6 36" xfId="2723"/>
    <cellStyle name="F6 36 2" xfId="2724"/>
    <cellStyle name="F6 36 3" xfId="9388"/>
    <cellStyle name="F6 37" xfId="2725"/>
    <cellStyle name="F6 37 2" xfId="2726"/>
    <cellStyle name="F6 37 3" xfId="9389"/>
    <cellStyle name="F6 38" xfId="2727"/>
    <cellStyle name="F6 38 2" xfId="2728"/>
    <cellStyle name="F6 38 3" xfId="9390"/>
    <cellStyle name="F6 39" xfId="2729"/>
    <cellStyle name="F6 4" xfId="2730"/>
    <cellStyle name="F6 4 2" xfId="2731"/>
    <cellStyle name="F6 4 3" xfId="9391"/>
    <cellStyle name="F6 40" xfId="7792"/>
    <cellStyle name="F6 5" xfId="2732"/>
    <cellStyle name="F6 5 2" xfId="2733"/>
    <cellStyle name="F6 5 3" xfId="9392"/>
    <cellStyle name="F6 6" xfId="2734"/>
    <cellStyle name="F6 6 2" xfId="2735"/>
    <cellStyle name="F6 6 3" xfId="9393"/>
    <cellStyle name="F6 7" xfId="2736"/>
    <cellStyle name="F6 7 2" xfId="2737"/>
    <cellStyle name="F6 7 3" xfId="9394"/>
    <cellStyle name="F6 8" xfId="2738"/>
    <cellStyle name="F6 8 2" xfId="2739"/>
    <cellStyle name="F6 8 3" xfId="9395"/>
    <cellStyle name="F6 9" xfId="2740"/>
    <cellStyle name="F6 9 2" xfId="2741"/>
    <cellStyle name="F6 9 3" xfId="9396"/>
    <cellStyle name="F7" xfId="2742"/>
    <cellStyle name="F7 10" xfId="2743"/>
    <cellStyle name="F7 10 2" xfId="2744"/>
    <cellStyle name="F7 10 3" xfId="9397"/>
    <cellStyle name="F7 11" xfId="2745"/>
    <cellStyle name="F7 11 2" xfId="2746"/>
    <cellStyle name="F7 11 3" xfId="9398"/>
    <cellStyle name="F7 12" xfId="2747"/>
    <cellStyle name="F7 12 2" xfId="2748"/>
    <cellStyle name="F7 12 3" xfId="9399"/>
    <cellStyle name="F7 13" xfId="2749"/>
    <cellStyle name="F7 13 2" xfId="2750"/>
    <cellStyle name="F7 13 3" xfId="9400"/>
    <cellStyle name="F7 14" xfId="2751"/>
    <cellStyle name="F7 14 2" xfId="2752"/>
    <cellStyle name="F7 14 3" xfId="9401"/>
    <cellStyle name="F7 15" xfId="2753"/>
    <cellStyle name="F7 15 2" xfId="2754"/>
    <cellStyle name="F7 15 3" xfId="9402"/>
    <cellStyle name="F7 16" xfId="2755"/>
    <cellStyle name="F7 16 2" xfId="2756"/>
    <cellStyle name="F7 16 3" xfId="9403"/>
    <cellStyle name="F7 17" xfId="2757"/>
    <cellStyle name="F7 17 2" xfId="2758"/>
    <cellStyle name="F7 17 3" xfId="9404"/>
    <cellStyle name="F7 18" xfId="2759"/>
    <cellStyle name="F7 18 2" xfId="2760"/>
    <cellStyle name="F7 18 3" xfId="9405"/>
    <cellStyle name="F7 19" xfId="2761"/>
    <cellStyle name="F7 19 2" xfId="2762"/>
    <cellStyle name="F7 19 3" xfId="9406"/>
    <cellStyle name="F7 2" xfId="2763"/>
    <cellStyle name="F7 2 2" xfId="2764"/>
    <cellStyle name="F7 2 2 2" xfId="2765"/>
    <cellStyle name="F7 2 2 3" xfId="9407"/>
    <cellStyle name="F7 2 3" xfId="2766"/>
    <cellStyle name="F7 2 4" xfId="7959"/>
    <cellStyle name="F7 20" xfId="2767"/>
    <cellStyle name="F7 20 2" xfId="2768"/>
    <cellStyle name="F7 20 3" xfId="9408"/>
    <cellStyle name="F7 21" xfId="2769"/>
    <cellStyle name="F7 21 2" xfId="2770"/>
    <cellStyle name="F7 21 3" xfId="9409"/>
    <cellStyle name="F7 22" xfId="2771"/>
    <cellStyle name="F7 22 2" xfId="2772"/>
    <cellStyle name="F7 22 3" xfId="9410"/>
    <cellStyle name="F7 23" xfId="2773"/>
    <cellStyle name="F7 23 2" xfId="2774"/>
    <cellStyle name="F7 23 3" xfId="9411"/>
    <cellStyle name="F7 24" xfId="2775"/>
    <cellStyle name="F7 24 2" xfId="2776"/>
    <cellStyle name="F7 24 3" xfId="9412"/>
    <cellStyle name="F7 25" xfId="2777"/>
    <cellStyle name="F7 25 2" xfId="2778"/>
    <cellStyle name="F7 25 3" xfId="9413"/>
    <cellStyle name="F7 26" xfId="2779"/>
    <cellStyle name="F7 26 2" xfId="2780"/>
    <cellStyle name="F7 26 3" xfId="9414"/>
    <cellStyle name="F7 27" xfId="2781"/>
    <cellStyle name="F7 27 2" xfId="2782"/>
    <cellStyle name="F7 27 3" xfId="9415"/>
    <cellStyle name="F7 28" xfId="2783"/>
    <cellStyle name="F7 28 2" xfId="2784"/>
    <cellStyle name="F7 28 3" xfId="9416"/>
    <cellStyle name="F7 29" xfId="2785"/>
    <cellStyle name="F7 29 2" xfId="2786"/>
    <cellStyle name="F7 29 3" xfId="9417"/>
    <cellStyle name="F7 3" xfId="2787"/>
    <cellStyle name="F7 3 2" xfId="2788"/>
    <cellStyle name="F7 3 2 2" xfId="2789"/>
    <cellStyle name="F7 3 2 3" xfId="9418"/>
    <cellStyle name="F7 3 3" xfId="2790"/>
    <cellStyle name="F7 3 4" xfId="7960"/>
    <cellStyle name="F7 30" xfId="2791"/>
    <cellStyle name="F7 30 2" xfId="2792"/>
    <cellStyle name="F7 30 3" xfId="9419"/>
    <cellStyle name="F7 31" xfId="2793"/>
    <cellStyle name="F7 31 2" xfId="2794"/>
    <cellStyle name="F7 31 3" xfId="9420"/>
    <cellStyle name="F7 32" xfId="2795"/>
    <cellStyle name="F7 32 2" xfId="2796"/>
    <cellStyle name="F7 32 3" xfId="9421"/>
    <cellStyle name="F7 33" xfId="2797"/>
    <cellStyle name="F7 33 2" xfId="2798"/>
    <cellStyle name="F7 33 3" xfId="9422"/>
    <cellStyle name="F7 34" xfId="2799"/>
    <cellStyle name="F7 34 2" xfId="2800"/>
    <cellStyle name="F7 34 3" xfId="9423"/>
    <cellStyle name="F7 35" xfId="2801"/>
    <cellStyle name="F7 35 2" xfId="2802"/>
    <cellStyle name="F7 35 3" xfId="9424"/>
    <cellStyle name="F7 36" xfId="2803"/>
    <cellStyle name="F7 36 2" xfId="2804"/>
    <cellStyle name="F7 36 3" xfId="9425"/>
    <cellStyle name="F7 37" xfId="2805"/>
    <cellStyle name="F7 37 2" xfId="2806"/>
    <cellStyle name="F7 37 3" xfId="9426"/>
    <cellStyle name="F7 38" xfId="2807"/>
    <cellStyle name="F7 38 2" xfId="2808"/>
    <cellStyle name="F7 38 3" xfId="9427"/>
    <cellStyle name="F7 39" xfId="2809"/>
    <cellStyle name="F7 4" xfId="2810"/>
    <cellStyle name="F7 4 2" xfId="2811"/>
    <cellStyle name="F7 4 3" xfId="9428"/>
    <cellStyle name="F7 40" xfId="7793"/>
    <cellStyle name="F7 5" xfId="2812"/>
    <cellStyle name="F7 5 2" xfId="2813"/>
    <cellStyle name="F7 5 3" xfId="9429"/>
    <cellStyle name="F7 6" xfId="2814"/>
    <cellStyle name="F7 6 2" xfId="2815"/>
    <cellStyle name="F7 6 3" xfId="9430"/>
    <cellStyle name="F7 7" xfId="2816"/>
    <cellStyle name="F7 7 2" xfId="2817"/>
    <cellStyle name="F7 7 3" xfId="9431"/>
    <cellStyle name="F7 8" xfId="2818"/>
    <cellStyle name="F7 8 2" xfId="2819"/>
    <cellStyle name="F7 8 3" xfId="9432"/>
    <cellStyle name="F7 9" xfId="2820"/>
    <cellStyle name="F7 9 2" xfId="2821"/>
    <cellStyle name="F7 9 3" xfId="9433"/>
    <cellStyle name="F8" xfId="2822"/>
    <cellStyle name="F8 10" xfId="2823"/>
    <cellStyle name="F8 10 2" xfId="2824"/>
    <cellStyle name="F8 10 3" xfId="9434"/>
    <cellStyle name="F8 11" xfId="2825"/>
    <cellStyle name="F8 11 2" xfId="2826"/>
    <cellStyle name="F8 11 3" xfId="9435"/>
    <cellStyle name="F8 12" xfId="2827"/>
    <cellStyle name="F8 12 2" xfId="2828"/>
    <cellStyle name="F8 12 3" xfId="9436"/>
    <cellStyle name="F8 13" xfId="2829"/>
    <cellStyle name="F8 13 2" xfId="2830"/>
    <cellStyle name="F8 13 3" xfId="9437"/>
    <cellStyle name="F8 14" xfId="2831"/>
    <cellStyle name="F8 14 2" xfId="2832"/>
    <cellStyle name="F8 14 3" xfId="9438"/>
    <cellStyle name="F8 15" xfId="2833"/>
    <cellStyle name="F8 15 2" xfId="2834"/>
    <cellStyle name="F8 15 3" xfId="9439"/>
    <cellStyle name="F8 16" xfId="2835"/>
    <cellStyle name="F8 16 2" xfId="2836"/>
    <cellStyle name="F8 16 3" xfId="9440"/>
    <cellStyle name="F8 17" xfId="2837"/>
    <cellStyle name="F8 17 2" xfId="2838"/>
    <cellStyle name="F8 17 3" xfId="9441"/>
    <cellStyle name="F8 18" xfId="2839"/>
    <cellStyle name="F8 18 2" xfId="2840"/>
    <cellStyle name="F8 18 3" xfId="9442"/>
    <cellStyle name="F8 19" xfId="2841"/>
    <cellStyle name="F8 19 2" xfId="2842"/>
    <cellStyle name="F8 19 3" xfId="9443"/>
    <cellStyle name="F8 2" xfId="2843"/>
    <cellStyle name="F8 2 2" xfId="2844"/>
    <cellStyle name="F8 2 2 2" xfId="2845"/>
    <cellStyle name="F8 2 2 3" xfId="9444"/>
    <cellStyle name="F8 2 3" xfId="2846"/>
    <cellStyle name="F8 2 4" xfId="7961"/>
    <cellStyle name="F8 20" xfId="2847"/>
    <cellStyle name="F8 20 2" xfId="2848"/>
    <cellStyle name="F8 20 3" xfId="9445"/>
    <cellStyle name="F8 21" xfId="2849"/>
    <cellStyle name="F8 21 2" xfId="2850"/>
    <cellStyle name="F8 21 3" xfId="9446"/>
    <cellStyle name="F8 22" xfId="2851"/>
    <cellStyle name="F8 22 2" xfId="2852"/>
    <cellStyle name="F8 22 3" xfId="9447"/>
    <cellStyle name="F8 23" xfId="2853"/>
    <cellStyle name="F8 23 2" xfId="2854"/>
    <cellStyle name="F8 23 3" xfId="9448"/>
    <cellStyle name="F8 24" xfId="2855"/>
    <cellStyle name="F8 24 2" xfId="2856"/>
    <cellStyle name="F8 24 3" xfId="9449"/>
    <cellStyle name="F8 25" xfId="2857"/>
    <cellStyle name="F8 25 2" xfId="2858"/>
    <cellStyle name="F8 25 3" xfId="9450"/>
    <cellStyle name="F8 26" xfId="2859"/>
    <cellStyle name="F8 26 2" xfId="2860"/>
    <cellStyle name="F8 26 3" xfId="9451"/>
    <cellStyle name="F8 27" xfId="2861"/>
    <cellStyle name="F8 27 2" xfId="2862"/>
    <cellStyle name="F8 27 3" xfId="9452"/>
    <cellStyle name="F8 28" xfId="2863"/>
    <cellStyle name="F8 28 2" xfId="2864"/>
    <cellStyle name="F8 28 3" xfId="9453"/>
    <cellStyle name="F8 29" xfId="2865"/>
    <cellStyle name="F8 29 2" xfId="2866"/>
    <cellStyle name="F8 29 3" xfId="9454"/>
    <cellStyle name="F8 3" xfId="2867"/>
    <cellStyle name="F8 3 2" xfId="2868"/>
    <cellStyle name="F8 3 2 2" xfId="2869"/>
    <cellStyle name="F8 3 2 3" xfId="9455"/>
    <cellStyle name="F8 3 3" xfId="2870"/>
    <cellStyle name="F8 3 4" xfId="7962"/>
    <cellStyle name="F8 30" xfId="2871"/>
    <cellStyle name="F8 30 2" xfId="2872"/>
    <cellStyle name="F8 30 3" xfId="9456"/>
    <cellStyle name="F8 31" xfId="2873"/>
    <cellStyle name="F8 31 2" xfId="2874"/>
    <cellStyle name="F8 31 3" xfId="9457"/>
    <cellStyle name="F8 32" xfId="2875"/>
    <cellStyle name="F8 32 2" xfId="2876"/>
    <cellStyle name="F8 32 3" xfId="9458"/>
    <cellStyle name="F8 33" xfId="2877"/>
    <cellStyle name="F8 33 2" xfId="2878"/>
    <cellStyle name="F8 33 3" xfId="9459"/>
    <cellStyle name="F8 34" xfId="2879"/>
    <cellStyle name="F8 34 2" xfId="2880"/>
    <cellStyle name="F8 34 3" xfId="9460"/>
    <cellStyle name="F8 35" xfId="2881"/>
    <cellStyle name="F8 35 2" xfId="2882"/>
    <cellStyle name="F8 35 3" xfId="9461"/>
    <cellStyle name="F8 36" xfId="2883"/>
    <cellStyle name="F8 36 2" xfId="2884"/>
    <cellStyle name="F8 36 3" xfId="9462"/>
    <cellStyle name="F8 37" xfId="2885"/>
    <cellStyle name="F8 37 2" xfId="2886"/>
    <cellStyle name="F8 37 3" xfId="9463"/>
    <cellStyle name="F8 38" xfId="2887"/>
    <cellStyle name="F8 38 2" xfId="2888"/>
    <cellStyle name="F8 38 3" xfId="9464"/>
    <cellStyle name="F8 39" xfId="2889"/>
    <cellStyle name="F8 4" xfId="2890"/>
    <cellStyle name="F8 4 2" xfId="2891"/>
    <cellStyle name="F8 4 3" xfId="9465"/>
    <cellStyle name="F8 40" xfId="7794"/>
    <cellStyle name="F8 5" xfId="2892"/>
    <cellStyle name="F8 5 2" xfId="2893"/>
    <cellStyle name="F8 5 3" xfId="9466"/>
    <cellStyle name="F8 6" xfId="2894"/>
    <cellStyle name="F8 6 2" xfId="2895"/>
    <cellStyle name="F8 6 3" xfId="9467"/>
    <cellStyle name="F8 7" xfId="2896"/>
    <cellStyle name="F8 7 2" xfId="2897"/>
    <cellStyle name="F8 7 3" xfId="9468"/>
    <cellStyle name="F8 8" xfId="2898"/>
    <cellStyle name="F8 8 2" xfId="2899"/>
    <cellStyle name="F8 8 3" xfId="9469"/>
    <cellStyle name="F8 9" xfId="2900"/>
    <cellStyle name="F8 9 2" xfId="2901"/>
    <cellStyle name="F8 9 3" xfId="9470"/>
    <cellStyle name="Financier0" xfId="2904"/>
    <cellStyle name="Financier0 10" xfId="2905"/>
    <cellStyle name="Financier0 10 2" xfId="2906"/>
    <cellStyle name="Financier0 10 3" xfId="9471"/>
    <cellStyle name="Financier0 11" xfId="2907"/>
    <cellStyle name="Financier0 11 2" xfId="2908"/>
    <cellStyle name="Financier0 11 3" xfId="9472"/>
    <cellStyle name="Financier0 12" xfId="2909"/>
    <cellStyle name="Financier0 12 2" xfId="2910"/>
    <cellStyle name="Financier0 12 3" xfId="9473"/>
    <cellStyle name="Financier0 13" xfId="2911"/>
    <cellStyle name="Financier0 13 2" xfId="2912"/>
    <cellStyle name="Financier0 13 3" xfId="9474"/>
    <cellStyle name="Financier0 14" xfId="2913"/>
    <cellStyle name="Financier0 14 2" xfId="2914"/>
    <cellStyle name="Financier0 14 3" xfId="9475"/>
    <cellStyle name="Financier0 15" xfId="2915"/>
    <cellStyle name="Financier0 15 2" xfId="2916"/>
    <cellStyle name="Financier0 15 3" xfId="9476"/>
    <cellStyle name="Financier0 16" xfId="2917"/>
    <cellStyle name="Financier0 16 2" xfId="2918"/>
    <cellStyle name="Financier0 16 3" xfId="9477"/>
    <cellStyle name="Financier0 17" xfId="2919"/>
    <cellStyle name="Financier0 17 2" xfId="2920"/>
    <cellStyle name="Financier0 17 3" xfId="9478"/>
    <cellStyle name="Financier0 18" xfId="2921"/>
    <cellStyle name="Financier0 18 2" xfId="2922"/>
    <cellStyle name="Financier0 18 3" xfId="9479"/>
    <cellStyle name="Financier0 19" xfId="2923"/>
    <cellStyle name="Financier0 19 2" xfId="2924"/>
    <cellStyle name="Financier0 19 3" xfId="9480"/>
    <cellStyle name="Financier0 2" xfId="2925"/>
    <cellStyle name="Financier0 2 2" xfId="2926"/>
    <cellStyle name="Financier0 2 2 2" xfId="2927"/>
    <cellStyle name="Financier0 2 2 3" xfId="9482"/>
    <cellStyle name="Financier0 2 3" xfId="2928"/>
    <cellStyle name="Financier0 2 4" xfId="9481"/>
    <cellStyle name="Financier0 20" xfId="2929"/>
    <cellStyle name="Financier0 20 2" xfId="2930"/>
    <cellStyle name="Financier0 20 3" xfId="9483"/>
    <cellStyle name="Financier0 21" xfId="2931"/>
    <cellStyle name="Financier0 21 2" xfId="2932"/>
    <cellStyle name="Financier0 21 3" xfId="9484"/>
    <cellStyle name="Financier0 22" xfId="2933"/>
    <cellStyle name="Financier0 22 2" xfId="2934"/>
    <cellStyle name="Financier0 22 3" xfId="9485"/>
    <cellStyle name="Financier0 23" xfId="2935"/>
    <cellStyle name="Financier0 23 2" xfId="2936"/>
    <cellStyle name="Financier0 23 3" xfId="9486"/>
    <cellStyle name="Financier0 24" xfId="2937"/>
    <cellStyle name="Financier0 24 2" xfId="2938"/>
    <cellStyle name="Financier0 24 3" xfId="9487"/>
    <cellStyle name="Financier0 25" xfId="2939"/>
    <cellStyle name="Financier0 25 2" xfId="2940"/>
    <cellStyle name="Financier0 25 3" xfId="9488"/>
    <cellStyle name="Financier0 26" xfId="2941"/>
    <cellStyle name="Financier0 26 2" xfId="2942"/>
    <cellStyle name="Financier0 26 3" xfId="9489"/>
    <cellStyle name="Financier0 27" xfId="2943"/>
    <cellStyle name="Financier0 27 2" xfId="2944"/>
    <cellStyle name="Financier0 27 3" xfId="9490"/>
    <cellStyle name="Financier0 28" xfId="2945"/>
    <cellStyle name="Financier0 28 2" xfId="2946"/>
    <cellStyle name="Financier0 28 3" xfId="9491"/>
    <cellStyle name="Financier0 29" xfId="2947"/>
    <cellStyle name="Financier0 29 2" xfId="2948"/>
    <cellStyle name="Financier0 29 3" xfId="9492"/>
    <cellStyle name="Financier0 3" xfId="2949"/>
    <cellStyle name="Financier0 3 2" xfId="2950"/>
    <cellStyle name="Financier0 3 3" xfId="9493"/>
    <cellStyle name="Financier0 30" xfId="2951"/>
    <cellStyle name="Financier0 30 2" xfId="2952"/>
    <cellStyle name="Financier0 30 3" xfId="9494"/>
    <cellStyle name="Financier0 31" xfId="2953"/>
    <cellStyle name="Financier0 31 2" xfId="2954"/>
    <cellStyle name="Financier0 31 3" xfId="9495"/>
    <cellStyle name="Financier0 32" xfId="2955"/>
    <cellStyle name="Financier0 32 2" xfId="2956"/>
    <cellStyle name="Financier0 32 3" xfId="9496"/>
    <cellStyle name="Financier0 33" xfId="2957"/>
    <cellStyle name="Financier0 33 2" xfId="2958"/>
    <cellStyle name="Financier0 33 3" xfId="9497"/>
    <cellStyle name="Financier0 34" xfId="2959"/>
    <cellStyle name="Financier0 34 2" xfId="2960"/>
    <cellStyle name="Financier0 34 3" xfId="9498"/>
    <cellStyle name="Financier0 35" xfId="2961"/>
    <cellStyle name="Financier0 35 2" xfId="2962"/>
    <cellStyle name="Financier0 35 3" xfId="9499"/>
    <cellStyle name="Financier0 36" xfId="2963"/>
    <cellStyle name="Financier0 36 2" xfId="2964"/>
    <cellStyle name="Financier0 36 3" xfId="9500"/>
    <cellStyle name="Financier0 37" xfId="2965"/>
    <cellStyle name="Financier0 37 2" xfId="2966"/>
    <cellStyle name="Financier0 37 3" xfId="9501"/>
    <cellStyle name="Financier0 38" xfId="2967"/>
    <cellStyle name="Financier0 38 2" xfId="2968"/>
    <cellStyle name="Financier0 38 3" xfId="9502"/>
    <cellStyle name="Financier0 39" xfId="2969"/>
    <cellStyle name="Financier0 4" xfId="2970"/>
    <cellStyle name="Financier0 4 2" xfId="2971"/>
    <cellStyle name="Financier0 4 3" xfId="9503"/>
    <cellStyle name="Financier0 40" xfId="7795"/>
    <cellStyle name="Financier0 5" xfId="2972"/>
    <cellStyle name="Financier0 5 2" xfId="2973"/>
    <cellStyle name="Financier0 5 3" xfId="9504"/>
    <cellStyle name="Financier0 6" xfId="2974"/>
    <cellStyle name="Financier0 6 2" xfId="2975"/>
    <cellStyle name="Financier0 6 3" xfId="9505"/>
    <cellStyle name="Financier0 7" xfId="2976"/>
    <cellStyle name="Financier0 7 2" xfId="2977"/>
    <cellStyle name="Financier0 7 3" xfId="9506"/>
    <cellStyle name="Financier0 8" xfId="2978"/>
    <cellStyle name="Financier0 8 2" xfId="2979"/>
    <cellStyle name="Financier0 8 3" xfId="9507"/>
    <cellStyle name="Financier0 9" xfId="2980"/>
    <cellStyle name="Financier0 9 2" xfId="2981"/>
    <cellStyle name="Financier0 9 3" xfId="9508"/>
    <cellStyle name="FIXE" xfId="2982"/>
    <cellStyle name="FIXE 2" xfId="2983"/>
    <cellStyle name="FIXE 2 2" xfId="2984"/>
    <cellStyle name="FIXE 2 2 2" xfId="2985"/>
    <cellStyle name="FIXE 2 2 3" xfId="9510"/>
    <cellStyle name="FIXE 2 3" xfId="2986"/>
    <cellStyle name="FIXE 2 4" xfId="9509"/>
    <cellStyle name="FIXE 3" xfId="2987"/>
    <cellStyle name="FIXE 3 2" xfId="2988"/>
    <cellStyle name="FIXE 3 2 2" xfId="2989"/>
    <cellStyle name="FIXE 3 2 3" xfId="9512"/>
    <cellStyle name="FIXE 3 3" xfId="2990"/>
    <cellStyle name="FIXE 3 4" xfId="9511"/>
    <cellStyle name="FIXE 4" xfId="2991"/>
    <cellStyle name="FIXE 4 2" xfId="2992"/>
    <cellStyle name="FIXE 4 3" xfId="9513"/>
    <cellStyle name="FIXE 5" xfId="2993"/>
    <cellStyle name="FIXE 6" xfId="7963"/>
    <cellStyle name="Heading" xfId="9514"/>
    <cellStyle name="Headline" xfId="2994"/>
    <cellStyle name="Headline 2" xfId="2995"/>
    <cellStyle name="Headline 3" xfId="7964"/>
    <cellStyle name="Input" xfId="2996"/>
    <cellStyle name="Input 2" xfId="2997"/>
    <cellStyle name="Input 3" xfId="9515"/>
    <cellStyle name="Input INT" xfId="2998"/>
    <cellStyle name="Input INT 2" xfId="2999"/>
    <cellStyle name="Input INT 3" xfId="9516"/>
    <cellStyle name="Input_Budget_Guidelines" xfId="3000"/>
    <cellStyle name="InputCells" xfId="3001"/>
    <cellStyle name="InputCells 2" xfId="3002"/>
    <cellStyle name="InputCells 3" xfId="9517"/>
    <cellStyle name="InputCells12" xfId="3003"/>
    <cellStyle name="InputCells12 2" xfId="3004"/>
    <cellStyle name="InputCells12 3" xfId="9518"/>
    <cellStyle name="Insatisfaisant 10" xfId="3005"/>
    <cellStyle name="Insatisfaisant 10 2" xfId="3006"/>
    <cellStyle name="Insatisfaisant 10 3" xfId="9519"/>
    <cellStyle name="Insatisfaisant 11" xfId="3007"/>
    <cellStyle name="Insatisfaisant 11 2" xfId="3008"/>
    <cellStyle name="Insatisfaisant 11 2 2" xfId="3009"/>
    <cellStyle name="Insatisfaisant 11 2 3" xfId="9521"/>
    <cellStyle name="Insatisfaisant 11 3" xfId="3010"/>
    <cellStyle name="Insatisfaisant 11 3 2" xfId="3011"/>
    <cellStyle name="Insatisfaisant 11 3 3" xfId="9522"/>
    <cellStyle name="Insatisfaisant 11 4" xfId="3012"/>
    <cellStyle name="Insatisfaisant 11 4 2" xfId="3013"/>
    <cellStyle name="Insatisfaisant 11 4 3" xfId="9523"/>
    <cellStyle name="Insatisfaisant 11 5" xfId="3014"/>
    <cellStyle name="Insatisfaisant 11 6" xfId="9520"/>
    <cellStyle name="Insatisfaisant 12" xfId="3015"/>
    <cellStyle name="Insatisfaisant 12 2" xfId="3016"/>
    <cellStyle name="Insatisfaisant 12 2 2" xfId="3017"/>
    <cellStyle name="Insatisfaisant 12 2 3" xfId="9525"/>
    <cellStyle name="Insatisfaisant 12 3" xfId="3018"/>
    <cellStyle name="Insatisfaisant 12 3 2" xfId="3019"/>
    <cellStyle name="Insatisfaisant 12 3 3" xfId="9526"/>
    <cellStyle name="Insatisfaisant 12 4" xfId="3020"/>
    <cellStyle name="Insatisfaisant 12 5" xfId="9524"/>
    <cellStyle name="Insatisfaisant 13" xfId="3021"/>
    <cellStyle name="Insatisfaisant 13 2" xfId="3022"/>
    <cellStyle name="Insatisfaisant 13 3" xfId="9527"/>
    <cellStyle name="Insatisfaisant 14" xfId="3023"/>
    <cellStyle name="Insatisfaisant 14 2" xfId="3024"/>
    <cellStyle name="Insatisfaisant 14 3" xfId="9528"/>
    <cellStyle name="Insatisfaisant 15" xfId="3025"/>
    <cellStyle name="Insatisfaisant 15 2" xfId="3026"/>
    <cellStyle name="Insatisfaisant 15 3" xfId="9529"/>
    <cellStyle name="Insatisfaisant 2" xfId="3027"/>
    <cellStyle name="Insatisfaisant 2 2" xfId="3028"/>
    <cellStyle name="Insatisfaisant 2 2 2" xfId="3029"/>
    <cellStyle name="Insatisfaisant 2 2 3" xfId="9530"/>
    <cellStyle name="Insatisfaisant 2 3" xfId="3030"/>
    <cellStyle name="Insatisfaisant 2 3 2" xfId="3031"/>
    <cellStyle name="Insatisfaisant 2 3 3" xfId="9531"/>
    <cellStyle name="Insatisfaisant 2 4" xfId="3032"/>
    <cellStyle name="Insatisfaisant 2 4 2" xfId="3033"/>
    <cellStyle name="Insatisfaisant 2 4 3" xfId="9532"/>
    <cellStyle name="Insatisfaisant 2 5" xfId="3034"/>
    <cellStyle name="Insatisfaisant 2 6" xfId="7965"/>
    <cellStyle name="Insatisfaisant 3" xfId="3035"/>
    <cellStyle name="Insatisfaisant 3 2" xfId="3036"/>
    <cellStyle name="Insatisfaisant 3 2 2" xfId="3037"/>
    <cellStyle name="Insatisfaisant 3 2 3" xfId="9533"/>
    <cellStyle name="Insatisfaisant 3 3" xfId="3038"/>
    <cellStyle name="Insatisfaisant 3 3 2" xfId="3039"/>
    <cellStyle name="Insatisfaisant 3 3 3" xfId="9534"/>
    <cellStyle name="Insatisfaisant 3 4" xfId="3040"/>
    <cellStyle name="Insatisfaisant 3 4 2" xfId="3041"/>
    <cellStyle name="Insatisfaisant 3 4 3" xfId="9535"/>
    <cellStyle name="Insatisfaisant 3 5" xfId="3042"/>
    <cellStyle name="Insatisfaisant 3 6" xfId="7966"/>
    <cellStyle name="Insatisfaisant 4" xfId="3043"/>
    <cellStyle name="Insatisfaisant 4 2" xfId="3044"/>
    <cellStyle name="Insatisfaisant 4 2 2" xfId="3045"/>
    <cellStyle name="Insatisfaisant 4 2 3" xfId="9536"/>
    <cellStyle name="Insatisfaisant 4 3" xfId="3046"/>
    <cellStyle name="Insatisfaisant 4 3 2" xfId="3047"/>
    <cellStyle name="Insatisfaisant 4 3 3" xfId="9537"/>
    <cellStyle name="Insatisfaisant 4 4" xfId="3048"/>
    <cellStyle name="Insatisfaisant 4 4 2" xfId="3049"/>
    <cellStyle name="Insatisfaisant 4 4 3" xfId="9538"/>
    <cellStyle name="Insatisfaisant 4 5" xfId="3050"/>
    <cellStyle name="Insatisfaisant 4 6" xfId="7967"/>
    <cellStyle name="Insatisfaisant 5" xfId="3051"/>
    <cellStyle name="Insatisfaisant 5 2" xfId="3052"/>
    <cellStyle name="Insatisfaisant 5 2 2" xfId="3053"/>
    <cellStyle name="Insatisfaisant 5 2 3" xfId="9539"/>
    <cellStyle name="Insatisfaisant 5 3" xfId="3054"/>
    <cellStyle name="Insatisfaisant 5 4" xfId="7968"/>
    <cellStyle name="Insatisfaisant 6" xfId="3055"/>
    <cellStyle name="Insatisfaisant 6 2" xfId="3056"/>
    <cellStyle name="Insatisfaisant 6 2 2" xfId="3057"/>
    <cellStyle name="Insatisfaisant 6 2 3" xfId="9541"/>
    <cellStyle name="Insatisfaisant 6 3" xfId="3058"/>
    <cellStyle name="Insatisfaisant 6 4" xfId="9540"/>
    <cellStyle name="Insatisfaisant 7" xfId="3059"/>
    <cellStyle name="Insatisfaisant 7 2" xfId="3060"/>
    <cellStyle name="Insatisfaisant 7 3" xfId="9542"/>
    <cellStyle name="Insatisfaisant 8" xfId="3061"/>
    <cellStyle name="Insatisfaisant 8 2" xfId="3062"/>
    <cellStyle name="Insatisfaisant 8 3" xfId="9543"/>
    <cellStyle name="Insatisfaisant 9" xfId="3063"/>
    <cellStyle name="Insatisfaisant 9 2" xfId="3064"/>
    <cellStyle name="Insatisfaisant 9 3" xfId="9544"/>
    <cellStyle name="IntCells" xfId="3065"/>
    <cellStyle name="IntCells 2" xfId="3066"/>
    <cellStyle name="IntCells 3" xfId="9545"/>
    <cellStyle name="KASS01" xfId="3067"/>
    <cellStyle name="KASS01 2" xfId="3068"/>
    <cellStyle name="KASS01 3" xfId="9546"/>
    <cellStyle name="KP_thin_border_dark_grey" xfId="3069"/>
    <cellStyle name="Lien hypertexte" xfId="3" builtinId="8"/>
    <cellStyle name="Lien hypertexte 10" xfId="3070"/>
    <cellStyle name="Lien hypertexte 10 2" xfId="3071"/>
    <cellStyle name="Lien hypertexte 10 3" xfId="9547"/>
    <cellStyle name="Lien hypertexte 11" xfId="3072"/>
    <cellStyle name="Lien hypertexte 11 2" xfId="3073"/>
    <cellStyle name="Lien hypertexte 11 3" xfId="9548"/>
    <cellStyle name="Lien hypertexte 12" xfId="3074"/>
    <cellStyle name="Lien hypertexte 12 2" xfId="3075"/>
    <cellStyle name="Lien hypertexte 12 3" xfId="7969"/>
    <cellStyle name="Lien hypertexte 13" xfId="3076"/>
    <cellStyle name="Lien hypertexte 13 2" xfId="3077"/>
    <cellStyle name="Lien hypertexte 13 3" xfId="9549"/>
    <cellStyle name="Lien hypertexte 14" xfId="3078"/>
    <cellStyle name="Lien hypertexte 15" xfId="7813"/>
    <cellStyle name="Lien hypertexte 2" xfId="3079"/>
    <cellStyle name="Lien hypertexte 2 10" xfId="3080"/>
    <cellStyle name="Lien hypertexte 2 10 2" xfId="3081"/>
    <cellStyle name="Lien hypertexte 2 10 3" xfId="9550"/>
    <cellStyle name="Lien hypertexte 2 11" xfId="3082"/>
    <cellStyle name="Lien hypertexte 2 11 2" xfId="3083"/>
    <cellStyle name="Lien hypertexte 2 11 3" xfId="9551"/>
    <cellStyle name="Lien hypertexte 2 12" xfId="3084"/>
    <cellStyle name="Lien hypertexte 2 12 2" xfId="3085"/>
    <cellStyle name="Lien hypertexte 2 12 3" xfId="9552"/>
    <cellStyle name="Lien hypertexte 2 13" xfId="3086"/>
    <cellStyle name="Lien hypertexte 2 13 2" xfId="3087"/>
    <cellStyle name="Lien hypertexte 2 13 3" xfId="9553"/>
    <cellStyle name="Lien hypertexte 2 14" xfId="3088"/>
    <cellStyle name="Lien hypertexte 2 15" xfId="7970"/>
    <cellStyle name="Lien hypertexte 2 2" xfId="3089"/>
    <cellStyle name="Lien hypertexte 2 2 2" xfId="3090"/>
    <cellStyle name="Lien hypertexte 2 2 2 2" xfId="3091"/>
    <cellStyle name="Lien hypertexte 2 2 2 3" xfId="9555"/>
    <cellStyle name="Lien hypertexte 2 2 3" xfId="3092"/>
    <cellStyle name="Lien hypertexte 2 2 4" xfId="9554"/>
    <cellStyle name="Lien hypertexte 2 3" xfId="3093"/>
    <cellStyle name="Lien hypertexte 2 3 2" xfId="3094"/>
    <cellStyle name="Lien hypertexte 2 3 2 2" xfId="3095"/>
    <cellStyle name="Lien hypertexte 2 3 2 3" xfId="9557"/>
    <cellStyle name="Lien hypertexte 2 3 3" xfId="3096"/>
    <cellStyle name="Lien hypertexte 2 3 4" xfId="9556"/>
    <cellStyle name="Lien hypertexte 2 4" xfId="3097"/>
    <cellStyle name="Lien hypertexte 2 4 2" xfId="3098"/>
    <cellStyle name="Lien hypertexte 2 4 2 2" xfId="3099"/>
    <cellStyle name="Lien hypertexte 2 4 2 3" xfId="9559"/>
    <cellStyle name="Lien hypertexte 2 4 3" xfId="3100"/>
    <cellStyle name="Lien hypertexte 2 4 4" xfId="9558"/>
    <cellStyle name="Lien hypertexte 2 5" xfId="3101"/>
    <cellStyle name="Lien hypertexte 2 5 2" xfId="3102"/>
    <cellStyle name="Lien hypertexte 2 5 3" xfId="9560"/>
    <cellStyle name="Lien hypertexte 2 6" xfId="3103"/>
    <cellStyle name="Lien hypertexte 2 6 2" xfId="3104"/>
    <cellStyle name="Lien hypertexte 2 6 3" xfId="9561"/>
    <cellStyle name="Lien hypertexte 2 7" xfId="3105"/>
    <cellStyle name="Lien hypertexte 2 7 2" xfId="3106"/>
    <cellStyle name="Lien hypertexte 2 7 3" xfId="9562"/>
    <cellStyle name="Lien hypertexte 2 8" xfId="3107"/>
    <cellStyle name="Lien hypertexte 2 8 2" xfId="3108"/>
    <cellStyle name="Lien hypertexte 2 8 3" xfId="9563"/>
    <cellStyle name="Lien hypertexte 2 9" xfId="3109"/>
    <cellStyle name="Lien hypertexte 2 9 2" xfId="3110"/>
    <cellStyle name="Lien hypertexte 2 9 3" xfId="9564"/>
    <cellStyle name="Lien hypertexte 2_inv-en-1.5.0-02 trame_fiche-emissions" xfId="3111"/>
    <cellStyle name="Lien hypertexte 3" xfId="3112"/>
    <cellStyle name="Lien hypertexte 3 10" xfId="3113"/>
    <cellStyle name="Lien hypertexte 3 10 2" xfId="3114"/>
    <cellStyle name="Lien hypertexte 3 10 3" xfId="9565"/>
    <cellStyle name="Lien hypertexte 3 11" xfId="3115"/>
    <cellStyle name="Lien hypertexte 3 11 2" xfId="3116"/>
    <cellStyle name="Lien hypertexte 3 11 3" xfId="9566"/>
    <cellStyle name="Lien hypertexte 3 12" xfId="3117"/>
    <cellStyle name="Lien hypertexte 3 12 2" xfId="3118"/>
    <cellStyle name="Lien hypertexte 3 12 3" xfId="9567"/>
    <cellStyle name="Lien hypertexte 3 13" xfId="3119"/>
    <cellStyle name="Lien hypertexte 3 14" xfId="7971"/>
    <cellStyle name="Lien hypertexte 3 2" xfId="3120"/>
    <cellStyle name="Lien hypertexte 3 2 2" xfId="3121"/>
    <cellStyle name="Lien hypertexte 3 2 3" xfId="9568"/>
    <cellStyle name="Lien hypertexte 3 3" xfId="3122"/>
    <cellStyle name="Lien hypertexte 3 3 2" xfId="3123"/>
    <cellStyle name="Lien hypertexte 3 3 3" xfId="9569"/>
    <cellStyle name="Lien hypertexte 3 4" xfId="3124"/>
    <cellStyle name="Lien hypertexte 3 4 2" xfId="3125"/>
    <cellStyle name="Lien hypertexte 3 4 3" xfId="9570"/>
    <cellStyle name="Lien hypertexte 3 5" xfId="3126"/>
    <cellStyle name="Lien hypertexte 3 5 2" xfId="3127"/>
    <cellStyle name="Lien hypertexte 3 5 3" xfId="9571"/>
    <cellStyle name="Lien hypertexte 3 6" xfId="3128"/>
    <cellStyle name="Lien hypertexte 3 6 2" xfId="3129"/>
    <cellStyle name="Lien hypertexte 3 6 3" xfId="9572"/>
    <cellStyle name="Lien hypertexte 3 7" xfId="3130"/>
    <cellStyle name="Lien hypertexte 3 7 2" xfId="3131"/>
    <cellStyle name="Lien hypertexte 3 7 3" xfId="9573"/>
    <cellStyle name="Lien hypertexte 3 8" xfId="3132"/>
    <cellStyle name="Lien hypertexte 3 8 2" xfId="3133"/>
    <cellStyle name="Lien hypertexte 3 8 3" xfId="9574"/>
    <cellStyle name="Lien hypertexte 3 9" xfId="3134"/>
    <cellStyle name="Lien hypertexte 3 9 2" xfId="3135"/>
    <cellStyle name="Lien hypertexte 3 9 3" xfId="9575"/>
    <cellStyle name="Lien hypertexte 3_inv-en-1.5.0-02 trame_fiche-emissions" xfId="3136"/>
    <cellStyle name="Lien hypertexte 4" xfId="3137"/>
    <cellStyle name="Lien hypertexte 4 10" xfId="3138"/>
    <cellStyle name="Lien hypertexte 4 10 2" xfId="3139"/>
    <cellStyle name="Lien hypertexte 4 10 3" xfId="9576"/>
    <cellStyle name="Lien hypertexte 4 11" xfId="3140"/>
    <cellStyle name="Lien hypertexte 4 11 2" xfId="3141"/>
    <cellStyle name="Lien hypertexte 4 11 3" xfId="9577"/>
    <cellStyle name="Lien hypertexte 4 12" xfId="3142"/>
    <cellStyle name="Lien hypertexte 4 12 2" xfId="3143"/>
    <cellStyle name="Lien hypertexte 4 12 3" xfId="9578"/>
    <cellStyle name="Lien hypertexte 4 13" xfId="3144"/>
    <cellStyle name="Lien hypertexte 4 14" xfId="7972"/>
    <cellStyle name="Lien hypertexte 4 2" xfId="3145"/>
    <cellStyle name="Lien hypertexte 4 2 2" xfId="3146"/>
    <cellStyle name="Lien hypertexte 4 2 3" xfId="9579"/>
    <cellStyle name="Lien hypertexte 4 3" xfId="3147"/>
    <cellStyle name="Lien hypertexte 4 3 2" xfId="3148"/>
    <cellStyle name="Lien hypertexte 4 3 3" xfId="9580"/>
    <cellStyle name="Lien hypertexte 4 4" xfId="3149"/>
    <cellStyle name="Lien hypertexte 4 4 2" xfId="3150"/>
    <cellStyle name="Lien hypertexte 4 4 3" xfId="9581"/>
    <cellStyle name="Lien hypertexte 4 5" xfId="3151"/>
    <cellStyle name="Lien hypertexte 4 5 2" xfId="3152"/>
    <cellStyle name="Lien hypertexte 4 5 3" xfId="9582"/>
    <cellStyle name="Lien hypertexte 4 6" xfId="3153"/>
    <cellStyle name="Lien hypertexte 4 6 2" xfId="3154"/>
    <cellStyle name="Lien hypertexte 4 6 3" xfId="9583"/>
    <cellStyle name="Lien hypertexte 4 7" xfId="3155"/>
    <cellStyle name="Lien hypertexte 4 7 2" xfId="3156"/>
    <cellStyle name="Lien hypertexte 4 7 3" xfId="9584"/>
    <cellStyle name="Lien hypertexte 4 8" xfId="3157"/>
    <cellStyle name="Lien hypertexte 4 8 2" xfId="3158"/>
    <cellStyle name="Lien hypertexte 4 8 3" xfId="9585"/>
    <cellStyle name="Lien hypertexte 4 9" xfId="3159"/>
    <cellStyle name="Lien hypertexte 4 9 2" xfId="3160"/>
    <cellStyle name="Lien hypertexte 4 9 3" xfId="9586"/>
    <cellStyle name="Lien hypertexte 4_inv-en-1.5.0-02 trame_fiche-emissions" xfId="3161"/>
    <cellStyle name="Lien hypertexte 5" xfId="3162"/>
    <cellStyle name="Lien hypertexte 5 10" xfId="3163"/>
    <cellStyle name="Lien hypertexte 5 10 2" xfId="3164"/>
    <cellStyle name="Lien hypertexte 5 10 3" xfId="9587"/>
    <cellStyle name="Lien hypertexte 5 11" xfId="3165"/>
    <cellStyle name="Lien hypertexte 5 11 2" xfId="3166"/>
    <cellStyle name="Lien hypertexte 5 11 3" xfId="9588"/>
    <cellStyle name="Lien hypertexte 5 12" xfId="3167"/>
    <cellStyle name="Lien hypertexte 5 12 2" xfId="3168"/>
    <cellStyle name="Lien hypertexte 5 12 3" xfId="9589"/>
    <cellStyle name="Lien hypertexte 5 13" xfId="3169"/>
    <cellStyle name="Lien hypertexte 5 14" xfId="7973"/>
    <cellStyle name="Lien hypertexte 5 2" xfId="3170"/>
    <cellStyle name="Lien hypertexte 5 2 2" xfId="3171"/>
    <cellStyle name="Lien hypertexte 5 2 3" xfId="9590"/>
    <cellStyle name="Lien hypertexte 5 3" xfId="3172"/>
    <cellStyle name="Lien hypertexte 5 3 2" xfId="3173"/>
    <cellStyle name="Lien hypertexte 5 3 3" xfId="9591"/>
    <cellStyle name="Lien hypertexte 5 4" xfId="3174"/>
    <cellStyle name="Lien hypertexte 5 4 2" xfId="3175"/>
    <cellStyle name="Lien hypertexte 5 4 3" xfId="9592"/>
    <cellStyle name="Lien hypertexte 5 5" xfId="3176"/>
    <cellStyle name="Lien hypertexte 5 5 2" xfId="3177"/>
    <cellStyle name="Lien hypertexte 5 5 3" xfId="9593"/>
    <cellStyle name="Lien hypertexte 5 6" xfId="3178"/>
    <cellStyle name="Lien hypertexte 5 6 2" xfId="3179"/>
    <cellStyle name="Lien hypertexte 5 6 3" xfId="9594"/>
    <cellStyle name="Lien hypertexte 5 7" xfId="3180"/>
    <cellStyle name="Lien hypertexte 5 7 2" xfId="3181"/>
    <cellStyle name="Lien hypertexte 5 7 3" xfId="9595"/>
    <cellStyle name="Lien hypertexte 5 8" xfId="3182"/>
    <cellStyle name="Lien hypertexte 5 8 2" xfId="3183"/>
    <cellStyle name="Lien hypertexte 5 8 3" xfId="9596"/>
    <cellStyle name="Lien hypertexte 5 9" xfId="3184"/>
    <cellStyle name="Lien hypertexte 5 9 2" xfId="3185"/>
    <cellStyle name="Lien hypertexte 5 9 3" xfId="9597"/>
    <cellStyle name="Lien hypertexte 5_inv-en-1.5.0-02 trame_fiche-emissions" xfId="3186"/>
    <cellStyle name="Lien hypertexte 6" xfId="3187"/>
    <cellStyle name="Lien hypertexte 6 10" xfId="3188"/>
    <cellStyle name="Lien hypertexte 6 10 2" xfId="3189"/>
    <cellStyle name="Lien hypertexte 6 10 3" xfId="9598"/>
    <cellStyle name="Lien hypertexte 6 11" xfId="3190"/>
    <cellStyle name="Lien hypertexte 6 11 2" xfId="3191"/>
    <cellStyle name="Lien hypertexte 6 11 3" xfId="9599"/>
    <cellStyle name="Lien hypertexte 6 12" xfId="3192"/>
    <cellStyle name="Lien hypertexte 6 12 2" xfId="3193"/>
    <cellStyle name="Lien hypertexte 6 12 3" xfId="9600"/>
    <cellStyle name="Lien hypertexte 6 13" xfId="3194"/>
    <cellStyle name="Lien hypertexte 6 14" xfId="7974"/>
    <cellStyle name="Lien hypertexte 6 2" xfId="3195"/>
    <cellStyle name="Lien hypertexte 6 2 2" xfId="3196"/>
    <cellStyle name="Lien hypertexte 6 2 3" xfId="9601"/>
    <cellStyle name="Lien hypertexte 6 3" xfId="3197"/>
    <cellStyle name="Lien hypertexte 6 3 2" xfId="3198"/>
    <cellStyle name="Lien hypertexte 6 3 3" xfId="9602"/>
    <cellStyle name="Lien hypertexte 6 4" xfId="3199"/>
    <cellStyle name="Lien hypertexte 6 4 2" xfId="3200"/>
    <cellStyle name="Lien hypertexte 6 4 3" xfId="9603"/>
    <cellStyle name="Lien hypertexte 6 5" xfId="3201"/>
    <cellStyle name="Lien hypertexte 6 5 2" xfId="3202"/>
    <cellStyle name="Lien hypertexte 6 5 3" xfId="9604"/>
    <cellStyle name="Lien hypertexte 6 6" xfId="3203"/>
    <cellStyle name="Lien hypertexte 6 6 2" xfId="3204"/>
    <cellStyle name="Lien hypertexte 6 6 3" xfId="9605"/>
    <cellStyle name="Lien hypertexte 6 7" xfId="3205"/>
    <cellStyle name="Lien hypertexte 6 7 2" xfId="3206"/>
    <cellStyle name="Lien hypertexte 6 7 3" xfId="9606"/>
    <cellStyle name="Lien hypertexte 6 8" xfId="3207"/>
    <cellStyle name="Lien hypertexte 6 8 2" xfId="3208"/>
    <cellStyle name="Lien hypertexte 6 8 3" xfId="9607"/>
    <cellStyle name="Lien hypertexte 6 9" xfId="3209"/>
    <cellStyle name="Lien hypertexte 6 9 2" xfId="3210"/>
    <cellStyle name="Lien hypertexte 6 9 3" xfId="9608"/>
    <cellStyle name="Lien hypertexte 6_inv-en-1.5.0-02 trame_fiche-emissions" xfId="3211"/>
    <cellStyle name="Lien hypertexte 7" xfId="3212"/>
    <cellStyle name="Lien hypertexte 7 2" xfId="3213"/>
    <cellStyle name="Lien hypertexte 7 2 2" xfId="3214"/>
    <cellStyle name="Lien hypertexte 7 2 2 2" xfId="3215"/>
    <cellStyle name="Lien hypertexte 7 2 2 3" xfId="9610"/>
    <cellStyle name="Lien hypertexte 7 2 3" xfId="3216"/>
    <cellStyle name="Lien hypertexte 7 2 4" xfId="9609"/>
    <cellStyle name="Lien hypertexte 7 3" xfId="3217"/>
    <cellStyle name="Lien hypertexte 7 3 2" xfId="3218"/>
    <cellStyle name="Lien hypertexte 7 3 2 2" xfId="3219"/>
    <cellStyle name="Lien hypertexte 7 3 2 3" xfId="9612"/>
    <cellStyle name="Lien hypertexte 7 3 3" xfId="3220"/>
    <cellStyle name="Lien hypertexte 7 3 4" xfId="9611"/>
    <cellStyle name="Lien hypertexte 7 4" xfId="3221"/>
    <cellStyle name="Lien hypertexte 7 4 2" xfId="3222"/>
    <cellStyle name="Lien hypertexte 7 4 3" xfId="9613"/>
    <cellStyle name="Lien hypertexte 7 5" xfId="3223"/>
    <cellStyle name="Lien hypertexte 7 6" xfId="7975"/>
    <cellStyle name="Lien hypertexte 8" xfId="3224"/>
    <cellStyle name="Lien hypertexte 8 2" xfId="3225"/>
    <cellStyle name="Lien hypertexte 8 2 2" xfId="3226"/>
    <cellStyle name="Lien hypertexte 8 2 3" xfId="9615"/>
    <cellStyle name="Lien hypertexte 8 3" xfId="3227"/>
    <cellStyle name="Lien hypertexte 8 4" xfId="9614"/>
    <cellStyle name="Lien hypertexte 9" xfId="3228"/>
    <cellStyle name="Lien hypertexte 9 2" xfId="3229"/>
    <cellStyle name="Lien hypertexte 9 2 2" xfId="3230"/>
    <cellStyle name="Lien hypertexte 9 2 3" xfId="9617"/>
    <cellStyle name="Lien hypertexte 9 3" xfId="3231"/>
    <cellStyle name="Lien hypertexte 9 3 2" xfId="3232"/>
    <cellStyle name="Lien hypertexte 9 3 3" xfId="9618"/>
    <cellStyle name="Lien hypertexte 9 4" xfId="3233"/>
    <cellStyle name="Lien hypertexte 9 5" xfId="9616"/>
    <cellStyle name="mill" xfId="3234"/>
    <cellStyle name="mill 2" xfId="3235"/>
    <cellStyle name="mill 3" xfId="9619"/>
    <cellStyle name="Milliers" xfId="1" builtinId="3"/>
    <cellStyle name="Milliers 10" xfId="3236"/>
    <cellStyle name="Milliers 10 2" xfId="3237"/>
    <cellStyle name="Milliers 10 2 2" xfId="3238"/>
    <cellStyle name="Milliers 10 2 2 2" xfId="3239"/>
    <cellStyle name="Milliers 10 2 2 3" xfId="9622"/>
    <cellStyle name="Milliers 10 2 3" xfId="3240"/>
    <cellStyle name="Milliers 10 2 3 2" xfId="11900"/>
    <cellStyle name="Milliers 10 2 4" xfId="9621"/>
    <cellStyle name="Milliers 10 3" xfId="3241"/>
    <cellStyle name="Milliers 10 3 2" xfId="3242"/>
    <cellStyle name="Milliers 10 3 3" xfId="9623"/>
    <cellStyle name="Milliers 10 4" xfId="3243"/>
    <cellStyle name="Milliers 10 4 2" xfId="3244"/>
    <cellStyle name="Milliers 10 4 2 2" xfId="11901"/>
    <cellStyle name="Milliers 10 4 3" xfId="9624"/>
    <cellStyle name="Milliers 10 5" xfId="3245"/>
    <cellStyle name="Milliers 10 5 2" xfId="11899"/>
    <cellStyle name="Milliers 10 6" xfId="9620"/>
    <cellStyle name="Milliers 11" xfId="3246"/>
    <cellStyle name="Milliers 11 2" xfId="3247"/>
    <cellStyle name="Milliers 11 2 2" xfId="3248"/>
    <cellStyle name="Milliers 11 2 3" xfId="9626"/>
    <cellStyle name="Milliers 11 3" xfId="3249"/>
    <cellStyle name="Milliers 11 4" xfId="9625"/>
    <cellStyle name="Milliers 12" xfId="3250"/>
    <cellStyle name="Milliers 12 2" xfId="3251"/>
    <cellStyle name="Milliers 12 2 2" xfId="3252"/>
    <cellStyle name="Milliers 12 2 3" xfId="9628"/>
    <cellStyle name="Milliers 12 3" xfId="3253"/>
    <cellStyle name="Milliers 12 3 2" xfId="11902"/>
    <cellStyle name="Milliers 12 4" xfId="9627"/>
    <cellStyle name="Milliers 13" xfId="3254"/>
    <cellStyle name="Milliers 13 2" xfId="3255"/>
    <cellStyle name="Milliers 13 2 2" xfId="3256"/>
    <cellStyle name="Milliers 13 2 3" xfId="9630"/>
    <cellStyle name="Milliers 13 3" xfId="3257"/>
    <cellStyle name="Milliers 13 3 2" xfId="11903"/>
    <cellStyle name="Milliers 13 4" xfId="3258"/>
    <cellStyle name="Milliers 13 5" xfId="9629"/>
    <cellStyle name="Milliers 14" xfId="3259"/>
    <cellStyle name="Milliers 14 2" xfId="3260"/>
    <cellStyle name="Milliers 14 2 2" xfId="11904"/>
    <cellStyle name="Milliers 14 3" xfId="9631"/>
    <cellStyle name="Milliers 15" xfId="3261"/>
    <cellStyle name="Milliers 15 2" xfId="3262"/>
    <cellStyle name="Milliers 15 3" xfId="9632"/>
    <cellStyle name="Milliers 16" xfId="3263"/>
    <cellStyle name="Milliers 16 2" xfId="3264"/>
    <cellStyle name="Milliers 16 3" xfId="3265"/>
    <cellStyle name="Milliers 16 4" xfId="8207"/>
    <cellStyle name="Milliers 17" xfId="3266"/>
    <cellStyle name="Milliers 17 2" xfId="3267"/>
    <cellStyle name="Milliers 17 3" xfId="7976"/>
    <cellStyle name="Milliers 2" xfId="3268"/>
    <cellStyle name="Milliers 2 10" xfId="3269"/>
    <cellStyle name="Milliers 2 10 2" xfId="3270"/>
    <cellStyle name="Milliers 2 10 3" xfId="9633"/>
    <cellStyle name="Milliers 2 11" xfId="3271"/>
    <cellStyle name="Milliers 2 11 2" xfId="3272"/>
    <cellStyle name="Milliers 2 11 3" xfId="9634"/>
    <cellStyle name="Milliers 2 12" xfId="3273"/>
    <cellStyle name="Milliers 2 12 2" xfId="3274"/>
    <cellStyle name="Milliers 2 12 3" xfId="9635"/>
    <cellStyle name="Milliers 2 13" xfId="3275"/>
    <cellStyle name="Milliers 2 13 2" xfId="3276"/>
    <cellStyle name="Milliers 2 13 3" xfId="9636"/>
    <cellStyle name="Milliers 2 14" xfId="3277"/>
    <cellStyle name="Milliers 2 14 2" xfId="3278"/>
    <cellStyle name="Milliers 2 14 3" xfId="9637"/>
    <cellStyle name="Milliers 2 15" xfId="3279"/>
    <cellStyle name="Milliers 2 15 2" xfId="3280"/>
    <cellStyle name="Milliers 2 15 3" xfId="7977"/>
    <cellStyle name="Milliers 2 16" xfId="3281"/>
    <cellStyle name="Milliers 2 17" xfId="3282"/>
    <cellStyle name="Milliers 2 18" xfId="7796"/>
    <cellStyle name="Milliers 2 2" xfId="3283"/>
    <cellStyle name="Milliers 2 2 2" xfId="3284"/>
    <cellStyle name="Milliers 2 2 2 2" xfId="3285"/>
    <cellStyle name="Milliers 2 2 2 2 2" xfId="3286"/>
    <cellStyle name="Milliers 2 2 2 2 3" xfId="9638"/>
    <cellStyle name="Milliers 2 2 2 3" xfId="3287"/>
    <cellStyle name="Milliers 2 2 2 4" xfId="7979"/>
    <cellStyle name="Milliers 2 2 3" xfId="3288"/>
    <cellStyle name="Milliers 2 2 3 2" xfId="3289"/>
    <cellStyle name="Milliers 2 2 3 2 2" xfId="3290"/>
    <cellStyle name="Milliers 2 2 3 2 3" xfId="9640"/>
    <cellStyle name="Milliers 2 2 3 3" xfId="3291"/>
    <cellStyle name="Milliers 2 2 3 3 2" xfId="3292"/>
    <cellStyle name="Milliers 2 2 3 3 3" xfId="9641"/>
    <cellStyle name="Milliers 2 2 3 4" xfId="3293"/>
    <cellStyle name="Milliers 2 2 3 5" xfId="9639"/>
    <cellStyle name="Milliers 2 2 4" xfId="3294"/>
    <cellStyle name="Milliers 2 2 4 2" xfId="3295"/>
    <cellStyle name="Milliers 2 2 4 2 2" xfId="3296"/>
    <cellStyle name="Milliers 2 2 4 2 3" xfId="9643"/>
    <cellStyle name="Milliers 2 2 4 3" xfId="3297"/>
    <cellStyle name="Milliers 2 2 4 4" xfId="9642"/>
    <cellStyle name="Milliers 2 2 5" xfId="3298"/>
    <cellStyle name="Milliers 2 2 5 2" xfId="3299"/>
    <cellStyle name="Milliers 2 2 5 3" xfId="9644"/>
    <cellStyle name="Milliers 2 2 6" xfId="3300"/>
    <cellStyle name="Milliers 2 2 6 2" xfId="3301"/>
    <cellStyle name="Milliers 2 2 6 3" xfId="9645"/>
    <cellStyle name="Milliers 2 2 7" xfId="3302"/>
    <cellStyle name="Milliers 2 2 7 2" xfId="3303"/>
    <cellStyle name="Milliers 2 2 7 3" xfId="9646"/>
    <cellStyle name="Milliers 2 2 8" xfId="3304"/>
    <cellStyle name="Milliers 2 2 9" xfId="7978"/>
    <cellStyle name="Milliers 2 3" xfId="3305"/>
    <cellStyle name="Milliers 2 3 2" xfId="3306"/>
    <cellStyle name="Milliers 2 3 2 2" xfId="3307"/>
    <cellStyle name="Milliers 2 3 2 2 2" xfId="3308"/>
    <cellStyle name="Milliers 2 3 2 2 3" xfId="9649"/>
    <cellStyle name="Milliers 2 3 2 3" xfId="3309"/>
    <cellStyle name="Milliers 2 3 2 3 2" xfId="3310"/>
    <cellStyle name="Milliers 2 3 2 3 3" xfId="9650"/>
    <cellStyle name="Milliers 2 3 2 4" xfId="3311"/>
    <cellStyle name="Milliers 2 3 2 5" xfId="9648"/>
    <cellStyle name="Milliers 2 3 3" xfId="3312"/>
    <cellStyle name="Milliers 2 3 3 2" xfId="3313"/>
    <cellStyle name="Milliers 2 3 3 3" xfId="9651"/>
    <cellStyle name="Milliers 2 3 4" xfId="3314"/>
    <cellStyle name="Milliers 2 3 4 2" xfId="3315"/>
    <cellStyle name="Milliers 2 3 4 3" xfId="9652"/>
    <cellStyle name="Milliers 2 3 5" xfId="3316"/>
    <cellStyle name="Milliers 2 3 6" xfId="9647"/>
    <cellStyle name="Milliers 2 4" xfId="3317"/>
    <cellStyle name="Milliers 2 4 2" xfId="3318"/>
    <cellStyle name="Milliers 2 4 2 2" xfId="3319"/>
    <cellStyle name="Milliers 2 4 2 3" xfId="9654"/>
    <cellStyle name="Milliers 2 4 3" xfId="3320"/>
    <cellStyle name="Milliers 2 4 3 2" xfId="3321"/>
    <cellStyle name="Milliers 2 4 3 3" xfId="9655"/>
    <cellStyle name="Milliers 2 4 4" xfId="3322"/>
    <cellStyle name="Milliers 2 4 4 2" xfId="3323"/>
    <cellStyle name="Milliers 2 4 4 3" xfId="9656"/>
    <cellStyle name="Milliers 2 4 5" xfId="3324"/>
    <cellStyle name="Milliers 2 4 6" xfId="9653"/>
    <cellStyle name="Milliers 2 5" xfId="3325"/>
    <cellStyle name="Milliers 2 5 2" xfId="3326"/>
    <cellStyle name="Milliers 2 5 2 2" xfId="3327"/>
    <cellStyle name="Milliers 2 5 2 3" xfId="9658"/>
    <cellStyle name="Milliers 2 5 3" xfId="3328"/>
    <cellStyle name="Milliers 2 5 3 2" xfId="3329"/>
    <cellStyle name="Milliers 2 5 3 3" xfId="9659"/>
    <cellStyle name="Milliers 2 5 4" xfId="3330"/>
    <cellStyle name="Milliers 2 5 5" xfId="9657"/>
    <cellStyle name="Milliers 2 6" xfId="3331"/>
    <cellStyle name="Milliers 2 6 2" xfId="3332"/>
    <cellStyle name="Milliers 2 6 2 2" xfId="3333"/>
    <cellStyle name="Milliers 2 6 2 3" xfId="9661"/>
    <cellStyle name="Milliers 2 6 3" xfId="3334"/>
    <cellStyle name="Milliers 2 6 3 2" xfId="3335"/>
    <cellStyle name="Milliers 2 6 3 3" xfId="9662"/>
    <cellStyle name="Milliers 2 6 4" xfId="3336"/>
    <cellStyle name="Milliers 2 6 5" xfId="9660"/>
    <cellStyle name="Milliers 2 7" xfId="3337"/>
    <cellStyle name="Milliers 2 7 2" xfId="3338"/>
    <cellStyle name="Milliers 2 7 2 2" xfId="3339"/>
    <cellStyle name="Milliers 2 7 2 3" xfId="9664"/>
    <cellStyle name="Milliers 2 7 3" xfId="3340"/>
    <cellStyle name="Milliers 2 7 4" xfId="9663"/>
    <cellStyle name="Milliers 2 8" xfId="3341"/>
    <cellStyle name="Milliers 2 8 2" xfId="3342"/>
    <cellStyle name="Milliers 2 8 2 2" xfId="3343"/>
    <cellStyle name="Milliers 2 8 2 3" xfId="9666"/>
    <cellStyle name="Milliers 2 8 3" xfId="3344"/>
    <cellStyle name="Milliers 2 8 4" xfId="9665"/>
    <cellStyle name="Milliers 2 9" xfId="3345"/>
    <cellStyle name="Milliers 2 9 2" xfId="3346"/>
    <cellStyle name="Milliers 2 9 2 2" xfId="3347"/>
    <cellStyle name="Milliers 2 9 2 3" xfId="9668"/>
    <cellStyle name="Milliers 2 9 3" xfId="3348"/>
    <cellStyle name="Milliers 2 9 4" xfId="9667"/>
    <cellStyle name="Milliers 3" xfId="3349"/>
    <cellStyle name="Milliers 3 10" xfId="3350"/>
    <cellStyle name="Milliers 3 10 2" xfId="3351"/>
    <cellStyle name="Milliers 3 10 3" xfId="9669"/>
    <cellStyle name="Milliers 3 11" xfId="3352"/>
    <cellStyle name="Milliers 3 11 2" xfId="3353"/>
    <cellStyle name="Milliers 3 11 3" xfId="9670"/>
    <cellStyle name="Milliers 3 12" xfId="3354"/>
    <cellStyle name="Milliers 3 12 2" xfId="3355"/>
    <cellStyle name="Milliers 3 12 3" xfId="9671"/>
    <cellStyle name="Milliers 3 13" xfId="3356"/>
    <cellStyle name="Milliers 3 13 2" xfId="3357"/>
    <cellStyle name="Milliers 3 13 3" xfId="9672"/>
    <cellStyle name="Milliers 3 14" xfId="3358"/>
    <cellStyle name="Milliers 3 15" xfId="7980"/>
    <cellStyle name="Milliers 3 2" xfId="3359"/>
    <cellStyle name="Milliers 3 2 2" xfId="3360"/>
    <cellStyle name="Milliers 3 2 2 2" xfId="3361"/>
    <cellStyle name="Milliers 3 2 2 2 2" xfId="3362"/>
    <cellStyle name="Milliers 3 2 2 2 3" xfId="9674"/>
    <cellStyle name="Milliers 3 2 2 3" xfId="3363"/>
    <cellStyle name="Milliers 3 2 2 4" xfId="9673"/>
    <cellStyle name="Milliers 3 2 3" xfId="3364"/>
    <cellStyle name="Milliers 3 2 3 2" xfId="3365"/>
    <cellStyle name="Milliers 3 2 3 2 2" xfId="3366"/>
    <cellStyle name="Milliers 3 2 3 2 3" xfId="9676"/>
    <cellStyle name="Milliers 3 2 3 3" xfId="3367"/>
    <cellStyle name="Milliers 3 2 3 4" xfId="9675"/>
    <cellStyle name="Milliers 3 2 4" xfId="3368"/>
    <cellStyle name="Milliers 3 2 4 2" xfId="3369"/>
    <cellStyle name="Milliers 3 2 4 2 2" xfId="3370"/>
    <cellStyle name="Milliers 3 2 4 2 3" xfId="9678"/>
    <cellStyle name="Milliers 3 2 4 3" xfId="3371"/>
    <cellStyle name="Milliers 3 2 4 4" xfId="9677"/>
    <cellStyle name="Milliers 3 2 5" xfId="3372"/>
    <cellStyle name="Milliers 3 2 5 2" xfId="3373"/>
    <cellStyle name="Milliers 3 2 5 3" xfId="9679"/>
    <cellStyle name="Milliers 3 2 6" xfId="3374"/>
    <cellStyle name="Milliers 3 2 6 2" xfId="3375"/>
    <cellStyle name="Milliers 3 2 6 3" xfId="9680"/>
    <cellStyle name="Milliers 3 2 7" xfId="3376"/>
    <cellStyle name="Milliers 3 2 7 2" xfId="3377"/>
    <cellStyle name="Milliers 3 2 7 3" xfId="9681"/>
    <cellStyle name="Milliers 3 2 8" xfId="3378"/>
    <cellStyle name="Milliers 3 2 9" xfId="7981"/>
    <cellStyle name="Milliers 3 3" xfId="3379"/>
    <cellStyle name="Milliers 3 3 2" xfId="3380"/>
    <cellStyle name="Milliers 3 3 2 2" xfId="3381"/>
    <cellStyle name="Milliers 3 3 2 3" xfId="9683"/>
    <cellStyle name="Milliers 3 3 3" xfId="3382"/>
    <cellStyle name="Milliers 3 3 4" xfId="9682"/>
    <cellStyle name="Milliers 3 4" xfId="3383"/>
    <cellStyle name="Milliers 3 4 2" xfId="3384"/>
    <cellStyle name="Milliers 3 4 2 2" xfId="3385"/>
    <cellStyle name="Milliers 3 4 2 3" xfId="9685"/>
    <cellStyle name="Milliers 3 4 3" xfId="3386"/>
    <cellStyle name="Milliers 3 4 4" xfId="9684"/>
    <cellStyle name="Milliers 3 5" xfId="3387"/>
    <cellStyle name="Milliers 3 5 2" xfId="3388"/>
    <cellStyle name="Milliers 3 5 2 2" xfId="3389"/>
    <cellStyle name="Milliers 3 5 2 3" xfId="9687"/>
    <cellStyle name="Milliers 3 5 3" xfId="3390"/>
    <cellStyle name="Milliers 3 5 4" xfId="9686"/>
    <cellStyle name="Milliers 3 6" xfId="3391"/>
    <cellStyle name="Milliers 3 6 2" xfId="3392"/>
    <cellStyle name="Milliers 3 6 2 2" xfId="3393"/>
    <cellStyle name="Milliers 3 6 2 3" xfId="9689"/>
    <cellStyle name="Milliers 3 6 3" xfId="3394"/>
    <cellStyle name="Milliers 3 6 4" xfId="9688"/>
    <cellStyle name="Milliers 3 7" xfId="3395"/>
    <cellStyle name="Milliers 3 7 2" xfId="3396"/>
    <cellStyle name="Milliers 3 7 2 2" xfId="3397"/>
    <cellStyle name="Milliers 3 7 2 3" xfId="9691"/>
    <cellStyle name="Milliers 3 7 3" xfId="3398"/>
    <cellStyle name="Milliers 3 7 4" xfId="9690"/>
    <cellStyle name="Milliers 3 8" xfId="3399"/>
    <cellStyle name="Milliers 3 8 2" xfId="3400"/>
    <cellStyle name="Milliers 3 8 2 2" xfId="3401"/>
    <cellStyle name="Milliers 3 8 2 3" xfId="9693"/>
    <cellStyle name="Milliers 3 8 3" xfId="3402"/>
    <cellStyle name="Milliers 3 8 4" xfId="9692"/>
    <cellStyle name="Milliers 3 9" xfId="3403"/>
    <cellStyle name="Milliers 3 9 2" xfId="3404"/>
    <cellStyle name="Milliers 3 9 2 2" xfId="3405"/>
    <cellStyle name="Milliers 3 9 2 3" xfId="9695"/>
    <cellStyle name="Milliers 3 9 3" xfId="3406"/>
    <cellStyle name="Milliers 3 9 4" xfId="9694"/>
    <cellStyle name="Milliers 4" xfId="3407"/>
    <cellStyle name="Milliers 4 10" xfId="3408"/>
    <cellStyle name="Milliers 4 10 2" xfId="3409"/>
    <cellStyle name="Milliers 4 10 3" xfId="9696"/>
    <cellStyle name="Milliers 4 11" xfId="3410"/>
    <cellStyle name="Milliers 4 11 2" xfId="3411"/>
    <cellStyle name="Milliers 4 11 3" xfId="9697"/>
    <cellStyle name="Milliers 4 12" xfId="3412"/>
    <cellStyle name="Milliers 4 12 2" xfId="3413"/>
    <cellStyle name="Milliers 4 12 3" xfId="9698"/>
    <cellStyle name="Milliers 4 13" xfId="3414"/>
    <cellStyle name="Milliers 4 13 2" xfId="3415"/>
    <cellStyle name="Milliers 4 13 3" xfId="9699"/>
    <cellStyle name="Milliers 4 14" xfId="3416"/>
    <cellStyle name="Milliers 4 15" xfId="7982"/>
    <cellStyle name="Milliers 4 2" xfId="3417"/>
    <cellStyle name="Milliers 4 2 2" xfId="3418"/>
    <cellStyle name="Milliers 4 2 2 2" xfId="3419"/>
    <cellStyle name="Milliers 4 2 2 3" xfId="9700"/>
    <cellStyle name="Milliers 4 2 3" xfId="3420"/>
    <cellStyle name="Milliers 4 2 4" xfId="7983"/>
    <cellStyle name="Milliers 4 3" xfId="3421"/>
    <cellStyle name="Milliers 4 3 2" xfId="3422"/>
    <cellStyle name="Milliers 4 3 2 2" xfId="3423"/>
    <cellStyle name="Milliers 4 3 2 3" xfId="9702"/>
    <cellStyle name="Milliers 4 3 3" xfId="3424"/>
    <cellStyle name="Milliers 4 3 4" xfId="9701"/>
    <cellStyle name="Milliers 4 4" xfId="3425"/>
    <cellStyle name="Milliers 4 4 2" xfId="3426"/>
    <cellStyle name="Milliers 4 4 2 2" xfId="3427"/>
    <cellStyle name="Milliers 4 4 2 3" xfId="9704"/>
    <cellStyle name="Milliers 4 4 3" xfId="3428"/>
    <cellStyle name="Milliers 4 4 4" xfId="9703"/>
    <cellStyle name="Milliers 4 5" xfId="3429"/>
    <cellStyle name="Milliers 4 5 2" xfId="3430"/>
    <cellStyle name="Milliers 4 5 3" xfId="9705"/>
    <cellStyle name="Milliers 4 6" xfId="3431"/>
    <cellStyle name="Milliers 4 6 2" xfId="3432"/>
    <cellStyle name="Milliers 4 6 3" xfId="9706"/>
    <cellStyle name="Milliers 4 7" xfId="3433"/>
    <cellStyle name="Milliers 4 7 2" xfId="3434"/>
    <cellStyle name="Milliers 4 7 3" xfId="9707"/>
    <cellStyle name="Milliers 4 8" xfId="3435"/>
    <cellStyle name="Milliers 4 8 2" xfId="3436"/>
    <cellStyle name="Milliers 4 8 3" xfId="9708"/>
    <cellStyle name="Milliers 4 9" xfId="3437"/>
    <cellStyle name="Milliers 4 9 2" xfId="3438"/>
    <cellStyle name="Milliers 4 9 3" xfId="9709"/>
    <cellStyle name="Milliers 42" xfId="3439"/>
    <cellStyle name="Milliers 42 2" xfId="3440"/>
    <cellStyle name="Milliers 42 3" xfId="9710"/>
    <cellStyle name="Milliers 43" xfId="3441"/>
    <cellStyle name="Milliers 43 2" xfId="3442"/>
    <cellStyle name="Milliers 43 3" xfId="9711"/>
    <cellStyle name="Milliers 44" xfId="3443"/>
    <cellStyle name="Milliers 44 2" xfId="3444"/>
    <cellStyle name="Milliers 44 2 2" xfId="3445"/>
    <cellStyle name="Milliers 44 2 3" xfId="9713"/>
    <cellStyle name="Milliers 44 3" xfId="3446"/>
    <cellStyle name="Milliers 44 4" xfId="9712"/>
    <cellStyle name="Milliers 45" xfId="3447"/>
    <cellStyle name="Milliers 45 2" xfId="3448"/>
    <cellStyle name="Milliers 45 3" xfId="9714"/>
    <cellStyle name="Milliers 46" xfId="3449"/>
    <cellStyle name="Milliers 46 2" xfId="3450"/>
    <cellStyle name="Milliers 46 3" xfId="9715"/>
    <cellStyle name="Milliers 5" xfId="3451"/>
    <cellStyle name="Milliers 5 10" xfId="3452"/>
    <cellStyle name="Milliers 5 10 2" xfId="3453"/>
    <cellStyle name="Milliers 5 10 3" xfId="9716"/>
    <cellStyle name="Milliers 5 11" xfId="3454"/>
    <cellStyle name="Milliers 5 11 2" xfId="3455"/>
    <cellStyle name="Milliers 5 11 3" xfId="9717"/>
    <cellStyle name="Milliers 5 12" xfId="3456"/>
    <cellStyle name="Milliers 5 12 2" xfId="3457"/>
    <cellStyle name="Milliers 5 12 3" xfId="9718"/>
    <cellStyle name="Milliers 5 13" xfId="3458"/>
    <cellStyle name="Milliers 5 13 2" xfId="3459"/>
    <cellStyle name="Milliers 5 13 3" xfId="9719"/>
    <cellStyle name="Milliers 5 14" xfId="3460"/>
    <cellStyle name="Milliers 5 15" xfId="7984"/>
    <cellStyle name="Milliers 5 2" xfId="3461"/>
    <cellStyle name="Milliers 5 2 2" xfId="3462"/>
    <cellStyle name="Milliers 5 2 2 2" xfId="3463"/>
    <cellStyle name="Milliers 5 2 2 3" xfId="9720"/>
    <cellStyle name="Milliers 5 2 3" xfId="3464"/>
    <cellStyle name="Milliers 5 2 4" xfId="7985"/>
    <cellStyle name="Milliers 5 3" xfId="3465"/>
    <cellStyle name="Milliers 5 3 2" xfId="3466"/>
    <cellStyle name="Milliers 5 3 2 2" xfId="3467"/>
    <cellStyle name="Milliers 5 3 2 3" xfId="9722"/>
    <cellStyle name="Milliers 5 3 3" xfId="3468"/>
    <cellStyle name="Milliers 5 3 4" xfId="9721"/>
    <cellStyle name="Milliers 5 4" xfId="3469"/>
    <cellStyle name="Milliers 5 4 2" xfId="3470"/>
    <cellStyle name="Milliers 5 4 2 2" xfId="3471"/>
    <cellStyle name="Milliers 5 4 2 3" xfId="9724"/>
    <cellStyle name="Milliers 5 4 3" xfId="3472"/>
    <cellStyle name="Milliers 5 4 4" xfId="9723"/>
    <cellStyle name="Milliers 5 5" xfId="3473"/>
    <cellStyle name="Milliers 5 5 2" xfId="3474"/>
    <cellStyle name="Milliers 5 5 3" xfId="9725"/>
    <cellStyle name="Milliers 5 6" xfId="3475"/>
    <cellStyle name="Milliers 5 6 2" xfId="3476"/>
    <cellStyle name="Milliers 5 6 3" xfId="9726"/>
    <cellStyle name="Milliers 5 7" xfId="3477"/>
    <cellStyle name="Milliers 5 7 2" xfId="3478"/>
    <cellStyle name="Milliers 5 7 3" xfId="9727"/>
    <cellStyle name="Milliers 5 8" xfId="3479"/>
    <cellStyle name="Milliers 5 8 2" xfId="3480"/>
    <cellStyle name="Milliers 5 8 3" xfId="9728"/>
    <cellStyle name="Milliers 5 9" xfId="3481"/>
    <cellStyle name="Milliers 5 9 2" xfId="3482"/>
    <cellStyle name="Milliers 5 9 3" xfId="9729"/>
    <cellStyle name="Milliers 6" xfId="3483"/>
    <cellStyle name="Milliers 6 10" xfId="3484"/>
    <cellStyle name="Milliers 6 10 2" xfId="3485"/>
    <cellStyle name="Milliers 6 10 3" xfId="9730"/>
    <cellStyle name="Milliers 6 11" xfId="3486"/>
    <cellStyle name="Milliers 6 11 2" xfId="3487"/>
    <cellStyle name="Milliers 6 11 3" xfId="9731"/>
    <cellStyle name="Milliers 6 12" xfId="3488"/>
    <cellStyle name="Milliers 6 12 2" xfId="3489"/>
    <cellStyle name="Milliers 6 12 3" xfId="9732"/>
    <cellStyle name="Milliers 6 13" xfId="3490"/>
    <cellStyle name="Milliers 6 13 2" xfId="3491"/>
    <cellStyle name="Milliers 6 13 3" xfId="9733"/>
    <cellStyle name="Milliers 6 14" xfId="3492"/>
    <cellStyle name="Milliers 6 15" xfId="7986"/>
    <cellStyle name="Milliers 6 2" xfId="3493"/>
    <cellStyle name="Milliers 6 2 2" xfId="3494"/>
    <cellStyle name="Milliers 6 2 2 2" xfId="3495"/>
    <cellStyle name="Milliers 6 2 2 3" xfId="9734"/>
    <cellStyle name="Milliers 6 2 3" xfId="3496"/>
    <cellStyle name="Milliers 6 2 4" xfId="7987"/>
    <cellStyle name="Milliers 6 3" xfId="3497"/>
    <cellStyle name="Milliers 6 3 2" xfId="3498"/>
    <cellStyle name="Milliers 6 3 3" xfId="9735"/>
    <cellStyle name="Milliers 6 4" xfId="3499"/>
    <cellStyle name="Milliers 6 4 2" xfId="3500"/>
    <cellStyle name="Milliers 6 4 3" xfId="9736"/>
    <cellStyle name="Milliers 6 5" xfId="3501"/>
    <cellStyle name="Milliers 6 5 2" xfId="3502"/>
    <cellStyle name="Milliers 6 5 3" xfId="9737"/>
    <cellStyle name="Milliers 6 6" xfId="3503"/>
    <cellStyle name="Milliers 6 6 2" xfId="3504"/>
    <cellStyle name="Milliers 6 6 3" xfId="9738"/>
    <cellStyle name="Milliers 6 7" xfId="3505"/>
    <cellStyle name="Milliers 6 7 2" xfId="3506"/>
    <cellStyle name="Milliers 6 7 3" xfId="9739"/>
    <cellStyle name="Milliers 6 8" xfId="3507"/>
    <cellStyle name="Milliers 6 8 2" xfId="3508"/>
    <cellStyle name="Milliers 6 8 3" xfId="9740"/>
    <cellStyle name="Milliers 6 9" xfId="3509"/>
    <cellStyle name="Milliers 6 9 2" xfId="3510"/>
    <cellStyle name="Milliers 6 9 3" xfId="9741"/>
    <cellStyle name="Milliers 7" xfId="3511"/>
    <cellStyle name="Milliers 7 2" xfId="3512"/>
    <cellStyle name="Milliers 7 2 2" xfId="3513"/>
    <cellStyle name="Milliers 7 2 2 2" xfId="3514"/>
    <cellStyle name="Milliers 7 2 2 2 2" xfId="3515"/>
    <cellStyle name="Milliers 7 2 2 2 3" xfId="9744"/>
    <cellStyle name="Milliers 7 2 2 3" xfId="3516"/>
    <cellStyle name="Milliers 7 2 2 4" xfId="9743"/>
    <cellStyle name="Milliers 7 2 3" xfId="3517"/>
    <cellStyle name="Milliers 7 2 3 2" xfId="3518"/>
    <cellStyle name="Milliers 7 2 3 3" xfId="9745"/>
    <cellStyle name="Milliers 7 2 4" xfId="3519"/>
    <cellStyle name="Milliers 7 2 4 2" xfId="3520"/>
    <cellStyle name="Milliers 7 2 4 3" xfId="9746"/>
    <cellStyle name="Milliers 7 2 5" xfId="3521"/>
    <cellStyle name="Milliers 7 2 6" xfId="9742"/>
    <cellStyle name="Milliers 7 3" xfId="3522"/>
    <cellStyle name="Milliers 7 3 2" xfId="3523"/>
    <cellStyle name="Milliers 7 3 2 2" xfId="3524"/>
    <cellStyle name="Milliers 7 3 2 3" xfId="9748"/>
    <cellStyle name="Milliers 7 3 3" xfId="3525"/>
    <cellStyle name="Milliers 7 3 4" xfId="9747"/>
    <cellStyle name="Milliers 7 4" xfId="3526"/>
    <cellStyle name="Milliers 7 4 2" xfId="3527"/>
    <cellStyle name="Milliers 7 4 2 2" xfId="3528"/>
    <cellStyle name="Milliers 7 4 2 2 2" xfId="11905"/>
    <cellStyle name="Milliers 7 4 2 3" xfId="9750"/>
    <cellStyle name="Milliers 7 4 3" xfId="3529"/>
    <cellStyle name="Milliers 7 4 3 2" xfId="3530"/>
    <cellStyle name="Milliers 7 4 3 3" xfId="9751"/>
    <cellStyle name="Milliers 7 4 4" xfId="3531"/>
    <cellStyle name="Milliers 7 4 5" xfId="9749"/>
    <cellStyle name="Milliers 7 5" xfId="3532"/>
    <cellStyle name="Milliers 7 5 2" xfId="3533"/>
    <cellStyle name="Milliers 7 5 2 2" xfId="3534"/>
    <cellStyle name="Milliers 7 5 2 3" xfId="9753"/>
    <cellStyle name="Milliers 7 5 3" xfId="3535"/>
    <cellStyle name="Milliers 7 5 4" xfId="9752"/>
    <cellStyle name="Milliers 7 6" xfId="3536"/>
    <cellStyle name="Milliers 7 6 2" xfId="3537"/>
    <cellStyle name="Milliers 7 6 2 2" xfId="11906"/>
    <cellStyle name="Milliers 7 6 3" xfId="9754"/>
    <cellStyle name="Milliers 7 7" xfId="3538"/>
    <cellStyle name="Milliers 7 7 2" xfId="3539"/>
    <cellStyle name="Milliers 7 7 3" xfId="9755"/>
    <cellStyle name="Milliers 7 8" xfId="3540"/>
    <cellStyle name="Milliers 7 9" xfId="7988"/>
    <cellStyle name="Milliers 8" xfId="3541"/>
    <cellStyle name="Milliers 8 2" xfId="3542"/>
    <cellStyle name="Milliers 8 2 2" xfId="3543"/>
    <cellStyle name="Milliers 8 2 3" xfId="9756"/>
    <cellStyle name="Milliers 8 3" xfId="3544"/>
    <cellStyle name="Milliers 8 3 2" xfId="3545"/>
    <cellStyle name="Milliers 8 3 2 2" xfId="11907"/>
    <cellStyle name="Milliers 8 3 3" xfId="9757"/>
    <cellStyle name="Milliers 8 4" xfId="3546"/>
    <cellStyle name="Milliers 8 4 2" xfId="3547"/>
    <cellStyle name="Milliers 8 4 2 2" xfId="11908"/>
    <cellStyle name="Milliers 8 4 3" xfId="9758"/>
    <cellStyle name="Milliers 8 5" xfId="3548"/>
    <cellStyle name="Milliers 8 5 2" xfId="3549"/>
    <cellStyle name="Milliers 8 5 3" xfId="9759"/>
    <cellStyle name="Milliers 8 6" xfId="3550"/>
    <cellStyle name="Milliers 8 6 2" xfId="3551"/>
    <cellStyle name="Milliers 8 6 3" xfId="9760"/>
    <cellStyle name="Milliers 8 7" xfId="3552"/>
    <cellStyle name="Milliers 8 8" xfId="8206"/>
    <cellStyle name="Milliers 9" xfId="3553"/>
    <cellStyle name="Milliers 9 2" xfId="3554"/>
    <cellStyle name="Milliers 9 2 2" xfId="3555"/>
    <cellStyle name="Milliers 9 2 2 2" xfId="11910"/>
    <cellStyle name="Milliers 9 2 3" xfId="9762"/>
    <cellStyle name="Milliers 9 3" xfId="3556"/>
    <cellStyle name="Milliers 9 3 2" xfId="3557"/>
    <cellStyle name="Milliers 9 3 2 2" xfId="11911"/>
    <cellStyle name="Milliers 9 3 3" xfId="9763"/>
    <cellStyle name="Milliers 9 4" xfId="3558"/>
    <cellStyle name="Milliers 9 4 2" xfId="3559"/>
    <cellStyle name="Milliers 9 4 3" xfId="9764"/>
    <cellStyle name="Milliers 9 5" xfId="3560"/>
    <cellStyle name="Milliers 9 5 2" xfId="3561"/>
    <cellStyle name="Milliers 9 5 3" xfId="9765"/>
    <cellStyle name="Milliers 9 6" xfId="3562"/>
    <cellStyle name="Milliers 9 6 2" xfId="11909"/>
    <cellStyle name="Milliers 9 7" xfId="9761"/>
    <cellStyle name="Monétaire 2" xfId="3563"/>
    <cellStyle name="Monétaire 2 10" xfId="3564"/>
    <cellStyle name="Monétaire 2 10 2" xfId="3565"/>
    <cellStyle name="Monétaire 2 10 3" xfId="9766"/>
    <cellStyle name="Monétaire 2 11" xfId="3566"/>
    <cellStyle name="Monétaire 2 11 2" xfId="3567"/>
    <cellStyle name="Monétaire 2 11 3" xfId="9767"/>
    <cellStyle name="Monétaire 2 12" xfId="3568"/>
    <cellStyle name="Monétaire 2 12 2" xfId="3569"/>
    <cellStyle name="Monétaire 2 12 3" xfId="9768"/>
    <cellStyle name="Monétaire 2 13" xfId="3570"/>
    <cellStyle name="Monétaire 2 13 2" xfId="3571"/>
    <cellStyle name="Monétaire 2 13 3" xfId="9769"/>
    <cellStyle name="Monétaire 2 14" xfId="3572"/>
    <cellStyle name="Monétaire 2 15" xfId="7989"/>
    <cellStyle name="Monétaire 2 2" xfId="3573"/>
    <cellStyle name="Monétaire 2 2 2" xfId="3574"/>
    <cellStyle name="Monétaire 2 2 2 2" xfId="3575"/>
    <cellStyle name="Monétaire 2 2 2 3" xfId="9770"/>
    <cellStyle name="Monétaire 2 2 3" xfId="3576"/>
    <cellStyle name="Monétaire 2 2 4" xfId="7990"/>
    <cellStyle name="Monétaire 2 3" xfId="3577"/>
    <cellStyle name="Monétaire 2 3 2" xfId="3578"/>
    <cellStyle name="Monétaire 2 3 3" xfId="9771"/>
    <cellStyle name="Monétaire 2 4" xfId="3579"/>
    <cellStyle name="Monétaire 2 4 2" xfId="3580"/>
    <cellStyle name="Monétaire 2 4 3" xfId="9772"/>
    <cellStyle name="Monétaire 2 5" xfId="3581"/>
    <cellStyle name="Monétaire 2 5 2" xfId="3582"/>
    <cellStyle name="Monétaire 2 5 3" xfId="9773"/>
    <cellStyle name="Monétaire 2 6" xfId="3583"/>
    <cellStyle name="Monétaire 2 6 2" xfId="3584"/>
    <cellStyle name="Monétaire 2 6 3" xfId="9774"/>
    <cellStyle name="Monétaire 2 7" xfId="3585"/>
    <cellStyle name="Monétaire 2 7 2" xfId="3586"/>
    <cellStyle name="Monétaire 2 7 3" xfId="9775"/>
    <cellStyle name="Monétaire 2 8" xfId="3587"/>
    <cellStyle name="Monétaire 2 8 2" xfId="3588"/>
    <cellStyle name="Monétaire 2 8 3" xfId="9776"/>
    <cellStyle name="Monétaire 2 9" xfId="3589"/>
    <cellStyle name="Monétaire 2 9 2" xfId="3590"/>
    <cellStyle name="Monétaire 2 9 3" xfId="9777"/>
    <cellStyle name="Monétaire 3" xfId="3591"/>
    <cellStyle name="Monétaire 3 10" xfId="3592"/>
    <cellStyle name="Monétaire 3 10 2" xfId="3593"/>
    <cellStyle name="Monétaire 3 10 3" xfId="9778"/>
    <cellStyle name="Monétaire 3 11" xfId="3594"/>
    <cellStyle name="Monétaire 3 11 2" xfId="3595"/>
    <cellStyle name="Monétaire 3 11 3" xfId="9779"/>
    <cellStyle name="Monétaire 3 12" xfId="3596"/>
    <cellStyle name="Monétaire 3 12 2" xfId="3597"/>
    <cellStyle name="Monétaire 3 12 3" xfId="9780"/>
    <cellStyle name="Monétaire 3 13" xfId="3598"/>
    <cellStyle name="Monétaire 3 13 2" xfId="3599"/>
    <cellStyle name="Monétaire 3 13 3" xfId="9781"/>
    <cellStyle name="Monétaire 3 14" xfId="3600"/>
    <cellStyle name="Monétaire 3 15" xfId="7991"/>
    <cellStyle name="Monétaire 3 2" xfId="3601"/>
    <cellStyle name="Monétaire 3 2 2" xfId="3602"/>
    <cellStyle name="Monétaire 3 2 2 2" xfId="3603"/>
    <cellStyle name="Monétaire 3 2 2 3" xfId="9782"/>
    <cellStyle name="Monétaire 3 2 3" xfId="3604"/>
    <cellStyle name="Monétaire 3 2 4" xfId="7992"/>
    <cellStyle name="Monétaire 3 3" xfId="3605"/>
    <cellStyle name="Monétaire 3 3 2" xfId="3606"/>
    <cellStyle name="Monétaire 3 3 3" xfId="9783"/>
    <cellStyle name="Monétaire 3 4" xfId="3607"/>
    <cellStyle name="Monétaire 3 4 2" xfId="3608"/>
    <cellStyle name="Monétaire 3 4 3" xfId="9784"/>
    <cellStyle name="Monétaire 3 5" xfId="3609"/>
    <cellStyle name="Monétaire 3 5 2" xfId="3610"/>
    <cellStyle name="Monétaire 3 5 3" xfId="9785"/>
    <cellStyle name="Monétaire 3 6" xfId="3611"/>
    <cellStyle name="Monétaire 3 6 2" xfId="3612"/>
    <cellStyle name="Monétaire 3 6 3" xfId="9786"/>
    <cellStyle name="Monétaire 3 7" xfId="3613"/>
    <cellStyle name="Monétaire 3 7 2" xfId="3614"/>
    <cellStyle name="Monétaire 3 7 3" xfId="9787"/>
    <cellStyle name="Monétaire 3 8" xfId="3615"/>
    <cellStyle name="Monétaire 3 8 2" xfId="3616"/>
    <cellStyle name="Monétaire 3 8 3" xfId="9788"/>
    <cellStyle name="Monétaire 3 9" xfId="3617"/>
    <cellStyle name="Monétaire 3 9 2" xfId="3618"/>
    <cellStyle name="Monétaire 3 9 3" xfId="9789"/>
    <cellStyle name="Monétaire 4" xfId="3619"/>
    <cellStyle name="Monétaire 4 10" xfId="3620"/>
    <cellStyle name="Monétaire 4 10 2" xfId="3621"/>
    <cellStyle name="Monétaire 4 10 3" xfId="9790"/>
    <cellStyle name="Monétaire 4 11" xfId="3622"/>
    <cellStyle name="Monétaire 4 11 2" xfId="3623"/>
    <cellStyle name="Monétaire 4 11 3" xfId="9791"/>
    <cellStyle name="Monétaire 4 12" xfId="3624"/>
    <cellStyle name="Monétaire 4 12 2" xfId="3625"/>
    <cellStyle name="Monétaire 4 12 3" xfId="9792"/>
    <cellStyle name="Monétaire 4 13" xfId="3626"/>
    <cellStyle name="Monétaire 4 13 2" xfId="3627"/>
    <cellStyle name="Monétaire 4 13 3" xfId="9793"/>
    <cellStyle name="Monétaire 4 14" xfId="3628"/>
    <cellStyle name="Monétaire 4 15" xfId="7993"/>
    <cellStyle name="Monétaire 4 2" xfId="3629"/>
    <cellStyle name="Monétaire 4 2 2" xfId="3630"/>
    <cellStyle name="Monétaire 4 2 2 2" xfId="3631"/>
    <cellStyle name="Monétaire 4 2 2 3" xfId="9794"/>
    <cellStyle name="Monétaire 4 2 3" xfId="3632"/>
    <cellStyle name="Monétaire 4 2 4" xfId="7994"/>
    <cellStyle name="Monétaire 4 3" xfId="3633"/>
    <cellStyle name="Monétaire 4 3 2" xfId="3634"/>
    <cellStyle name="Monétaire 4 3 3" xfId="9795"/>
    <cellStyle name="Monétaire 4 4" xfId="3635"/>
    <cellStyle name="Monétaire 4 4 2" xfId="3636"/>
    <cellStyle name="Monétaire 4 4 3" xfId="9796"/>
    <cellStyle name="Monétaire 4 5" xfId="3637"/>
    <cellStyle name="Monétaire 4 5 2" xfId="3638"/>
    <cellStyle name="Monétaire 4 5 3" xfId="9797"/>
    <cellStyle name="Monétaire 4 6" xfId="3639"/>
    <cellStyle name="Monétaire 4 6 2" xfId="3640"/>
    <cellStyle name="Monétaire 4 6 3" xfId="9798"/>
    <cellStyle name="Monétaire 4 7" xfId="3641"/>
    <cellStyle name="Monétaire 4 7 2" xfId="3642"/>
    <cellStyle name="Monétaire 4 7 3" xfId="9799"/>
    <cellStyle name="Monétaire 4 8" xfId="3643"/>
    <cellStyle name="Monétaire 4 8 2" xfId="3644"/>
    <cellStyle name="Monétaire 4 8 3" xfId="9800"/>
    <cellStyle name="Monétaire 4 9" xfId="3645"/>
    <cellStyle name="Monétaire 4 9 2" xfId="3646"/>
    <cellStyle name="Monétaire 4 9 3" xfId="9801"/>
    <cellStyle name="Monétaire 5" xfId="3647"/>
    <cellStyle name="Monétaire 5 10" xfId="3648"/>
    <cellStyle name="Monétaire 5 10 2" xfId="3649"/>
    <cellStyle name="Monétaire 5 10 3" xfId="9802"/>
    <cellStyle name="Monétaire 5 11" xfId="3650"/>
    <cellStyle name="Monétaire 5 11 2" xfId="3651"/>
    <cellStyle name="Monétaire 5 11 3" xfId="9803"/>
    <cellStyle name="Monétaire 5 12" xfId="3652"/>
    <cellStyle name="Monétaire 5 12 2" xfId="3653"/>
    <cellStyle name="Monétaire 5 12 3" xfId="9804"/>
    <cellStyle name="Monétaire 5 13" xfId="3654"/>
    <cellStyle name="Monétaire 5 13 2" xfId="3655"/>
    <cellStyle name="Monétaire 5 13 3" xfId="9805"/>
    <cellStyle name="Monétaire 5 14" xfId="3656"/>
    <cellStyle name="Monétaire 5 15" xfId="7995"/>
    <cellStyle name="Monétaire 5 2" xfId="3657"/>
    <cellStyle name="Monétaire 5 2 2" xfId="3658"/>
    <cellStyle name="Monétaire 5 2 2 2" xfId="3659"/>
    <cellStyle name="Monétaire 5 2 2 3" xfId="9806"/>
    <cellStyle name="Monétaire 5 2 3" xfId="3660"/>
    <cellStyle name="Monétaire 5 2 4" xfId="7996"/>
    <cellStyle name="Monétaire 5 3" xfId="3661"/>
    <cellStyle name="Monétaire 5 3 2" xfId="3662"/>
    <cellStyle name="Monétaire 5 3 3" xfId="9807"/>
    <cellStyle name="Monétaire 5 4" xfId="3663"/>
    <cellStyle name="Monétaire 5 4 2" xfId="3664"/>
    <cellStyle name="Monétaire 5 4 3" xfId="9808"/>
    <cellStyle name="Monétaire 5 5" xfId="3665"/>
    <cellStyle name="Monétaire 5 5 2" xfId="3666"/>
    <cellStyle name="Monétaire 5 5 3" xfId="9809"/>
    <cellStyle name="Monétaire 5 6" xfId="3667"/>
    <cellStyle name="Monétaire 5 6 2" xfId="3668"/>
    <cellStyle name="Monétaire 5 6 3" xfId="9810"/>
    <cellStyle name="Monétaire 5 7" xfId="3669"/>
    <cellStyle name="Monétaire 5 7 2" xfId="3670"/>
    <cellStyle name="Monétaire 5 7 3" xfId="9811"/>
    <cellStyle name="Monétaire 5 8" xfId="3671"/>
    <cellStyle name="Monétaire 5 8 2" xfId="3672"/>
    <cellStyle name="Monétaire 5 8 3" xfId="9812"/>
    <cellStyle name="Monétaire 5 9" xfId="3673"/>
    <cellStyle name="Monétaire 5 9 2" xfId="3674"/>
    <cellStyle name="Monétaire 5 9 3" xfId="9813"/>
    <cellStyle name="Monétaire 6" xfId="3675"/>
    <cellStyle name="Monétaire 6 10" xfId="3676"/>
    <cellStyle name="Monétaire 6 10 2" xfId="3677"/>
    <cellStyle name="Monétaire 6 10 3" xfId="9814"/>
    <cellStyle name="Monétaire 6 11" xfId="3678"/>
    <cellStyle name="Monétaire 6 11 2" xfId="3679"/>
    <cellStyle name="Monétaire 6 11 3" xfId="9815"/>
    <cellStyle name="Monétaire 6 12" xfId="3680"/>
    <cellStyle name="Monétaire 6 12 2" xfId="3681"/>
    <cellStyle name="Monétaire 6 12 3" xfId="9816"/>
    <cellStyle name="Monétaire 6 13" xfId="3682"/>
    <cellStyle name="Monétaire 6 13 2" xfId="3683"/>
    <cellStyle name="Monétaire 6 13 3" xfId="9817"/>
    <cellStyle name="Monétaire 6 14" xfId="3684"/>
    <cellStyle name="Monétaire 6 15" xfId="7997"/>
    <cellStyle name="Monétaire 6 2" xfId="3685"/>
    <cellStyle name="Monétaire 6 2 2" xfId="3686"/>
    <cellStyle name="Monétaire 6 2 2 2" xfId="3687"/>
    <cellStyle name="Monétaire 6 2 2 3" xfId="9818"/>
    <cellStyle name="Monétaire 6 2 3" xfId="3688"/>
    <cellStyle name="Monétaire 6 2 4" xfId="7998"/>
    <cellStyle name="Monétaire 6 3" xfId="3689"/>
    <cellStyle name="Monétaire 6 3 2" xfId="3690"/>
    <cellStyle name="Monétaire 6 3 3" xfId="9819"/>
    <cellStyle name="Monétaire 6 4" xfId="3691"/>
    <cellStyle name="Monétaire 6 4 2" xfId="3692"/>
    <cellStyle name="Monétaire 6 4 3" xfId="9820"/>
    <cellStyle name="Monétaire 6 5" xfId="3693"/>
    <cellStyle name="Monétaire 6 5 2" xfId="3694"/>
    <cellStyle name="Monétaire 6 5 3" xfId="9821"/>
    <cellStyle name="Monétaire 6 6" xfId="3695"/>
    <cellStyle name="Monétaire 6 6 2" xfId="3696"/>
    <cellStyle name="Monétaire 6 6 3" xfId="9822"/>
    <cellStyle name="Monétaire 6 7" xfId="3697"/>
    <cellStyle name="Monétaire 6 7 2" xfId="3698"/>
    <cellStyle name="Monétaire 6 7 3" xfId="9823"/>
    <cellStyle name="Monétaire 6 8" xfId="3699"/>
    <cellStyle name="Monétaire 6 8 2" xfId="3700"/>
    <cellStyle name="Monétaire 6 8 3" xfId="9824"/>
    <cellStyle name="Monétaire 6 9" xfId="3701"/>
    <cellStyle name="Monétaire 6 9 2" xfId="3702"/>
    <cellStyle name="Monétaire 6 9 3" xfId="9825"/>
    <cellStyle name="Monétaire0" xfId="3703"/>
    <cellStyle name="Monétaire0 10" xfId="3704"/>
    <cellStyle name="Monétaire0 10 2" xfId="3705"/>
    <cellStyle name="Monétaire0 10 3" xfId="9826"/>
    <cellStyle name="Monétaire0 11" xfId="3706"/>
    <cellStyle name="Monétaire0 11 2" xfId="3707"/>
    <cellStyle name="Monétaire0 11 3" xfId="9827"/>
    <cellStyle name="Monétaire0 12" xfId="3708"/>
    <cellStyle name="Monétaire0 12 2" xfId="3709"/>
    <cellStyle name="Monétaire0 12 3" xfId="9828"/>
    <cellStyle name="Monétaire0 13" xfId="3710"/>
    <cellStyle name="Monétaire0 13 2" xfId="3711"/>
    <cellStyle name="Monétaire0 13 3" xfId="9829"/>
    <cellStyle name="Monétaire0 14" xfId="3712"/>
    <cellStyle name="Monétaire0 14 2" xfId="3713"/>
    <cellStyle name="Monétaire0 14 3" xfId="9830"/>
    <cellStyle name="Monétaire0 15" xfId="3714"/>
    <cellStyle name="Monétaire0 15 2" xfId="3715"/>
    <cellStyle name="Monétaire0 15 3" xfId="9831"/>
    <cellStyle name="Monétaire0 16" xfId="3716"/>
    <cellStyle name="Monétaire0 16 2" xfId="3717"/>
    <cellStyle name="Monétaire0 16 3" xfId="9832"/>
    <cellStyle name="Monétaire0 17" xfId="3718"/>
    <cellStyle name="Monétaire0 17 2" xfId="3719"/>
    <cellStyle name="Monétaire0 17 3" xfId="9833"/>
    <cellStyle name="Monétaire0 18" xfId="3720"/>
    <cellStyle name="Monétaire0 18 2" xfId="3721"/>
    <cellStyle name="Monétaire0 18 3" xfId="9834"/>
    <cellStyle name="Monétaire0 19" xfId="3722"/>
    <cellStyle name="Monétaire0 19 2" xfId="3723"/>
    <cellStyle name="Monétaire0 19 3" xfId="9835"/>
    <cellStyle name="Monétaire0 2" xfId="3724"/>
    <cellStyle name="Monétaire0 2 2" xfId="3725"/>
    <cellStyle name="Monétaire0 2 2 2" xfId="3726"/>
    <cellStyle name="Monétaire0 2 2 3" xfId="9837"/>
    <cellStyle name="Monétaire0 2 3" xfId="3727"/>
    <cellStyle name="Monétaire0 2 4" xfId="9836"/>
    <cellStyle name="Monétaire0 20" xfId="3728"/>
    <cellStyle name="Monétaire0 20 2" xfId="3729"/>
    <cellStyle name="Monétaire0 20 3" xfId="9838"/>
    <cellStyle name="Monétaire0 21" xfId="3730"/>
    <cellStyle name="Monétaire0 21 2" xfId="3731"/>
    <cellStyle name="Monétaire0 21 3" xfId="9839"/>
    <cellStyle name="Monétaire0 22" xfId="3732"/>
    <cellStyle name="Monétaire0 22 2" xfId="3733"/>
    <cellStyle name="Monétaire0 22 3" xfId="9840"/>
    <cellStyle name="Monétaire0 23" xfId="3734"/>
    <cellStyle name="Monétaire0 23 2" xfId="3735"/>
    <cellStyle name="Monétaire0 23 3" xfId="9841"/>
    <cellStyle name="Monétaire0 24" xfId="3736"/>
    <cellStyle name="Monétaire0 24 2" xfId="3737"/>
    <cellStyle name="Monétaire0 24 3" xfId="9842"/>
    <cellStyle name="Monétaire0 25" xfId="3738"/>
    <cellStyle name="Monétaire0 25 2" xfId="3739"/>
    <cellStyle name="Monétaire0 25 3" xfId="9843"/>
    <cellStyle name="Monétaire0 26" xfId="3740"/>
    <cellStyle name="Monétaire0 26 2" xfId="3741"/>
    <cellStyle name="Monétaire0 26 3" xfId="9844"/>
    <cellStyle name="Monétaire0 27" xfId="3742"/>
    <cellStyle name="Monétaire0 27 2" xfId="3743"/>
    <cellStyle name="Monétaire0 27 3" xfId="9845"/>
    <cellStyle name="Monétaire0 28" xfId="3744"/>
    <cellStyle name="Monétaire0 28 2" xfId="3745"/>
    <cellStyle name="Monétaire0 28 3" xfId="9846"/>
    <cellStyle name="Monétaire0 29" xfId="3746"/>
    <cellStyle name="Monétaire0 29 2" xfId="3747"/>
    <cellStyle name="Monétaire0 29 3" xfId="9847"/>
    <cellStyle name="Monétaire0 3" xfId="3748"/>
    <cellStyle name="Monétaire0 3 2" xfId="3749"/>
    <cellStyle name="Monétaire0 3 3" xfId="9848"/>
    <cellStyle name="Monétaire0 30" xfId="3750"/>
    <cellStyle name="Monétaire0 30 2" xfId="3751"/>
    <cellStyle name="Monétaire0 30 3" xfId="9849"/>
    <cellStyle name="Monétaire0 31" xfId="3752"/>
    <cellStyle name="Monétaire0 31 2" xfId="3753"/>
    <cellStyle name="Monétaire0 31 3" xfId="9850"/>
    <cellStyle name="Monétaire0 32" xfId="3754"/>
    <cellStyle name="Monétaire0 32 2" xfId="3755"/>
    <cellStyle name="Monétaire0 32 3" xfId="9851"/>
    <cellStyle name="Monétaire0 33" xfId="3756"/>
    <cellStyle name="Monétaire0 33 2" xfId="3757"/>
    <cellStyle name="Monétaire0 33 3" xfId="9852"/>
    <cellStyle name="Monétaire0 34" xfId="3758"/>
    <cellStyle name="Monétaire0 34 2" xfId="3759"/>
    <cellStyle name="Monétaire0 34 3" xfId="9853"/>
    <cellStyle name="Monétaire0 35" xfId="3760"/>
    <cellStyle name="Monétaire0 35 2" xfId="3761"/>
    <cellStyle name="Monétaire0 35 3" xfId="9854"/>
    <cellStyle name="Monétaire0 36" xfId="3762"/>
    <cellStyle name="Monétaire0 36 2" xfId="3763"/>
    <cellStyle name="Monétaire0 36 3" xfId="9855"/>
    <cellStyle name="Monétaire0 37" xfId="3764"/>
    <cellStyle name="Monétaire0 37 2" xfId="3765"/>
    <cellStyle name="Monétaire0 37 3" xfId="9856"/>
    <cellStyle name="Monétaire0 38" xfId="3766"/>
    <cellStyle name="Monétaire0 38 2" xfId="3767"/>
    <cellStyle name="Monétaire0 38 3" xfId="9857"/>
    <cellStyle name="Monétaire0 39" xfId="3768"/>
    <cellStyle name="Monétaire0 4" xfId="3769"/>
    <cellStyle name="Monétaire0 4 2" xfId="3770"/>
    <cellStyle name="Monétaire0 4 3" xfId="9858"/>
    <cellStyle name="Monétaire0 40" xfId="7797"/>
    <cellStyle name="Monétaire0 5" xfId="3771"/>
    <cellStyle name="Monétaire0 5 2" xfId="3772"/>
    <cellStyle name="Monétaire0 5 3" xfId="9859"/>
    <cellStyle name="Monétaire0 6" xfId="3773"/>
    <cellStyle name="Monétaire0 6 2" xfId="3774"/>
    <cellStyle name="Monétaire0 6 3" xfId="9860"/>
    <cellStyle name="Monétaire0 7" xfId="3775"/>
    <cellStyle name="Monétaire0 7 2" xfId="3776"/>
    <cellStyle name="Monétaire0 7 3" xfId="9861"/>
    <cellStyle name="Monétaire0 8" xfId="3777"/>
    <cellStyle name="Monétaire0 8 2" xfId="3778"/>
    <cellStyle name="Monétaire0 8 3" xfId="9862"/>
    <cellStyle name="Monétaire0 9" xfId="3779"/>
    <cellStyle name="Monétaire0 9 2" xfId="3780"/>
    <cellStyle name="Monétaire0 9 3" xfId="9863"/>
    <cellStyle name="Neutre 10" xfId="3781"/>
    <cellStyle name="Neutre 10 2" xfId="3782"/>
    <cellStyle name="Neutre 10 3" xfId="9864"/>
    <cellStyle name="Neutre 11" xfId="3783"/>
    <cellStyle name="Neutre 11 2" xfId="3784"/>
    <cellStyle name="Neutre 11 2 2" xfId="3785"/>
    <cellStyle name="Neutre 11 2 3" xfId="9866"/>
    <cellStyle name="Neutre 11 3" xfId="3786"/>
    <cellStyle name="Neutre 11 3 2" xfId="3787"/>
    <cellStyle name="Neutre 11 3 3" xfId="9867"/>
    <cellStyle name="Neutre 11 4" xfId="3788"/>
    <cellStyle name="Neutre 11 4 2" xfId="3789"/>
    <cellStyle name="Neutre 11 4 3" xfId="9868"/>
    <cellStyle name="Neutre 11 5" xfId="3790"/>
    <cellStyle name="Neutre 11 6" xfId="9865"/>
    <cellStyle name="Neutre 12" xfId="3791"/>
    <cellStyle name="Neutre 12 2" xfId="3792"/>
    <cellStyle name="Neutre 12 2 2" xfId="3793"/>
    <cellStyle name="Neutre 12 2 3" xfId="9870"/>
    <cellStyle name="Neutre 12 3" xfId="3794"/>
    <cellStyle name="Neutre 12 3 2" xfId="3795"/>
    <cellStyle name="Neutre 12 3 3" xfId="9871"/>
    <cellStyle name="Neutre 12 4" xfId="3796"/>
    <cellStyle name="Neutre 12 5" xfId="9869"/>
    <cellStyle name="Neutre 13" xfId="3797"/>
    <cellStyle name="Neutre 13 2" xfId="3798"/>
    <cellStyle name="Neutre 13 3" xfId="9872"/>
    <cellStyle name="Neutre 14" xfId="3799"/>
    <cellStyle name="Neutre 14 2" xfId="3800"/>
    <cellStyle name="Neutre 14 3" xfId="9873"/>
    <cellStyle name="Neutre 15" xfId="3801"/>
    <cellStyle name="Neutre 15 2" xfId="3802"/>
    <cellStyle name="Neutre 15 3" xfId="9874"/>
    <cellStyle name="Neutre 2" xfId="3803"/>
    <cellStyle name="Neutre 2 2" xfId="3804"/>
    <cellStyle name="Neutre 2 2 2" xfId="3805"/>
    <cellStyle name="Neutre 2 2 3" xfId="9875"/>
    <cellStyle name="Neutre 2 3" xfId="3806"/>
    <cellStyle name="Neutre 2 3 2" xfId="3807"/>
    <cellStyle name="Neutre 2 3 2 2" xfId="3808"/>
    <cellStyle name="Neutre 2 3 2 3" xfId="9877"/>
    <cellStyle name="Neutre 2 3 3" xfId="3809"/>
    <cellStyle name="Neutre 2 3 4" xfId="9876"/>
    <cellStyle name="Neutre 2 4" xfId="3810"/>
    <cellStyle name="Neutre 2 4 2" xfId="3811"/>
    <cellStyle name="Neutre 2 4 3" xfId="9878"/>
    <cellStyle name="Neutre 2 5" xfId="3812"/>
    <cellStyle name="Neutre 2 6" xfId="7999"/>
    <cellStyle name="Neutre 3" xfId="3813"/>
    <cellStyle name="Neutre 3 2" xfId="3814"/>
    <cellStyle name="Neutre 3 2 2" xfId="3815"/>
    <cellStyle name="Neutre 3 2 3" xfId="9879"/>
    <cellStyle name="Neutre 3 3" xfId="3816"/>
    <cellStyle name="Neutre 3 3 2" xfId="3817"/>
    <cellStyle name="Neutre 3 3 3" xfId="9880"/>
    <cellStyle name="Neutre 3 4" xfId="3818"/>
    <cellStyle name="Neutre 3 4 2" xfId="3819"/>
    <cellStyle name="Neutre 3 4 3" xfId="9881"/>
    <cellStyle name="Neutre 3 5" xfId="3820"/>
    <cellStyle name="Neutre 3 6" xfId="8000"/>
    <cellStyle name="Neutre 4" xfId="3821"/>
    <cellStyle name="Neutre 4 2" xfId="3822"/>
    <cellStyle name="Neutre 4 2 2" xfId="3823"/>
    <cellStyle name="Neutre 4 2 3" xfId="9882"/>
    <cellStyle name="Neutre 4 3" xfId="3824"/>
    <cellStyle name="Neutre 4 3 2" xfId="3825"/>
    <cellStyle name="Neutre 4 3 3" xfId="9883"/>
    <cellStyle name="Neutre 4 4" xfId="3826"/>
    <cellStyle name="Neutre 4 4 2" xfId="3827"/>
    <cellStyle name="Neutre 4 4 3" xfId="9884"/>
    <cellStyle name="Neutre 4 5" xfId="3828"/>
    <cellStyle name="Neutre 4 6" xfId="8001"/>
    <cellStyle name="Neutre 5" xfId="3829"/>
    <cellStyle name="Neutre 5 2" xfId="3830"/>
    <cellStyle name="Neutre 5 2 2" xfId="3831"/>
    <cellStyle name="Neutre 5 2 3" xfId="9885"/>
    <cellStyle name="Neutre 5 3" xfId="3832"/>
    <cellStyle name="Neutre 5 4" xfId="8002"/>
    <cellStyle name="Neutre 6" xfId="3833"/>
    <cellStyle name="Neutre 6 2" xfId="3834"/>
    <cellStyle name="Neutre 6 2 2" xfId="3835"/>
    <cellStyle name="Neutre 6 2 3" xfId="9887"/>
    <cellStyle name="Neutre 6 3" xfId="3836"/>
    <cellStyle name="Neutre 6 4" xfId="9886"/>
    <cellStyle name="Neutre 7" xfId="3837"/>
    <cellStyle name="Neutre 7 2" xfId="3838"/>
    <cellStyle name="Neutre 7 3" xfId="9888"/>
    <cellStyle name="Neutre 8" xfId="3839"/>
    <cellStyle name="Neutre 8 2" xfId="3840"/>
    <cellStyle name="Neutre 8 3" xfId="9889"/>
    <cellStyle name="Neutre 9" xfId="3841"/>
    <cellStyle name="Neutre 9 2" xfId="3842"/>
    <cellStyle name="Neutre 9 3" xfId="9890"/>
    <cellStyle name="new format" xfId="3843"/>
    <cellStyle name="new format 2" xfId="3844"/>
    <cellStyle name="new format 3" xfId="9891"/>
    <cellStyle name="No-definido" xfId="3845"/>
    <cellStyle name="No-definido 2" xfId="3846"/>
    <cellStyle name="No-definido 3" xfId="9892"/>
    <cellStyle name="Non défini" xfId="3847"/>
    <cellStyle name="Non défini 2" xfId="3848"/>
    <cellStyle name="Non défini 3" xfId="9893"/>
    <cellStyle name="Normal" xfId="0" builtinId="0"/>
    <cellStyle name="Normal 10" xfId="3849"/>
    <cellStyle name="Normal 10 10" xfId="3850"/>
    <cellStyle name="Normal 10 10 2" xfId="3851"/>
    <cellStyle name="Normal 10 10 2 2" xfId="11912"/>
    <cellStyle name="Normal 10 10 3" xfId="9894"/>
    <cellStyle name="Normal 10 11" xfId="3852"/>
    <cellStyle name="Normal 10 11 2" xfId="3853"/>
    <cellStyle name="Normal 10 11 2 2" xfId="11913"/>
    <cellStyle name="Normal 10 11 3" xfId="9895"/>
    <cellStyle name="Normal 10 12" xfId="3854"/>
    <cellStyle name="Normal 10 12 2" xfId="3855"/>
    <cellStyle name="Normal 10 12 2 2" xfId="11914"/>
    <cellStyle name="Normal 10 12 3" xfId="9896"/>
    <cellStyle name="Normal 10 13" xfId="3856"/>
    <cellStyle name="Normal 10 13 2" xfId="3857"/>
    <cellStyle name="Normal 10 13 2 2" xfId="11915"/>
    <cellStyle name="Normal 10 13 3" xfId="9897"/>
    <cellStyle name="Normal 10 14" xfId="3858"/>
    <cellStyle name="Normal 10 14 2" xfId="3859"/>
    <cellStyle name="Normal 10 14 3" xfId="3860"/>
    <cellStyle name="Normal 10 14 4" xfId="9898"/>
    <cellStyle name="Normal 10 15" xfId="3861"/>
    <cellStyle name="Normal 10 15 2" xfId="3862"/>
    <cellStyle name="Normal 10 15 3" xfId="3863"/>
    <cellStyle name="Normal 10 15 4" xfId="9899"/>
    <cellStyle name="Normal 10 16" xfId="3864"/>
    <cellStyle name="Normal 10 16 2" xfId="3865"/>
    <cellStyle name="Normal 10 16 3" xfId="3866"/>
    <cellStyle name="Normal 10 16 4" xfId="9900"/>
    <cellStyle name="Normal 10 17" xfId="3867"/>
    <cellStyle name="Normal 10 17 2" xfId="3868"/>
    <cellStyle name="Normal 10 17 3" xfId="3869"/>
    <cellStyle name="Normal 10 17 4" xfId="9901"/>
    <cellStyle name="Normal 10 18" xfId="3870"/>
    <cellStyle name="Normal 10 18 2" xfId="3871"/>
    <cellStyle name="Normal 10 18 3" xfId="3872"/>
    <cellStyle name="Normal 10 18 4" xfId="9902"/>
    <cellStyle name="Normal 10 19" xfId="3873"/>
    <cellStyle name="Normal 10 19 2" xfId="3874"/>
    <cellStyle name="Normal 10 19 2 2" xfId="11597"/>
    <cellStyle name="Normal 10 19 3" xfId="8003"/>
    <cellStyle name="Normal 10 2" xfId="3875"/>
    <cellStyle name="Normal 10 2 10" xfId="3876"/>
    <cellStyle name="Normal 10 2 10 2" xfId="3877"/>
    <cellStyle name="Normal 10 2 10 2 2" xfId="11916"/>
    <cellStyle name="Normal 10 2 10 3" xfId="9903"/>
    <cellStyle name="Normal 10 2 11" xfId="3878"/>
    <cellStyle name="Normal 10 2 11 2" xfId="3879"/>
    <cellStyle name="Normal 10 2 11 2 2" xfId="11917"/>
    <cellStyle name="Normal 10 2 11 3" xfId="9904"/>
    <cellStyle name="Normal 10 2 12" xfId="3880"/>
    <cellStyle name="Normal 10 2 12 2" xfId="3881"/>
    <cellStyle name="Normal 10 2 12 2 2" xfId="11918"/>
    <cellStyle name="Normal 10 2 12 3" xfId="9905"/>
    <cellStyle name="Normal 10 2 13" xfId="3882"/>
    <cellStyle name="Normal 10 2 13 2" xfId="3883"/>
    <cellStyle name="Normal 10 2 13 3" xfId="3884"/>
    <cellStyle name="Normal 10 2 13 4" xfId="9906"/>
    <cellStyle name="Normal 10 2 14" xfId="3885"/>
    <cellStyle name="Normal 10 2 14 2" xfId="3886"/>
    <cellStyle name="Normal 10 2 14 3" xfId="3887"/>
    <cellStyle name="Normal 10 2 14 4" xfId="9907"/>
    <cellStyle name="Normal 10 2 15" xfId="3888"/>
    <cellStyle name="Normal 10 2 15 2" xfId="3889"/>
    <cellStyle name="Normal 10 2 15 3" xfId="3890"/>
    <cellStyle name="Normal 10 2 15 4" xfId="9908"/>
    <cellStyle name="Normal 10 2 16" xfId="3891"/>
    <cellStyle name="Normal 10 2 16 2" xfId="3892"/>
    <cellStyle name="Normal 10 2 16 3" xfId="3893"/>
    <cellStyle name="Normal 10 2 16 4" xfId="9909"/>
    <cellStyle name="Normal 10 2 17" xfId="3894"/>
    <cellStyle name="Normal 10 2 17 2" xfId="3895"/>
    <cellStyle name="Normal 10 2 17 3" xfId="3896"/>
    <cellStyle name="Normal 10 2 17 4" xfId="9910"/>
    <cellStyle name="Normal 10 2 18" xfId="3897"/>
    <cellStyle name="Normal 10 2 18 2" xfId="11598"/>
    <cellStyle name="Normal 10 2 19" xfId="8004"/>
    <cellStyle name="Normal 10 2 2" xfId="3898"/>
    <cellStyle name="Normal 10 2 2 10" xfId="3899"/>
    <cellStyle name="Normal 10 2 2 10 2" xfId="3900"/>
    <cellStyle name="Normal 10 2 2 10 3" xfId="3901"/>
    <cellStyle name="Normal 10 2 2 10 4" xfId="9911"/>
    <cellStyle name="Normal 10 2 2 11" xfId="3902"/>
    <cellStyle name="Normal 10 2 2 11 2" xfId="3903"/>
    <cellStyle name="Normal 10 2 2 11 3" xfId="3904"/>
    <cellStyle name="Normal 10 2 2 11 4" xfId="9912"/>
    <cellStyle name="Normal 10 2 2 12" xfId="3905"/>
    <cellStyle name="Normal 10 2 2 12 2" xfId="11599"/>
    <cellStyle name="Normal 10 2 2 13" xfId="8005"/>
    <cellStyle name="Normal 10 2 2 2" xfId="3906"/>
    <cellStyle name="Normal 10 2 2 2 2" xfId="3907"/>
    <cellStyle name="Normal 10 2 2 2 2 10" xfId="3908"/>
    <cellStyle name="Normal 10 2 2 2 2 11" xfId="9914"/>
    <cellStyle name="Normal 10 2 2 2 2 2" xfId="3909"/>
    <cellStyle name="Normal 10 2 2 2 2 2 2" xfId="3910"/>
    <cellStyle name="Normal 10 2 2 2 2 2 2 2" xfId="11920"/>
    <cellStyle name="Normal 10 2 2 2 2 2 3" xfId="9915"/>
    <cellStyle name="Normal 10 2 2 2 2 3" xfId="3911"/>
    <cellStyle name="Normal 10 2 2 2 2 3 2" xfId="3912"/>
    <cellStyle name="Normal 10 2 2 2 2 3 2 2" xfId="11921"/>
    <cellStyle name="Normal 10 2 2 2 2 3 3" xfId="9916"/>
    <cellStyle name="Normal 10 2 2 2 2 4" xfId="3913"/>
    <cellStyle name="Normal 10 2 2 2 2 4 2" xfId="3914"/>
    <cellStyle name="Normal 10 2 2 2 2 4 2 2" xfId="11922"/>
    <cellStyle name="Normal 10 2 2 2 2 4 3" xfId="9917"/>
    <cellStyle name="Normal 10 2 2 2 2 5" xfId="3915"/>
    <cellStyle name="Normal 10 2 2 2 2 5 2" xfId="3916"/>
    <cellStyle name="Normal 10 2 2 2 2 5 2 2" xfId="11923"/>
    <cellStyle name="Normal 10 2 2 2 2 5 3" xfId="9918"/>
    <cellStyle name="Normal 10 2 2 2 2 6" xfId="3917"/>
    <cellStyle name="Normal 10 2 2 2 2 6 2" xfId="3918"/>
    <cellStyle name="Normal 10 2 2 2 2 6 2 2" xfId="11924"/>
    <cellStyle name="Normal 10 2 2 2 2 6 3" xfId="9919"/>
    <cellStyle name="Normal 10 2 2 2 2 7" xfId="3919"/>
    <cellStyle name="Normal 10 2 2 2 2 7 2" xfId="3920"/>
    <cellStyle name="Normal 10 2 2 2 2 7 2 2" xfId="11925"/>
    <cellStyle name="Normal 10 2 2 2 2 7 3" xfId="9920"/>
    <cellStyle name="Normal 10 2 2 2 2 8" xfId="3921"/>
    <cellStyle name="Normal 10 2 2 2 2 8 2" xfId="3922"/>
    <cellStyle name="Normal 10 2 2 2 2 8 3" xfId="3923"/>
    <cellStyle name="Normal 10 2 2 2 2 8 4" xfId="9921"/>
    <cellStyle name="Normal 10 2 2 2 2 9" xfId="3924"/>
    <cellStyle name="Normal 10 2 2 2 2_Culture" xfId="3925"/>
    <cellStyle name="Normal 10 2 2 2 3" xfId="3926"/>
    <cellStyle name="Normal 10 2 2 2 3 2" xfId="3927"/>
    <cellStyle name="Normal 10 2 2 2 3 3" xfId="3928"/>
    <cellStyle name="Normal 10 2 2 2 3 4" xfId="9922"/>
    <cellStyle name="Normal 10 2 2 2 4" xfId="3929"/>
    <cellStyle name="Normal 10 2 2 2 4 2" xfId="3930"/>
    <cellStyle name="Normal 10 2 2 2 4 3" xfId="3931"/>
    <cellStyle name="Normal 10 2 2 2 4 4" xfId="9923"/>
    <cellStyle name="Normal 10 2 2 2 5" xfId="3932"/>
    <cellStyle name="Normal 10 2 2 2 5 2" xfId="3933"/>
    <cellStyle name="Normal 10 2 2 2 5 3" xfId="3934"/>
    <cellStyle name="Normal 10 2 2 2 5 4" xfId="9924"/>
    <cellStyle name="Normal 10 2 2 2 6" xfId="3935"/>
    <cellStyle name="Normal 10 2 2 2 6 2" xfId="3936"/>
    <cellStyle name="Normal 10 2 2 2 6 3" xfId="3937"/>
    <cellStyle name="Normal 10 2 2 2 6 4" xfId="9925"/>
    <cellStyle name="Normal 10 2 2 2 7" xfId="3938"/>
    <cellStyle name="Normal 10 2 2 2 7 2" xfId="3939"/>
    <cellStyle name="Normal 10 2 2 2 7 3" xfId="3940"/>
    <cellStyle name="Normal 10 2 2 2 7 4" xfId="9926"/>
    <cellStyle name="Normal 10 2 2 2 8" xfId="3941"/>
    <cellStyle name="Normal 10 2 2 2 8 2" xfId="11919"/>
    <cellStyle name="Normal 10 2 2 2 9" xfId="9913"/>
    <cellStyle name="Normal 10 2 2 3" xfId="3942"/>
    <cellStyle name="Normal 10 2 2 3 2" xfId="3943"/>
    <cellStyle name="Normal 10 2 2 3 2 2" xfId="11926"/>
    <cellStyle name="Normal 10 2 2 3 3" xfId="9927"/>
    <cellStyle name="Normal 10 2 2 4" xfId="3944"/>
    <cellStyle name="Normal 10 2 2 4 2" xfId="3945"/>
    <cellStyle name="Normal 10 2 2 4 2 2" xfId="11927"/>
    <cellStyle name="Normal 10 2 2 4 3" xfId="9928"/>
    <cellStyle name="Normal 10 2 2 5" xfId="3946"/>
    <cellStyle name="Normal 10 2 2 5 2" xfId="3947"/>
    <cellStyle name="Normal 10 2 2 5 2 2" xfId="11928"/>
    <cellStyle name="Normal 10 2 2 5 3" xfId="9929"/>
    <cellStyle name="Normal 10 2 2 6" xfId="3948"/>
    <cellStyle name="Normal 10 2 2 6 2" xfId="3949"/>
    <cellStyle name="Normal 10 2 2 6 2 2" xfId="11929"/>
    <cellStyle name="Normal 10 2 2 6 3" xfId="9930"/>
    <cellStyle name="Normal 10 2 2 7" xfId="3950"/>
    <cellStyle name="Normal 10 2 2 7 2" xfId="3951"/>
    <cellStyle name="Normal 10 2 2 7 2 2" xfId="11930"/>
    <cellStyle name="Normal 10 2 2 7 3" xfId="9931"/>
    <cellStyle name="Normal 10 2 2 8" xfId="3952"/>
    <cellStyle name="Normal 10 2 2 8 2" xfId="3953"/>
    <cellStyle name="Normal 10 2 2 8 2 2" xfId="11931"/>
    <cellStyle name="Normal 10 2 2 8 3" xfId="9932"/>
    <cellStyle name="Normal 10 2 2 9" xfId="3954"/>
    <cellStyle name="Normal 10 2 2 9 2" xfId="3955"/>
    <cellStyle name="Normal 10 2 2 9 2 2" xfId="11932"/>
    <cellStyle name="Normal 10 2 2 9 3" xfId="9933"/>
    <cellStyle name="Normal 10 2 2_Culture" xfId="3956"/>
    <cellStyle name="Normal 10 2 3" xfId="3957"/>
    <cellStyle name="Normal 10 2 3 10" xfId="3958"/>
    <cellStyle name="Normal 10 2 3 10 2" xfId="11933"/>
    <cellStyle name="Normal 10 2 3 11" xfId="9934"/>
    <cellStyle name="Normal 10 2 3 2" xfId="3959"/>
    <cellStyle name="Normal 10 2 3 2 2" xfId="3960"/>
    <cellStyle name="Normal 10 2 3 2 2 2" xfId="3961"/>
    <cellStyle name="Normal 10 2 3 2 2 3" xfId="3962"/>
    <cellStyle name="Normal 10 2 3 2 2 4" xfId="9936"/>
    <cellStyle name="Normal 10 2 3 2 3" xfId="3963"/>
    <cellStyle name="Normal 10 2 3 2 3 2" xfId="3964"/>
    <cellStyle name="Normal 10 2 3 2 3 3" xfId="3965"/>
    <cellStyle name="Normal 10 2 3 2 3 4" xfId="9937"/>
    <cellStyle name="Normal 10 2 3 2 4" xfId="3966"/>
    <cellStyle name="Normal 10 2 3 2 4 2" xfId="3967"/>
    <cellStyle name="Normal 10 2 3 2 4 3" xfId="3968"/>
    <cellStyle name="Normal 10 2 3 2 4 4" xfId="9938"/>
    <cellStyle name="Normal 10 2 3 2 5" xfId="3969"/>
    <cellStyle name="Normal 10 2 3 2 5 2" xfId="3970"/>
    <cellStyle name="Normal 10 2 3 2 5 3" xfId="3971"/>
    <cellStyle name="Normal 10 2 3 2 5 4" xfId="9939"/>
    <cellStyle name="Normal 10 2 3 2 6" xfId="3972"/>
    <cellStyle name="Normal 10 2 3 2 6 2" xfId="3973"/>
    <cellStyle name="Normal 10 2 3 2 6 3" xfId="3974"/>
    <cellStyle name="Normal 10 2 3 2 6 4" xfId="9940"/>
    <cellStyle name="Normal 10 2 3 2 7" xfId="3975"/>
    <cellStyle name="Normal 10 2 3 2 7 2" xfId="3976"/>
    <cellStyle name="Normal 10 2 3 2 7 3" xfId="3977"/>
    <cellStyle name="Normal 10 2 3 2 7 4" xfId="9941"/>
    <cellStyle name="Normal 10 2 3 2 8" xfId="3978"/>
    <cellStyle name="Normal 10 2 3 2 8 2" xfId="11934"/>
    <cellStyle name="Normal 10 2 3 2 9" xfId="9935"/>
    <cellStyle name="Normal 10 2 3 3" xfId="3979"/>
    <cellStyle name="Normal 10 2 3 3 2" xfId="3980"/>
    <cellStyle name="Normal 10 2 3 3 2 2" xfId="11935"/>
    <cellStyle name="Normal 10 2 3 3 3" xfId="9942"/>
    <cellStyle name="Normal 10 2 3 4" xfId="3981"/>
    <cellStyle name="Normal 10 2 3 4 2" xfId="3982"/>
    <cellStyle name="Normal 10 2 3 4 2 2" xfId="11936"/>
    <cellStyle name="Normal 10 2 3 4 3" xfId="9943"/>
    <cellStyle name="Normal 10 2 3 5" xfId="3983"/>
    <cellStyle name="Normal 10 2 3 5 2" xfId="3984"/>
    <cellStyle name="Normal 10 2 3 5 2 2" xfId="11937"/>
    <cellStyle name="Normal 10 2 3 5 3" xfId="9944"/>
    <cellStyle name="Normal 10 2 3 6" xfId="3985"/>
    <cellStyle name="Normal 10 2 3 6 2" xfId="3986"/>
    <cellStyle name="Normal 10 2 3 6 2 2" xfId="11938"/>
    <cellStyle name="Normal 10 2 3 6 3" xfId="9945"/>
    <cellStyle name="Normal 10 2 3 7" xfId="3987"/>
    <cellStyle name="Normal 10 2 3 7 2" xfId="3988"/>
    <cellStyle name="Normal 10 2 3 7 2 2" xfId="11939"/>
    <cellStyle name="Normal 10 2 3 7 3" xfId="9946"/>
    <cellStyle name="Normal 10 2 3 8" xfId="3989"/>
    <cellStyle name="Normal 10 2 3 8 2" xfId="3990"/>
    <cellStyle name="Normal 10 2 3 8 3" xfId="3991"/>
    <cellStyle name="Normal 10 2 3 8 4" xfId="9947"/>
    <cellStyle name="Normal 10 2 3 9" xfId="3992"/>
    <cellStyle name="Normal 10 2 3 9 2" xfId="3993"/>
    <cellStyle name="Normal 10 2 3 9 3" xfId="3994"/>
    <cellStyle name="Normal 10 2 3 9 4" xfId="9948"/>
    <cellStyle name="Normal 10 2 3_Culture" xfId="3995"/>
    <cellStyle name="Normal 10 2 4" xfId="3996"/>
    <cellStyle name="Normal 10 2 4 10" xfId="3997"/>
    <cellStyle name="Normal 10 2 4 10 2" xfId="11940"/>
    <cellStyle name="Normal 10 2 4 11" xfId="9949"/>
    <cellStyle name="Normal 10 2 4 2" xfId="3998"/>
    <cellStyle name="Normal 10 2 4 2 2" xfId="3999"/>
    <cellStyle name="Normal 10 2 4 2 2 2" xfId="11941"/>
    <cellStyle name="Normal 10 2 4 2 3" xfId="9950"/>
    <cellStyle name="Normal 10 2 4 3" xfId="4000"/>
    <cellStyle name="Normal 10 2 4 3 2" xfId="4001"/>
    <cellStyle name="Normal 10 2 4 3 2 2" xfId="11942"/>
    <cellStyle name="Normal 10 2 4 3 3" xfId="9951"/>
    <cellStyle name="Normal 10 2 4 4" xfId="4002"/>
    <cellStyle name="Normal 10 2 4 4 2" xfId="4003"/>
    <cellStyle name="Normal 10 2 4 4 2 2" xfId="11943"/>
    <cellStyle name="Normal 10 2 4 4 3" xfId="9952"/>
    <cellStyle name="Normal 10 2 4 5" xfId="4004"/>
    <cellStyle name="Normal 10 2 4 5 2" xfId="4005"/>
    <cellStyle name="Normal 10 2 4 5 2 2" xfId="11944"/>
    <cellStyle name="Normal 10 2 4 5 3" xfId="9953"/>
    <cellStyle name="Normal 10 2 4 6" xfId="4006"/>
    <cellStyle name="Normal 10 2 4 6 2" xfId="4007"/>
    <cellStyle name="Normal 10 2 4 6 2 2" xfId="11945"/>
    <cellStyle name="Normal 10 2 4 6 3" xfId="9954"/>
    <cellStyle name="Normal 10 2 4 7" xfId="4008"/>
    <cellStyle name="Normal 10 2 4 7 2" xfId="4009"/>
    <cellStyle name="Normal 10 2 4 7 2 2" xfId="11946"/>
    <cellStyle name="Normal 10 2 4 7 3" xfId="9955"/>
    <cellStyle name="Normal 10 2 4 8" xfId="4010"/>
    <cellStyle name="Normal 10 2 4 8 2" xfId="4011"/>
    <cellStyle name="Normal 10 2 4 8 3" xfId="4012"/>
    <cellStyle name="Normal 10 2 4 8 4" xfId="9956"/>
    <cellStyle name="Normal 10 2 4 9" xfId="4013"/>
    <cellStyle name="Normal 10 2 4 9 2" xfId="4014"/>
    <cellStyle name="Normal 10 2 4 9 3" xfId="4015"/>
    <cellStyle name="Normal 10 2 4 9 4" xfId="9957"/>
    <cellStyle name="Normal 10 2 4_Culture" xfId="4016"/>
    <cellStyle name="Normal 10 2 5" xfId="4017"/>
    <cellStyle name="Normal 10 2 5 2" xfId="4018"/>
    <cellStyle name="Normal 10 2 5 2 2" xfId="11947"/>
    <cellStyle name="Normal 10 2 5 3" xfId="9958"/>
    <cellStyle name="Normal 10 2 6" xfId="4019"/>
    <cellStyle name="Normal 10 2 6 2" xfId="4020"/>
    <cellStyle name="Normal 10 2 6 2 2" xfId="11948"/>
    <cellStyle name="Normal 10 2 6 3" xfId="9959"/>
    <cellStyle name="Normal 10 2 7" xfId="4021"/>
    <cellStyle name="Normal 10 2 7 2" xfId="4022"/>
    <cellStyle name="Normal 10 2 7 2 2" xfId="11949"/>
    <cellStyle name="Normal 10 2 7 3" xfId="9960"/>
    <cellStyle name="Normal 10 2 8" xfId="4023"/>
    <cellStyle name="Normal 10 2 8 2" xfId="4024"/>
    <cellStyle name="Normal 10 2 8 2 2" xfId="11950"/>
    <cellStyle name="Normal 10 2 8 3" xfId="9961"/>
    <cellStyle name="Normal 10 2 9" xfId="4025"/>
    <cellStyle name="Normal 10 2 9 2" xfId="4026"/>
    <cellStyle name="Normal 10 2 9 2 2" xfId="11951"/>
    <cellStyle name="Normal 10 2 9 3" xfId="9962"/>
    <cellStyle name="Normal 10 2_inv-en-1.5.0-02 trame_fiche-emissions" xfId="4031"/>
    <cellStyle name="Normal 10 20" xfId="4027"/>
    <cellStyle name="Normal 10 20 2" xfId="11535"/>
    <cellStyle name="Normal 10 21" xfId="4028"/>
    <cellStyle name="Normal 10 22" xfId="4029"/>
    <cellStyle name="Normal 10 23" xfId="4030"/>
    <cellStyle name="Normal 10 24" xfId="7798"/>
    <cellStyle name="Normal 10 3" xfId="4032"/>
    <cellStyle name="Normal 10 3 10" xfId="4033"/>
    <cellStyle name="Normal 10 3 10 2" xfId="4034"/>
    <cellStyle name="Normal 10 3 10 3" xfId="4035"/>
    <cellStyle name="Normal 10 3 10 4" xfId="9963"/>
    <cellStyle name="Normal 10 3 11" xfId="4036"/>
    <cellStyle name="Normal 10 3 11 2" xfId="4037"/>
    <cellStyle name="Normal 10 3 11 3" xfId="4038"/>
    <cellStyle name="Normal 10 3 11 4" xfId="9964"/>
    <cellStyle name="Normal 10 3 12" xfId="4039"/>
    <cellStyle name="Normal 10 3 12 2" xfId="11600"/>
    <cellStyle name="Normal 10 3 13" xfId="8006"/>
    <cellStyle name="Normal 10 3 2" xfId="4040"/>
    <cellStyle name="Normal 10 3 2 2" xfId="4041"/>
    <cellStyle name="Normal 10 3 2 2 10" xfId="4042"/>
    <cellStyle name="Normal 10 3 2 2 11" xfId="9966"/>
    <cellStyle name="Normal 10 3 2 2 2" xfId="4043"/>
    <cellStyle name="Normal 10 3 2 2 2 2" xfId="4044"/>
    <cellStyle name="Normal 10 3 2 2 2 2 2" xfId="11953"/>
    <cellStyle name="Normal 10 3 2 2 2 3" xfId="9967"/>
    <cellStyle name="Normal 10 3 2 2 3" xfId="4045"/>
    <cellStyle name="Normal 10 3 2 2 3 2" xfId="4046"/>
    <cellStyle name="Normal 10 3 2 2 3 2 2" xfId="11954"/>
    <cellStyle name="Normal 10 3 2 2 3 3" xfId="9968"/>
    <cellStyle name="Normal 10 3 2 2 4" xfId="4047"/>
    <cellStyle name="Normal 10 3 2 2 4 2" xfId="4048"/>
    <cellStyle name="Normal 10 3 2 2 4 2 2" xfId="11955"/>
    <cellStyle name="Normal 10 3 2 2 4 3" xfId="9969"/>
    <cellStyle name="Normal 10 3 2 2 5" xfId="4049"/>
    <cellStyle name="Normal 10 3 2 2 5 2" xfId="4050"/>
    <cellStyle name="Normal 10 3 2 2 5 2 2" xfId="11956"/>
    <cellStyle name="Normal 10 3 2 2 5 3" xfId="9970"/>
    <cellStyle name="Normal 10 3 2 2 6" xfId="4051"/>
    <cellStyle name="Normal 10 3 2 2 6 2" xfId="4052"/>
    <cellStyle name="Normal 10 3 2 2 6 2 2" xfId="11957"/>
    <cellStyle name="Normal 10 3 2 2 6 3" xfId="9971"/>
    <cellStyle name="Normal 10 3 2 2 7" xfId="4053"/>
    <cellStyle name="Normal 10 3 2 2 7 2" xfId="4054"/>
    <cellStyle name="Normal 10 3 2 2 7 2 2" xfId="11958"/>
    <cellStyle name="Normal 10 3 2 2 7 3" xfId="9972"/>
    <cellStyle name="Normal 10 3 2 2 8" xfId="4055"/>
    <cellStyle name="Normal 10 3 2 2 8 2" xfId="4056"/>
    <cellStyle name="Normal 10 3 2 2 8 3" xfId="4057"/>
    <cellStyle name="Normal 10 3 2 2 8 4" xfId="9973"/>
    <cellStyle name="Normal 10 3 2 2 9" xfId="4058"/>
    <cellStyle name="Normal 10 3 2 2_Culture" xfId="4059"/>
    <cellStyle name="Normal 10 3 2 3" xfId="4060"/>
    <cellStyle name="Normal 10 3 2 3 2" xfId="4061"/>
    <cellStyle name="Normal 10 3 2 3 3" xfId="4062"/>
    <cellStyle name="Normal 10 3 2 3 4" xfId="9974"/>
    <cellStyle name="Normal 10 3 2 4" xfId="4063"/>
    <cellStyle name="Normal 10 3 2 4 2" xfId="4064"/>
    <cellStyle name="Normal 10 3 2 4 3" xfId="4065"/>
    <cellStyle name="Normal 10 3 2 4 4" xfId="9975"/>
    <cellStyle name="Normal 10 3 2 5" xfId="4066"/>
    <cellStyle name="Normal 10 3 2 5 2" xfId="4067"/>
    <cellStyle name="Normal 10 3 2 5 3" xfId="4068"/>
    <cellStyle name="Normal 10 3 2 5 4" xfId="9976"/>
    <cellStyle name="Normal 10 3 2 6" xfId="4069"/>
    <cellStyle name="Normal 10 3 2 6 2" xfId="4070"/>
    <cellStyle name="Normal 10 3 2 6 3" xfId="4071"/>
    <cellStyle name="Normal 10 3 2 6 4" xfId="9977"/>
    <cellStyle name="Normal 10 3 2 7" xfId="4072"/>
    <cellStyle name="Normal 10 3 2 7 2" xfId="4073"/>
    <cellStyle name="Normal 10 3 2 7 3" xfId="4074"/>
    <cellStyle name="Normal 10 3 2 7 4" xfId="9978"/>
    <cellStyle name="Normal 10 3 2 8" xfId="4075"/>
    <cellStyle name="Normal 10 3 2 8 2" xfId="11952"/>
    <cellStyle name="Normal 10 3 2 9" xfId="9965"/>
    <cellStyle name="Normal 10 3 3" xfId="4076"/>
    <cellStyle name="Normal 10 3 3 2" xfId="4077"/>
    <cellStyle name="Normal 10 3 3 2 2" xfId="11959"/>
    <cellStyle name="Normal 10 3 3 3" xfId="9979"/>
    <cellStyle name="Normal 10 3 4" xfId="4078"/>
    <cellStyle name="Normal 10 3 4 2" xfId="4079"/>
    <cellStyle name="Normal 10 3 4 2 2" xfId="11960"/>
    <cellStyle name="Normal 10 3 4 3" xfId="9980"/>
    <cellStyle name="Normal 10 3 5" xfId="4080"/>
    <cellStyle name="Normal 10 3 5 2" xfId="4081"/>
    <cellStyle name="Normal 10 3 5 2 2" xfId="11961"/>
    <cellStyle name="Normal 10 3 5 3" xfId="9981"/>
    <cellStyle name="Normal 10 3 6" xfId="4082"/>
    <cellStyle name="Normal 10 3 6 2" xfId="4083"/>
    <cellStyle name="Normal 10 3 6 2 2" xfId="11962"/>
    <cellStyle name="Normal 10 3 6 3" xfId="9982"/>
    <cellStyle name="Normal 10 3 7" xfId="4084"/>
    <cellStyle name="Normal 10 3 7 2" xfId="4085"/>
    <cellStyle name="Normal 10 3 7 2 2" xfId="11963"/>
    <cellStyle name="Normal 10 3 7 3" xfId="9983"/>
    <cellStyle name="Normal 10 3 8" xfId="4086"/>
    <cellStyle name="Normal 10 3 8 2" xfId="4087"/>
    <cellStyle name="Normal 10 3 8 2 2" xfId="11964"/>
    <cellStyle name="Normal 10 3 8 3" xfId="9984"/>
    <cellStyle name="Normal 10 3 9" xfId="4088"/>
    <cellStyle name="Normal 10 3 9 2" xfId="4089"/>
    <cellStyle name="Normal 10 3 9 2 2" xfId="11965"/>
    <cellStyle name="Normal 10 3 9 3" xfId="9985"/>
    <cellStyle name="Normal 10 3_Culture" xfId="4090"/>
    <cellStyle name="Normal 10 4" xfId="4091"/>
    <cellStyle name="Normal 10 4 10" xfId="4092"/>
    <cellStyle name="Normal 10 4 10 2" xfId="11966"/>
    <cellStyle name="Normal 10 4 11" xfId="9986"/>
    <cellStyle name="Normal 10 4 2" xfId="4093"/>
    <cellStyle name="Normal 10 4 2 2" xfId="4094"/>
    <cellStyle name="Normal 10 4 2 2 2" xfId="4095"/>
    <cellStyle name="Normal 10 4 2 2 3" xfId="4096"/>
    <cellStyle name="Normal 10 4 2 2 4" xfId="9988"/>
    <cellStyle name="Normal 10 4 2 3" xfId="4097"/>
    <cellStyle name="Normal 10 4 2 3 2" xfId="4098"/>
    <cellStyle name="Normal 10 4 2 3 3" xfId="4099"/>
    <cellStyle name="Normal 10 4 2 3 4" xfId="9989"/>
    <cellStyle name="Normal 10 4 2 4" xfId="4100"/>
    <cellStyle name="Normal 10 4 2 4 2" xfId="4101"/>
    <cellStyle name="Normal 10 4 2 4 3" xfId="4102"/>
    <cellStyle name="Normal 10 4 2 4 4" xfId="9990"/>
    <cellStyle name="Normal 10 4 2 5" xfId="4103"/>
    <cellStyle name="Normal 10 4 2 5 2" xfId="4104"/>
    <cellStyle name="Normal 10 4 2 5 3" xfId="4105"/>
    <cellStyle name="Normal 10 4 2 5 4" xfId="9991"/>
    <cellStyle name="Normal 10 4 2 6" xfId="4106"/>
    <cellStyle name="Normal 10 4 2 6 2" xfId="4107"/>
    <cellStyle name="Normal 10 4 2 6 3" xfId="4108"/>
    <cellStyle name="Normal 10 4 2 6 4" xfId="9992"/>
    <cellStyle name="Normal 10 4 2 7" xfId="4109"/>
    <cellStyle name="Normal 10 4 2 7 2" xfId="4110"/>
    <cellStyle name="Normal 10 4 2 7 3" xfId="4111"/>
    <cellStyle name="Normal 10 4 2 7 4" xfId="9993"/>
    <cellStyle name="Normal 10 4 2 8" xfId="4112"/>
    <cellStyle name="Normal 10 4 2 8 2" xfId="11967"/>
    <cellStyle name="Normal 10 4 2 9" xfId="9987"/>
    <cellStyle name="Normal 10 4 3" xfId="4113"/>
    <cellStyle name="Normal 10 4 3 2" xfId="4114"/>
    <cellStyle name="Normal 10 4 3 2 2" xfId="11968"/>
    <cellStyle name="Normal 10 4 3 3" xfId="9994"/>
    <cellStyle name="Normal 10 4 4" xfId="4115"/>
    <cellStyle name="Normal 10 4 4 2" xfId="4116"/>
    <cellStyle name="Normal 10 4 4 2 2" xfId="11969"/>
    <cellStyle name="Normal 10 4 4 3" xfId="9995"/>
    <cellStyle name="Normal 10 4 5" xfId="4117"/>
    <cellStyle name="Normal 10 4 5 2" xfId="4118"/>
    <cellStyle name="Normal 10 4 5 2 2" xfId="11970"/>
    <cellStyle name="Normal 10 4 5 3" xfId="9996"/>
    <cellStyle name="Normal 10 4 6" xfId="4119"/>
    <cellStyle name="Normal 10 4 6 2" xfId="4120"/>
    <cellStyle name="Normal 10 4 6 2 2" xfId="11971"/>
    <cellStyle name="Normal 10 4 6 3" xfId="9997"/>
    <cellStyle name="Normal 10 4 7" xfId="4121"/>
    <cellStyle name="Normal 10 4 7 2" xfId="4122"/>
    <cellStyle name="Normal 10 4 7 2 2" xfId="11972"/>
    <cellStyle name="Normal 10 4 7 3" xfId="9998"/>
    <cellStyle name="Normal 10 4 8" xfId="4123"/>
    <cellStyle name="Normal 10 4 8 2" xfId="4124"/>
    <cellStyle name="Normal 10 4 8 3" xfId="4125"/>
    <cellStyle name="Normal 10 4 8 4" xfId="9999"/>
    <cellStyle name="Normal 10 4 9" xfId="4126"/>
    <cellStyle name="Normal 10 4 9 2" xfId="4127"/>
    <cellStyle name="Normal 10 4 9 3" xfId="4128"/>
    <cellStyle name="Normal 10 4 9 4" xfId="10000"/>
    <cellStyle name="Normal 10 4_Culture" xfId="4129"/>
    <cellStyle name="Normal 10 5" xfId="4130"/>
    <cellStyle name="Normal 10 5 10" xfId="4131"/>
    <cellStyle name="Normal 10 5 10 2" xfId="11973"/>
    <cellStyle name="Normal 10 5 11" xfId="10001"/>
    <cellStyle name="Normal 10 5 2" xfId="4132"/>
    <cellStyle name="Normal 10 5 2 2" xfId="4133"/>
    <cellStyle name="Normal 10 5 2 2 2" xfId="11974"/>
    <cellStyle name="Normal 10 5 2 3" xfId="10002"/>
    <cellStyle name="Normal 10 5 3" xfId="4134"/>
    <cellStyle name="Normal 10 5 3 2" xfId="4135"/>
    <cellStyle name="Normal 10 5 3 2 2" xfId="11975"/>
    <cellStyle name="Normal 10 5 3 3" xfId="10003"/>
    <cellStyle name="Normal 10 5 4" xfId="4136"/>
    <cellStyle name="Normal 10 5 4 2" xfId="4137"/>
    <cellStyle name="Normal 10 5 4 2 2" xfId="11976"/>
    <cellStyle name="Normal 10 5 4 3" xfId="10004"/>
    <cellStyle name="Normal 10 5 5" xfId="4138"/>
    <cellStyle name="Normal 10 5 5 2" xfId="4139"/>
    <cellStyle name="Normal 10 5 5 2 2" xfId="11977"/>
    <cellStyle name="Normal 10 5 5 3" xfId="10005"/>
    <cellStyle name="Normal 10 5 6" xfId="4140"/>
    <cellStyle name="Normal 10 5 6 2" xfId="4141"/>
    <cellStyle name="Normal 10 5 6 2 2" xfId="11978"/>
    <cellStyle name="Normal 10 5 6 3" xfId="10006"/>
    <cellStyle name="Normal 10 5 7" xfId="4142"/>
    <cellStyle name="Normal 10 5 7 2" xfId="4143"/>
    <cellStyle name="Normal 10 5 7 2 2" xfId="11979"/>
    <cellStyle name="Normal 10 5 7 3" xfId="10007"/>
    <cellStyle name="Normal 10 5 8" xfId="4144"/>
    <cellStyle name="Normal 10 5 8 2" xfId="4145"/>
    <cellStyle name="Normal 10 5 8 3" xfId="4146"/>
    <cellStyle name="Normal 10 5 8 4" xfId="10008"/>
    <cellStyle name="Normal 10 5 9" xfId="4147"/>
    <cellStyle name="Normal 10 5 9 2" xfId="4148"/>
    <cellStyle name="Normal 10 5 9 3" xfId="4149"/>
    <cellStyle name="Normal 10 5 9 4" xfId="10009"/>
    <cellStyle name="Normal 10 5_Culture" xfId="4150"/>
    <cellStyle name="Normal 10 6" xfId="4151"/>
    <cellStyle name="Normal 10 6 2" xfId="4152"/>
    <cellStyle name="Normal 10 6 2 2" xfId="11980"/>
    <cellStyle name="Normal 10 6 3" xfId="10010"/>
    <cellStyle name="Normal 10 7" xfId="4153"/>
    <cellStyle name="Normal 10 7 2" xfId="4154"/>
    <cellStyle name="Normal 10 7 2 2" xfId="11981"/>
    <cellStyle name="Normal 10 7 3" xfId="10011"/>
    <cellStyle name="Normal 10 8" xfId="4155"/>
    <cellStyle name="Normal 10 8 2" xfId="4156"/>
    <cellStyle name="Normal 10 8 2 2" xfId="11982"/>
    <cellStyle name="Normal 10 8 3" xfId="10012"/>
    <cellStyle name="Normal 10 9" xfId="4157"/>
    <cellStyle name="Normal 10 9 2" xfId="4158"/>
    <cellStyle name="Normal 10 9 2 2" xfId="11983"/>
    <cellStyle name="Normal 10 9 3" xfId="10013"/>
    <cellStyle name="Normal 10_inv-en-1.5.0-02 trame_fiche-emissions" xfId="4200"/>
    <cellStyle name="Normal 100" xfId="4159"/>
    <cellStyle name="Normal 100 2" xfId="4160"/>
    <cellStyle name="Normal 100 2 2" xfId="4161"/>
    <cellStyle name="Normal 100 2 3" xfId="10015"/>
    <cellStyle name="Normal 100 3" xfId="4162"/>
    <cellStyle name="Normal 100 4" xfId="10014"/>
    <cellStyle name="Normal 101" xfId="4163"/>
    <cellStyle name="Normal 101 2" xfId="4164"/>
    <cellStyle name="Normal 101 2 2" xfId="4165"/>
    <cellStyle name="Normal 101 2 3" xfId="10017"/>
    <cellStyle name="Normal 101 3" xfId="4166"/>
    <cellStyle name="Normal 101 4" xfId="10016"/>
    <cellStyle name="Normal 102" xfId="4167"/>
    <cellStyle name="Normal 102 2" xfId="4168"/>
    <cellStyle name="Normal 102 2 2" xfId="4169"/>
    <cellStyle name="Normal 102 2 3" xfId="10019"/>
    <cellStyle name="Normal 102 3" xfId="4170"/>
    <cellStyle name="Normal 102 4" xfId="10018"/>
    <cellStyle name="Normal 103" xfId="4171"/>
    <cellStyle name="Normal 103 2" xfId="4172"/>
    <cellStyle name="Normal 103 2 2" xfId="4173"/>
    <cellStyle name="Normal 103 2 3" xfId="10021"/>
    <cellStyle name="Normal 103 3" xfId="4174"/>
    <cellStyle name="Normal 103 4" xfId="10020"/>
    <cellStyle name="Normal 104" xfId="4175"/>
    <cellStyle name="Normal 104 2" xfId="4176"/>
    <cellStyle name="Normal 104 2 2" xfId="4177"/>
    <cellStyle name="Normal 104 2 3" xfId="10023"/>
    <cellStyle name="Normal 104 3" xfId="4178"/>
    <cellStyle name="Normal 104 4" xfId="10022"/>
    <cellStyle name="Normal 105" xfId="4179"/>
    <cellStyle name="Normal 105 2" xfId="4180"/>
    <cellStyle name="Normal 105 2 2" xfId="4181"/>
    <cellStyle name="Normal 105 2 3" xfId="10025"/>
    <cellStyle name="Normal 105 3" xfId="4182"/>
    <cellStyle name="Normal 105 4" xfId="10024"/>
    <cellStyle name="Normal 106" xfId="4183"/>
    <cellStyle name="Normal 106 2" xfId="4184"/>
    <cellStyle name="Normal 106 2 2" xfId="4185"/>
    <cellStyle name="Normal 106 2 3" xfId="10027"/>
    <cellStyle name="Normal 106 3" xfId="4186"/>
    <cellStyle name="Normal 106 4" xfId="10026"/>
    <cellStyle name="Normal 107" xfId="4187"/>
    <cellStyle name="Normal 107 2" xfId="4188"/>
    <cellStyle name="Normal 107 2 2" xfId="4189"/>
    <cellStyle name="Normal 107 2 3" xfId="10029"/>
    <cellStyle name="Normal 107 3" xfId="4190"/>
    <cellStyle name="Normal 107 4" xfId="10028"/>
    <cellStyle name="Normal 108" xfId="4191"/>
    <cellStyle name="Normal 108 2" xfId="4192"/>
    <cellStyle name="Normal 108 3" xfId="4193"/>
    <cellStyle name="Normal 108 4" xfId="10030"/>
    <cellStyle name="Normal 109" xfId="4194"/>
    <cellStyle name="Normal 109 2" xfId="4195"/>
    <cellStyle name="Normal 109 2 2" xfId="4196"/>
    <cellStyle name="Normal 109 2 3" xfId="10032"/>
    <cellStyle name="Normal 109 3" xfId="4197"/>
    <cellStyle name="Normal 109 3 2" xfId="4198"/>
    <cellStyle name="Normal 109 3 3" xfId="10033"/>
    <cellStyle name="Normal 109 4" xfId="4199"/>
    <cellStyle name="Normal 109 5" xfId="10031"/>
    <cellStyle name="Normal 11" xfId="4201"/>
    <cellStyle name="Normal 11 10" xfId="4202"/>
    <cellStyle name="Normal 11 10 2" xfId="4203"/>
    <cellStyle name="Normal 11 10 2 2" xfId="11984"/>
    <cellStyle name="Normal 11 10 3" xfId="10034"/>
    <cellStyle name="Normal 11 11" xfId="4204"/>
    <cellStyle name="Normal 11 11 2" xfId="4205"/>
    <cellStyle name="Normal 11 11 2 2" xfId="11985"/>
    <cellStyle name="Normal 11 11 3" xfId="10035"/>
    <cellStyle name="Normal 11 12" xfId="4206"/>
    <cellStyle name="Normal 11 12 2" xfId="4207"/>
    <cellStyle name="Normal 11 12 2 2" xfId="11986"/>
    <cellStyle name="Normal 11 12 3" xfId="10036"/>
    <cellStyle name="Normal 11 13" xfId="4208"/>
    <cellStyle name="Normal 11 13 2" xfId="4209"/>
    <cellStyle name="Normal 11 13 2 2" xfId="11987"/>
    <cellStyle name="Normal 11 13 3" xfId="10037"/>
    <cellStyle name="Normal 11 14" xfId="4210"/>
    <cellStyle name="Normal 11 14 2" xfId="4211"/>
    <cellStyle name="Normal 11 14 3" xfId="4212"/>
    <cellStyle name="Normal 11 14 4" xfId="10038"/>
    <cellStyle name="Normal 11 15" xfId="4213"/>
    <cellStyle name="Normal 11 15 2" xfId="4214"/>
    <cellStyle name="Normal 11 15 3" xfId="4215"/>
    <cellStyle name="Normal 11 15 4" xfId="10039"/>
    <cellStyle name="Normal 11 16" xfId="4216"/>
    <cellStyle name="Normal 11 16 2" xfId="4217"/>
    <cellStyle name="Normal 11 16 3" xfId="4218"/>
    <cellStyle name="Normal 11 16 4" xfId="10040"/>
    <cellStyle name="Normal 11 17" xfId="4219"/>
    <cellStyle name="Normal 11 17 2" xfId="4220"/>
    <cellStyle name="Normal 11 17 3" xfId="4221"/>
    <cellStyle name="Normal 11 17 4" xfId="10041"/>
    <cellStyle name="Normal 11 18" xfId="4222"/>
    <cellStyle name="Normal 11 18 2" xfId="4223"/>
    <cellStyle name="Normal 11 18 3" xfId="4224"/>
    <cellStyle name="Normal 11 18 4" xfId="10042"/>
    <cellStyle name="Normal 11 19" xfId="4225"/>
    <cellStyle name="Normal 11 19 2" xfId="4226"/>
    <cellStyle name="Normal 11 19 2 2" xfId="11601"/>
    <cellStyle name="Normal 11 19 3" xfId="8007"/>
    <cellStyle name="Normal 11 2" xfId="4227"/>
    <cellStyle name="Normal 11 2 10" xfId="4228"/>
    <cellStyle name="Normal 11 2 10 2" xfId="4229"/>
    <cellStyle name="Normal 11 2 10 2 2" xfId="11988"/>
    <cellStyle name="Normal 11 2 10 3" xfId="10043"/>
    <cellStyle name="Normal 11 2 11" xfId="4230"/>
    <cellStyle name="Normal 11 2 11 2" xfId="4231"/>
    <cellStyle name="Normal 11 2 11 2 2" xfId="11989"/>
    <cellStyle name="Normal 11 2 11 3" xfId="10044"/>
    <cellStyle name="Normal 11 2 12" xfId="4232"/>
    <cellStyle name="Normal 11 2 12 2" xfId="4233"/>
    <cellStyle name="Normal 11 2 12 2 2" xfId="11990"/>
    <cellStyle name="Normal 11 2 12 3" xfId="10045"/>
    <cellStyle name="Normal 11 2 13" xfId="4234"/>
    <cellStyle name="Normal 11 2 13 2" xfId="4235"/>
    <cellStyle name="Normal 11 2 13 3" xfId="4236"/>
    <cellStyle name="Normal 11 2 13 4" xfId="10046"/>
    <cellStyle name="Normal 11 2 14" xfId="4237"/>
    <cellStyle name="Normal 11 2 14 2" xfId="4238"/>
    <cellStyle name="Normal 11 2 14 3" xfId="4239"/>
    <cellStyle name="Normal 11 2 14 4" xfId="10047"/>
    <cellStyle name="Normal 11 2 15" xfId="4240"/>
    <cellStyle name="Normal 11 2 15 2" xfId="4241"/>
    <cellStyle name="Normal 11 2 15 3" xfId="4242"/>
    <cellStyle name="Normal 11 2 15 4" xfId="10048"/>
    <cellStyle name="Normal 11 2 16" xfId="4243"/>
    <cellStyle name="Normal 11 2 16 2" xfId="4244"/>
    <cellStyle name="Normal 11 2 16 3" xfId="4245"/>
    <cellStyle name="Normal 11 2 16 4" xfId="10049"/>
    <cellStyle name="Normal 11 2 17" xfId="4246"/>
    <cellStyle name="Normal 11 2 17 2" xfId="4247"/>
    <cellStyle name="Normal 11 2 17 3" xfId="4248"/>
    <cellStyle name="Normal 11 2 17 4" xfId="10050"/>
    <cellStyle name="Normal 11 2 18" xfId="4249"/>
    <cellStyle name="Normal 11 2 18 2" xfId="11602"/>
    <cellStyle name="Normal 11 2 19" xfId="12129"/>
    <cellStyle name="Normal 11 2 2" xfId="4250"/>
    <cellStyle name="Normal 11 2 2 10" xfId="4251"/>
    <cellStyle name="Normal 11 2 2 10 2" xfId="4252"/>
    <cellStyle name="Normal 11 2 2 10 3" xfId="4253"/>
    <cellStyle name="Normal 11 2 2 10 4" xfId="10051"/>
    <cellStyle name="Normal 11 2 2 11" xfId="4254"/>
    <cellStyle name="Normal 11 2 2 11 2" xfId="4255"/>
    <cellStyle name="Normal 11 2 2 11 3" xfId="4256"/>
    <cellStyle name="Normal 11 2 2 11 4" xfId="10052"/>
    <cellStyle name="Normal 11 2 2 12" xfId="4257"/>
    <cellStyle name="Normal 11 2 2 12 2" xfId="11603"/>
    <cellStyle name="Normal 11 2 2 13" xfId="8009"/>
    <cellStyle name="Normal 11 2 2 2" xfId="4258"/>
    <cellStyle name="Normal 11 2 2 2 2" xfId="4259"/>
    <cellStyle name="Normal 11 2 2 2 2 10" xfId="4260"/>
    <cellStyle name="Normal 11 2 2 2 2 11" xfId="10054"/>
    <cellStyle name="Normal 11 2 2 2 2 2" xfId="4261"/>
    <cellStyle name="Normal 11 2 2 2 2 2 2" xfId="4262"/>
    <cellStyle name="Normal 11 2 2 2 2 2 2 2" xfId="11992"/>
    <cellStyle name="Normal 11 2 2 2 2 2 3" xfId="10055"/>
    <cellStyle name="Normal 11 2 2 2 2 3" xfId="4263"/>
    <cellStyle name="Normal 11 2 2 2 2 3 2" xfId="4264"/>
    <cellStyle name="Normal 11 2 2 2 2 3 2 2" xfId="11993"/>
    <cellStyle name="Normal 11 2 2 2 2 3 3" xfId="10056"/>
    <cellStyle name="Normal 11 2 2 2 2 4" xfId="4265"/>
    <cellStyle name="Normal 11 2 2 2 2 4 2" xfId="4266"/>
    <cellStyle name="Normal 11 2 2 2 2 4 2 2" xfId="11994"/>
    <cellStyle name="Normal 11 2 2 2 2 4 3" xfId="10057"/>
    <cellStyle name="Normal 11 2 2 2 2 5" xfId="4267"/>
    <cellStyle name="Normal 11 2 2 2 2 5 2" xfId="4268"/>
    <cellStyle name="Normal 11 2 2 2 2 5 2 2" xfId="11995"/>
    <cellStyle name="Normal 11 2 2 2 2 5 3" xfId="10058"/>
    <cellStyle name="Normal 11 2 2 2 2 6" xfId="4269"/>
    <cellStyle name="Normal 11 2 2 2 2 6 2" xfId="4270"/>
    <cellStyle name="Normal 11 2 2 2 2 6 2 2" xfId="11996"/>
    <cellStyle name="Normal 11 2 2 2 2 6 3" xfId="10059"/>
    <cellStyle name="Normal 11 2 2 2 2 7" xfId="4271"/>
    <cellStyle name="Normal 11 2 2 2 2 7 2" xfId="4272"/>
    <cellStyle name="Normal 11 2 2 2 2 7 2 2" xfId="11997"/>
    <cellStyle name="Normal 11 2 2 2 2 7 3" xfId="10060"/>
    <cellStyle name="Normal 11 2 2 2 2 8" xfId="4273"/>
    <cellStyle name="Normal 11 2 2 2 2 8 2" xfId="4274"/>
    <cellStyle name="Normal 11 2 2 2 2 8 3" xfId="4275"/>
    <cellStyle name="Normal 11 2 2 2 2 8 4" xfId="10061"/>
    <cellStyle name="Normal 11 2 2 2 2 9" xfId="4276"/>
    <cellStyle name="Normal 11 2 2 2 2_Culture" xfId="4277"/>
    <cellStyle name="Normal 11 2 2 2 3" xfId="4278"/>
    <cellStyle name="Normal 11 2 2 2 3 2" xfId="4279"/>
    <cellStyle name="Normal 11 2 2 2 3 3" xfId="4280"/>
    <cellStyle name="Normal 11 2 2 2 3 4" xfId="10062"/>
    <cellStyle name="Normal 11 2 2 2 4" xfId="4281"/>
    <cellStyle name="Normal 11 2 2 2 4 2" xfId="4282"/>
    <cellStyle name="Normal 11 2 2 2 4 3" xfId="4283"/>
    <cellStyle name="Normal 11 2 2 2 4 4" xfId="10063"/>
    <cellStyle name="Normal 11 2 2 2 5" xfId="4284"/>
    <cellStyle name="Normal 11 2 2 2 5 2" xfId="4285"/>
    <cellStyle name="Normal 11 2 2 2 5 3" xfId="4286"/>
    <cellStyle name="Normal 11 2 2 2 5 4" xfId="10064"/>
    <cellStyle name="Normal 11 2 2 2 6" xfId="4287"/>
    <cellStyle name="Normal 11 2 2 2 6 2" xfId="4288"/>
    <cellStyle name="Normal 11 2 2 2 6 3" xfId="4289"/>
    <cellStyle name="Normal 11 2 2 2 6 4" xfId="10065"/>
    <cellStyle name="Normal 11 2 2 2 7" xfId="4290"/>
    <cellStyle name="Normal 11 2 2 2 7 2" xfId="4291"/>
    <cellStyle name="Normal 11 2 2 2 7 3" xfId="4292"/>
    <cellStyle name="Normal 11 2 2 2 7 4" xfId="10066"/>
    <cellStyle name="Normal 11 2 2 2 8" xfId="4293"/>
    <cellStyle name="Normal 11 2 2 2 8 2" xfId="11991"/>
    <cellStyle name="Normal 11 2 2 2 9" xfId="10053"/>
    <cellStyle name="Normal 11 2 2 3" xfId="4294"/>
    <cellStyle name="Normal 11 2 2 3 2" xfId="4295"/>
    <cellStyle name="Normal 11 2 2 3 2 2" xfId="11998"/>
    <cellStyle name="Normal 11 2 2 3 3" xfId="10067"/>
    <cellStyle name="Normal 11 2 2 4" xfId="4296"/>
    <cellStyle name="Normal 11 2 2 4 2" xfId="4297"/>
    <cellStyle name="Normal 11 2 2 4 2 2" xfId="11999"/>
    <cellStyle name="Normal 11 2 2 4 3" xfId="10068"/>
    <cellStyle name="Normal 11 2 2 5" xfId="4298"/>
    <cellStyle name="Normal 11 2 2 5 2" xfId="4299"/>
    <cellStyle name="Normal 11 2 2 5 2 2" xfId="12000"/>
    <cellStyle name="Normal 11 2 2 5 3" xfId="10069"/>
    <cellStyle name="Normal 11 2 2 6" xfId="4300"/>
    <cellStyle name="Normal 11 2 2 6 2" xfId="4301"/>
    <cellStyle name="Normal 11 2 2 6 2 2" xfId="12001"/>
    <cellStyle name="Normal 11 2 2 6 3" xfId="10070"/>
    <cellStyle name="Normal 11 2 2 7" xfId="4302"/>
    <cellStyle name="Normal 11 2 2 7 2" xfId="4303"/>
    <cellStyle name="Normal 11 2 2 7 2 2" xfId="12002"/>
    <cellStyle name="Normal 11 2 2 7 3" xfId="10071"/>
    <cellStyle name="Normal 11 2 2 8" xfId="4304"/>
    <cellStyle name="Normal 11 2 2 8 2" xfId="4305"/>
    <cellStyle name="Normal 11 2 2 8 2 2" xfId="12003"/>
    <cellStyle name="Normal 11 2 2 8 3" xfId="10072"/>
    <cellStyle name="Normal 11 2 2 9" xfId="4306"/>
    <cellStyle name="Normal 11 2 2 9 2" xfId="4307"/>
    <cellStyle name="Normal 11 2 2 9 2 2" xfId="12004"/>
    <cellStyle name="Normal 11 2 2 9 3" xfId="10073"/>
    <cellStyle name="Normal 11 2 2_Culture" xfId="4308"/>
    <cellStyle name="Normal 11 2 20" xfId="8008"/>
    <cellStyle name="Normal 11 2 3" xfId="4309"/>
    <cellStyle name="Normal 11 2 3 10" xfId="4310"/>
    <cellStyle name="Normal 11 2 3 10 2" xfId="12005"/>
    <cellStyle name="Normal 11 2 3 11" xfId="10074"/>
    <cellStyle name="Normal 11 2 3 2" xfId="4311"/>
    <cellStyle name="Normal 11 2 3 2 2" xfId="4312"/>
    <cellStyle name="Normal 11 2 3 2 2 2" xfId="4313"/>
    <cellStyle name="Normal 11 2 3 2 2 3" xfId="4314"/>
    <cellStyle name="Normal 11 2 3 2 2 4" xfId="10076"/>
    <cellStyle name="Normal 11 2 3 2 3" xfId="4315"/>
    <cellStyle name="Normal 11 2 3 2 3 2" xfId="4316"/>
    <cellStyle name="Normal 11 2 3 2 3 3" xfId="4317"/>
    <cellStyle name="Normal 11 2 3 2 3 4" xfId="10077"/>
    <cellStyle name="Normal 11 2 3 2 4" xfId="4318"/>
    <cellStyle name="Normal 11 2 3 2 4 2" xfId="4319"/>
    <cellStyle name="Normal 11 2 3 2 4 3" xfId="4320"/>
    <cellStyle name="Normal 11 2 3 2 4 4" xfId="10078"/>
    <cellStyle name="Normal 11 2 3 2 5" xfId="4321"/>
    <cellStyle name="Normal 11 2 3 2 5 2" xfId="4322"/>
    <cellStyle name="Normal 11 2 3 2 5 3" xfId="4323"/>
    <cellStyle name="Normal 11 2 3 2 5 4" xfId="10079"/>
    <cellStyle name="Normal 11 2 3 2 6" xfId="4324"/>
    <cellStyle name="Normal 11 2 3 2 6 2" xfId="4325"/>
    <cellStyle name="Normal 11 2 3 2 6 3" xfId="4326"/>
    <cellStyle name="Normal 11 2 3 2 6 4" xfId="10080"/>
    <cellStyle name="Normal 11 2 3 2 7" xfId="4327"/>
    <cellStyle name="Normal 11 2 3 2 7 2" xfId="4328"/>
    <cellStyle name="Normal 11 2 3 2 7 3" xfId="4329"/>
    <cellStyle name="Normal 11 2 3 2 7 4" xfId="10081"/>
    <cellStyle name="Normal 11 2 3 2 8" xfId="4330"/>
    <cellStyle name="Normal 11 2 3 2 8 2" xfId="12006"/>
    <cellStyle name="Normal 11 2 3 2 9" xfId="10075"/>
    <cellStyle name="Normal 11 2 3 3" xfId="4331"/>
    <cellStyle name="Normal 11 2 3 3 2" xfId="4332"/>
    <cellStyle name="Normal 11 2 3 3 2 2" xfId="12007"/>
    <cellStyle name="Normal 11 2 3 3 3" xfId="10082"/>
    <cellStyle name="Normal 11 2 3 4" xfId="4333"/>
    <cellStyle name="Normal 11 2 3 4 2" xfId="4334"/>
    <cellStyle name="Normal 11 2 3 4 2 2" xfId="12008"/>
    <cellStyle name="Normal 11 2 3 4 3" xfId="10083"/>
    <cellStyle name="Normal 11 2 3 5" xfId="4335"/>
    <cellStyle name="Normal 11 2 3 5 2" xfId="4336"/>
    <cellStyle name="Normal 11 2 3 5 2 2" xfId="12009"/>
    <cellStyle name="Normal 11 2 3 5 3" xfId="10084"/>
    <cellStyle name="Normal 11 2 3 6" xfId="4337"/>
    <cellStyle name="Normal 11 2 3 6 2" xfId="4338"/>
    <cellStyle name="Normal 11 2 3 6 2 2" xfId="12010"/>
    <cellStyle name="Normal 11 2 3 6 3" xfId="10085"/>
    <cellStyle name="Normal 11 2 3 7" xfId="4339"/>
    <cellStyle name="Normal 11 2 3 7 2" xfId="4340"/>
    <cellStyle name="Normal 11 2 3 7 2 2" xfId="12011"/>
    <cellStyle name="Normal 11 2 3 7 3" xfId="10086"/>
    <cellStyle name="Normal 11 2 3 8" xfId="4341"/>
    <cellStyle name="Normal 11 2 3 8 2" xfId="4342"/>
    <cellStyle name="Normal 11 2 3 8 3" xfId="4343"/>
    <cellStyle name="Normal 11 2 3 8 4" xfId="10087"/>
    <cellStyle name="Normal 11 2 3 9" xfId="4344"/>
    <cellStyle name="Normal 11 2 3 9 2" xfId="4345"/>
    <cellStyle name="Normal 11 2 3 9 3" xfId="4346"/>
    <cellStyle name="Normal 11 2 3 9 4" xfId="10088"/>
    <cellStyle name="Normal 11 2 3_Culture" xfId="4347"/>
    <cellStyle name="Normal 11 2 4" xfId="4348"/>
    <cellStyle name="Normal 11 2 4 10" xfId="4349"/>
    <cellStyle name="Normal 11 2 4 10 2" xfId="12012"/>
    <cellStyle name="Normal 11 2 4 11" xfId="10089"/>
    <cellStyle name="Normal 11 2 4 2" xfId="4350"/>
    <cellStyle name="Normal 11 2 4 2 2" xfId="4351"/>
    <cellStyle name="Normal 11 2 4 2 2 2" xfId="12013"/>
    <cellStyle name="Normal 11 2 4 2 3" xfId="10090"/>
    <cellStyle name="Normal 11 2 4 3" xfId="4352"/>
    <cellStyle name="Normal 11 2 4 3 2" xfId="4353"/>
    <cellStyle name="Normal 11 2 4 3 2 2" xfId="12014"/>
    <cellStyle name="Normal 11 2 4 3 3" xfId="10091"/>
    <cellStyle name="Normal 11 2 4 4" xfId="4354"/>
    <cellStyle name="Normal 11 2 4 4 2" xfId="4355"/>
    <cellStyle name="Normal 11 2 4 4 2 2" xfId="12015"/>
    <cellStyle name="Normal 11 2 4 4 3" xfId="10092"/>
    <cellStyle name="Normal 11 2 4 5" xfId="4356"/>
    <cellStyle name="Normal 11 2 4 5 2" xfId="4357"/>
    <cellStyle name="Normal 11 2 4 5 2 2" xfId="12016"/>
    <cellStyle name="Normal 11 2 4 5 3" xfId="10093"/>
    <cellStyle name="Normal 11 2 4 6" xfId="4358"/>
    <cellStyle name="Normal 11 2 4 6 2" xfId="4359"/>
    <cellStyle name="Normal 11 2 4 6 2 2" xfId="12017"/>
    <cellStyle name="Normal 11 2 4 6 3" xfId="10094"/>
    <cellStyle name="Normal 11 2 4 7" xfId="4360"/>
    <cellStyle name="Normal 11 2 4 7 2" xfId="4361"/>
    <cellStyle name="Normal 11 2 4 7 2 2" xfId="12018"/>
    <cellStyle name="Normal 11 2 4 7 3" xfId="10095"/>
    <cellStyle name="Normal 11 2 4 8" xfId="4362"/>
    <cellStyle name="Normal 11 2 4 8 2" xfId="4363"/>
    <cellStyle name="Normal 11 2 4 8 3" xfId="4364"/>
    <cellStyle name="Normal 11 2 4 8 4" xfId="10096"/>
    <cellStyle name="Normal 11 2 4 9" xfId="4365"/>
    <cellStyle name="Normal 11 2 4 9 2" xfId="4366"/>
    <cellStyle name="Normal 11 2 4 9 3" xfId="4367"/>
    <cellStyle name="Normal 11 2 4 9 4" xfId="10097"/>
    <cellStyle name="Normal 11 2 4_Culture" xfId="4368"/>
    <cellStyle name="Normal 11 2 5" xfId="4369"/>
    <cellStyle name="Normal 11 2 5 2" xfId="4370"/>
    <cellStyle name="Normal 11 2 5 2 2" xfId="12019"/>
    <cellStyle name="Normal 11 2 5 3" xfId="10098"/>
    <cellStyle name="Normal 11 2 6" xfId="4371"/>
    <cellStyle name="Normal 11 2 6 2" xfId="4372"/>
    <cellStyle name="Normal 11 2 6 2 2" xfId="12020"/>
    <cellStyle name="Normal 11 2 6 3" xfId="10099"/>
    <cellStyle name="Normal 11 2 7" xfId="4373"/>
    <cellStyle name="Normal 11 2 7 2" xfId="4374"/>
    <cellStyle name="Normal 11 2 7 2 2" xfId="12021"/>
    <cellStyle name="Normal 11 2 7 3" xfId="10100"/>
    <cellStyle name="Normal 11 2 8" xfId="4375"/>
    <cellStyle name="Normal 11 2 8 2" xfId="4376"/>
    <cellStyle name="Normal 11 2 8 2 2" xfId="12022"/>
    <cellStyle name="Normal 11 2 8 3" xfId="10101"/>
    <cellStyle name="Normal 11 2 9" xfId="4377"/>
    <cellStyle name="Normal 11 2 9 2" xfId="4378"/>
    <cellStyle name="Normal 11 2 9 2 2" xfId="12023"/>
    <cellStyle name="Normal 11 2 9 3" xfId="10102"/>
    <cellStyle name="Normal 11 2_inv-en-1.5.0-02 trame_fiche-emissions" xfId="4383"/>
    <cellStyle name="Normal 11 20" xfId="4379"/>
    <cellStyle name="Normal 11 20 2" xfId="11536"/>
    <cellStyle name="Normal 11 21" xfId="4380"/>
    <cellStyle name="Normal 11 22" xfId="4381"/>
    <cellStyle name="Normal 11 23" xfId="4382"/>
    <cellStyle name="Normal 11 24" xfId="7810"/>
    <cellStyle name="Normal 11 3" xfId="4384"/>
    <cellStyle name="Normal 11 3 10" xfId="4385"/>
    <cellStyle name="Normal 11 3 10 2" xfId="4386"/>
    <cellStyle name="Normal 11 3 10 3" xfId="4387"/>
    <cellStyle name="Normal 11 3 10 4" xfId="10103"/>
    <cellStyle name="Normal 11 3 11" xfId="4388"/>
    <cellStyle name="Normal 11 3 11 2" xfId="4389"/>
    <cellStyle name="Normal 11 3 11 3" xfId="4390"/>
    <cellStyle name="Normal 11 3 11 4" xfId="10104"/>
    <cellStyle name="Normal 11 3 12" xfId="4391"/>
    <cellStyle name="Normal 11 3 12 2" xfId="11604"/>
    <cellStyle name="Normal 11 3 13" xfId="8010"/>
    <cellStyle name="Normal 11 3 2" xfId="4392"/>
    <cellStyle name="Normal 11 3 2 2" xfId="4393"/>
    <cellStyle name="Normal 11 3 2 2 10" xfId="4394"/>
    <cellStyle name="Normal 11 3 2 2 11" xfId="10106"/>
    <cellStyle name="Normal 11 3 2 2 2" xfId="4395"/>
    <cellStyle name="Normal 11 3 2 2 2 2" xfId="4396"/>
    <cellStyle name="Normal 11 3 2 2 2 2 2" xfId="12025"/>
    <cellStyle name="Normal 11 3 2 2 2 3" xfId="10107"/>
    <cellStyle name="Normal 11 3 2 2 3" xfId="4397"/>
    <cellStyle name="Normal 11 3 2 2 3 2" xfId="4398"/>
    <cellStyle name="Normal 11 3 2 2 3 2 2" xfId="12026"/>
    <cellStyle name="Normal 11 3 2 2 3 3" xfId="10108"/>
    <cellStyle name="Normal 11 3 2 2 4" xfId="4399"/>
    <cellStyle name="Normal 11 3 2 2 4 2" xfId="4400"/>
    <cellStyle name="Normal 11 3 2 2 4 2 2" xfId="12027"/>
    <cellStyle name="Normal 11 3 2 2 4 3" xfId="10109"/>
    <cellStyle name="Normal 11 3 2 2 5" xfId="4401"/>
    <cellStyle name="Normal 11 3 2 2 5 2" xfId="4402"/>
    <cellStyle name="Normal 11 3 2 2 5 2 2" xfId="12028"/>
    <cellStyle name="Normal 11 3 2 2 5 3" xfId="10110"/>
    <cellStyle name="Normal 11 3 2 2 6" xfId="4403"/>
    <cellStyle name="Normal 11 3 2 2 6 2" xfId="4404"/>
    <cellStyle name="Normal 11 3 2 2 6 2 2" xfId="12029"/>
    <cellStyle name="Normal 11 3 2 2 6 3" xfId="10111"/>
    <cellStyle name="Normal 11 3 2 2 7" xfId="4405"/>
    <cellStyle name="Normal 11 3 2 2 7 2" xfId="4406"/>
    <cellStyle name="Normal 11 3 2 2 7 2 2" xfId="12030"/>
    <cellStyle name="Normal 11 3 2 2 7 3" xfId="10112"/>
    <cellStyle name="Normal 11 3 2 2 8" xfId="4407"/>
    <cellStyle name="Normal 11 3 2 2 8 2" xfId="4408"/>
    <cellStyle name="Normal 11 3 2 2 8 3" xfId="4409"/>
    <cellStyle name="Normal 11 3 2 2 8 4" xfId="10113"/>
    <cellStyle name="Normal 11 3 2 2 9" xfId="4410"/>
    <cellStyle name="Normal 11 3 2 2_Culture" xfId="4411"/>
    <cellStyle name="Normal 11 3 2 3" xfId="4412"/>
    <cellStyle name="Normal 11 3 2 3 2" xfId="4413"/>
    <cellStyle name="Normal 11 3 2 3 3" xfId="4414"/>
    <cellStyle name="Normal 11 3 2 3 4" xfId="10114"/>
    <cellStyle name="Normal 11 3 2 4" xfId="4415"/>
    <cellStyle name="Normal 11 3 2 4 2" xfId="4416"/>
    <cellStyle name="Normal 11 3 2 4 3" xfId="4417"/>
    <cellStyle name="Normal 11 3 2 4 4" xfId="10115"/>
    <cellStyle name="Normal 11 3 2 5" xfId="4418"/>
    <cellStyle name="Normal 11 3 2 5 2" xfId="4419"/>
    <cellStyle name="Normal 11 3 2 5 3" xfId="4420"/>
    <cellStyle name="Normal 11 3 2 5 4" xfId="10116"/>
    <cellStyle name="Normal 11 3 2 6" xfId="4421"/>
    <cellStyle name="Normal 11 3 2 6 2" xfId="4422"/>
    <cellStyle name="Normal 11 3 2 6 3" xfId="4423"/>
    <cellStyle name="Normal 11 3 2 6 4" xfId="10117"/>
    <cellStyle name="Normal 11 3 2 7" xfId="4424"/>
    <cellStyle name="Normal 11 3 2 7 2" xfId="4425"/>
    <cellStyle name="Normal 11 3 2 7 3" xfId="4426"/>
    <cellStyle name="Normal 11 3 2 7 4" xfId="10118"/>
    <cellStyle name="Normal 11 3 2 8" xfId="4427"/>
    <cellStyle name="Normal 11 3 2 8 2" xfId="12024"/>
    <cellStyle name="Normal 11 3 2 9" xfId="10105"/>
    <cellStyle name="Normal 11 3 3" xfId="4428"/>
    <cellStyle name="Normal 11 3 3 2" xfId="4429"/>
    <cellStyle name="Normal 11 3 3 2 2" xfId="12031"/>
    <cellStyle name="Normal 11 3 3 3" xfId="10119"/>
    <cellStyle name="Normal 11 3 4" xfId="4430"/>
    <cellStyle name="Normal 11 3 4 2" xfId="4431"/>
    <cellStyle name="Normal 11 3 4 2 2" xfId="12032"/>
    <cellStyle name="Normal 11 3 4 3" xfId="10120"/>
    <cellStyle name="Normal 11 3 5" xfId="4432"/>
    <cellStyle name="Normal 11 3 5 2" xfId="4433"/>
    <cellStyle name="Normal 11 3 5 2 2" xfId="12033"/>
    <cellStyle name="Normal 11 3 5 3" xfId="10121"/>
    <cellStyle name="Normal 11 3 6" xfId="4434"/>
    <cellStyle name="Normal 11 3 6 2" xfId="4435"/>
    <cellStyle name="Normal 11 3 6 2 2" xfId="12034"/>
    <cellStyle name="Normal 11 3 6 3" xfId="10122"/>
    <cellStyle name="Normal 11 3 7" xfId="4436"/>
    <cellStyle name="Normal 11 3 7 2" xfId="4437"/>
    <cellStyle name="Normal 11 3 7 2 2" xfId="12035"/>
    <cellStyle name="Normal 11 3 7 3" xfId="10123"/>
    <cellStyle name="Normal 11 3 8" xfId="4438"/>
    <cellStyle name="Normal 11 3 8 2" xfId="4439"/>
    <cellStyle name="Normal 11 3 8 2 2" xfId="12036"/>
    <cellStyle name="Normal 11 3 8 3" xfId="10124"/>
    <cellStyle name="Normal 11 3 9" xfId="4440"/>
    <cellStyle name="Normal 11 3 9 2" xfId="4441"/>
    <cellStyle name="Normal 11 3 9 2 2" xfId="12037"/>
    <cellStyle name="Normal 11 3 9 3" xfId="10125"/>
    <cellStyle name="Normal 11 3_Culture" xfId="4442"/>
    <cellStyle name="Normal 11 4" xfId="4443"/>
    <cellStyle name="Normal 11 4 10" xfId="4444"/>
    <cellStyle name="Normal 11 4 10 2" xfId="12038"/>
    <cellStyle name="Normal 11 4 11" xfId="10126"/>
    <cellStyle name="Normal 11 4 2" xfId="4445"/>
    <cellStyle name="Normal 11 4 2 2" xfId="4446"/>
    <cellStyle name="Normal 11 4 2 2 2" xfId="4447"/>
    <cellStyle name="Normal 11 4 2 2 3" xfId="4448"/>
    <cellStyle name="Normal 11 4 2 2 4" xfId="10128"/>
    <cellStyle name="Normal 11 4 2 3" xfId="4449"/>
    <cellStyle name="Normal 11 4 2 3 2" xfId="4450"/>
    <cellStyle name="Normal 11 4 2 3 3" xfId="4451"/>
    <cellStyle name="Normal 11 4 2 3 4" xfId="10129"/>
    <cellStyle name="Normal 11 4 2 4" xfId="4452"/>
    <cellStyle name="Normal 11 4 2 4 2" xfId="4453"/>
    <cellStyle name="Normal 11 4 2 4 3" xfId="4454"/>
    <cellStyle name="Normal 11 4 2 4 4" xfId="10130"/>
    <cellStyle name="Normal 11 4 2 5" xfId="4455"/>
    <cellStyle name="Normal 11 4 2 5 2" xfId="4456"/>
    <cellStyle name="Normal 11 4 2 5 3" xfId="4457"/>
    <cellStyle name="Normal 11 4 2 5 4" xfId="10131"/>
    <cellStyle name="Normal 11 4 2 6" xfId="4458"/>
    <cellStyle name="Normal 11 4 2 6 2" xfId="4459"/>
    <cellStyle name="Normal 11 4 2 6 3" xfId="4460"/>
    <cellStyle name="Normal 11 4 2 6 4" xfId="10132"/>
    <cellStyle name="Normal 11 4 2 7" xfId="4461"/>
    <cellStyle name="Normal 11 4 2 7 2" xfId="4462"/>
    <cellStyle name="Normal 11 4 2 7 3" xfId="4463"/>
    <cellStyle name="Normal 11 4 2 7 4" xfId="10133"/>
    <cellStyle name="Normal 11 4 2 8" xfId="4464"/>
    <cellStyle name="Normal 11 4 2 8 2" xfId="12039"/>
    <cellStyle name="Normal 11 4 2 9" xfId="10127"/>
    <cellStyle name="Normal 11 4 3" xfId="4465"/>
    <cellStyle name="Normal 11 4 3 2" xfId="4466"/>
    <cellStyle name="Normal 11 4 3 2 2" xfId="12040"/>
    <cellStyle name="Normal 11 4 3 3" xfId="10134"/>
    <cellStyle name="Normal 11 4 4" xfId="4467"/>
    <cellStyle name="Normal 11 4 4 2" xfId="4468"/>
    <cellStyle name="Normal 11 4 4 2 2" xfId="12041"/>
    <cellStyle name="Normal 11 4 4 3" xfId="10135"/>
    <cellStyle name="Normal 11 4 5" xfId="4469"/>
    <cellStyle name="Normal 11 4 5 2" xfId="4470"/>
    <cellStyle name="Normal 11 4 5 2 2" xfId="12042"/>
    <cellStyle name="Normal 11 4 5 3" xfId="10136"/>
    <cellStyle name="Normal 11 4 6" xfId="4471"/>
    <cellStyle name="Normal 11 4 6 2" xfId="4472"/>
    <cellStyle name="Normal 11 4 6 2 2" xfId="12043"/>
    <cellStyle name="Normal 11 4 6 3" xfId="10137"/>
    <cellStyle name="Normal 11 4 7" xfId="4473"/>
    <cellStyle name="Normal 11 4 7 2" xfId="4474"/>
    <cellStyle name="Normal 11 4 7 2 2" xfId="12044"/>
    <cellStyle name="Normal 11 4 7 3" xfId="10138"/>
    <cellStyle name="Normal 11 4 8" xfId="4475"/>
    <cellStyle name="Normal 11 4 8 2" xfId="4476"/>
    <cellStyle name="Normal 11 4 8 3" xfId="4477"/>
    <cellStyle name="Normal 11 4 8 4" xfId="10139"/>
    <cellStyle name="Normal 11 4 9" xfId="4478"/>
    <cellStyle name="Normal 11 4 9 2" xfId="4479"/>
    <cellStyle name="Normal 11 4 9 3" xfId="4480"/>
    <cellStyle name="Normal 11 4 9 4" xfId="10140"/>
    <cellStyle name="Normal 11 4_Culture" xfId="4481"/>
    <cellStyle name="Normal 11 5" xfId="4482"/>
    <cellStyle name="Normal 11 5 10" xfId="4483"/>
    <cellStyle name="Normal 11 5 10 2" xfId="12045"/>
    <cellStyle name="Normal 11 5 11" xfId="10141"/>
    <cellStyle name="Normal 11 5 2" xfId="4484"/>
    <cellStyle name="Normal 11 5 2 2" xfId="4485"/>
    <cellStyle name="Normal 11 5 2 2 2" xfId="12046"/>
    <cellStyle name="Normal 11 5 2 3" xfId="10142"/>
    <cellStyle name="Normal 11 5 3" xfId="4486"/>
    <cellStyle name="Normal 11 5 3 2" xfId="4487"/>
    <cellStyle name="Normal 11 5 3 2 2" xfId="12047"/>
    <cellStyle name="Normal 11 5 3 3" xfId="10143"/>
    <cellStyle name="Normal 11 5 4" xfId="4488"/>
    <cellStyle name="Normal 11 5 4 2" xfId="4489"/>
    <cellStyle name="Normal 11 5 4 2 2" xfId="12048"/>
    <cellStyle name="Normal 11 5 4 3" xfId="10144"/>
    <cellStyle name="Normal 11 5 5" xfId="4490"/>
    <cellStyle name="Normal 11 5 5 2" xfId="4491"/>
    <cellStyle name="Normal 11 5 5 2 2" xfId="12049"/>
    <cellStyle name="Normal 11 5 5 3" xfId="10145"/>
    <cellStyle name="Normal 11 5 6" xfId="4492"/>
    <cellStyle name="Normal 11 5 6 2" xfId="4493"/>
    <cellStyle name="Normal 11 5 6 2 2" xfId="12050"/>
    <cellStyle name="Normal 11 5 6 3" xfId="10146"/>
    <cellStyle name="Normal 11 5 7" xfId="4494"/>
    <cellStyle name="Normal 11 5 7 2" xfId="4495"/>
    <cellStyle name="Normal 11 5 7 2 2" xfId="12051"/>
    <cellStyle name="Normal 11 5 7 3" xfId="10147"/>
    <cellStyle name="Normal 11 5 8" xfId="4496"/>
    <cellStyle name="Normal 11 5 8 2" xfId="4497"/>
    <cellStyle name="Normal 11 5 8 3" xfId="4498"/>
    <cellStyle name="Normal 11 5 8 4" xfId="10148"/>
    <cellStyle name="Normal 11 5 9" xfId="4499"/>
    <cellStyle name="Normal 11 5 9 2" xfId="4500"/>
    <cellStyle name="Normal 11 5 9 3" xfId="4501"/>
    <cellStyle name="Normal 11 5 9 4" xfId="10149"/>
    <cellStyle name="Normal 11 5_Culture" xfId="4502"/>
    <cellStyle name="Normal 11 6" xfId="4503"/>
    <cellStyle name="Normal 11 6 2" xfId="4504"/>
    <cellStyle name="Normal 11 6 2 2" xfId="12052"/>
    <cellStyle name="Normal 11 6 3" xfId="10150"/>
    <cellStyle name="Normal 11 7" xfId="4505"/>
    <cellStyle name="Normal 11 7 2" xfId="4506"/>
    <cellStyle name="Normal 11 7 2 2" xfId="12053"/>
    <cellStyle name="Normal 11 7 3" xfId="10151"/>
    <cellStyle name="Normal 11 8" xfId="4507"/>
    <cellStyle name="Normal 11 8 2" xfId="4508"/>
    <cellStyle name="Normal 11 8 2 2" xfId="12054"/>
    <cellStyle name="Normal 11 8 3" xfId="10152"/>
    <cellStyle name="Normal 11 9" xfId="4509"/>
    <cellStyle name="Normal 11 9 2" xfId="4510"/>
    <cellStyle name="Normal 11 9 2 2" xfId="12055"/>
    <cellStyle name="Normal 11 9 3" xfId="10153"/>
    <cellStyle name="Normal 11_inv-en-1.5.0-02 trame_fiche-emissions" xfId="4544"/>
    <cellStyle name="Normal 110" xfId="4511"/>
    <cellStyle name="Normal 110 2" xfId="4512"/>
    <cellStyle name="Normal 110 2 2" xfId="4513"/>
    <cellStyle name="Normal 110 2 3" xfId="10155"/>
    <cellStyle name="Normal 110 3" xfId="4514"/>
    <cellStyle name="Normal 110 3 2" xfId="4515"/>
    <cellStyle name="Normal 110 3 3" xfId="10156"/>
    <cellStyle name="Normal 110 4" xfId="4516"/>
    <cellStyle name="Normal 110 5" xfId="10154"/>
    <cellStyle name="Normal 111" xfId="4517"/>
    <cellStyle name="Normal 111 2" xfId="4518"/>
    <cellStyle name="Normal 111 2 2" xfId="4519"/>
    <cellStyle name="Normal 111 2 3" xfId="10158"/>
    <cellStyle name="Normal 111 3" xfId="4520"/>
    <cellStyle name="Normal 111 3 2" xfId="4521"/>
    <cellStyle name="Normal 111 3 3" xfId="10159"/>
    <cellStyle name="Normal 111 4" xfId="4522"/>
    <cellStyle name="Normal 111 5" xfId="10157"/>
    <cellStyle name="Normal 112" xfId="4523"/>
    <cellStyle name="Normal 112 2" xfId="4524"/>
    <cellStyle name="Normal 112 2 2" xfId="4525"/>
    <cellStyle name="Normal 112 2 3" xfId="10161"/>
    <cellStyle name="Normal 112 3" xfId="4526"/>
    <cellStyle name="Normal 112 3 2" xfId="4527"/>
    <cellStyle name="Normal 112 3 3" xfId="10162"/>
    <cellStyle name="Normal 112 4" xfId="4528"/>
    <cellStyle name="Normal 112 5" xfId="10160"/>
    <cellStyle name="Normal 113" xfId="4529"/>
    <cellStyle name="Normal 113 2" xfId="4530"/>
    <cellStyle name="Normal 113 3" xfId="4531"/>
    <cellStyle name="Normal 113 4" xfId="10163"/>
    <cellStyle name="Normal 114" xfId="4532"/>
    <cellStyle name="Normal 114 2" xfId="4533"/>
    <cellStyle name="Normal 114 3" xfId="10164"/>
    <cellStyle name="Normal 115" xfId="4534"/>
    <cellStyle name="Normal 115 2" xfId="4535"/>
    <cellStyle name="Normal 115 3" xfId="10165"/>
    <cellStyle name="Normal 116" xfId="4536"/>
    <cellStyle name="Normal 116 2" xfId="4537"/>
    <cellStyle name="Normal 116 3" xfId="10166"/>
    <cellStyle name="Normal 117" xfId="4538"/>
    <cellStyle name="Normal 117 2" xfId="4539"/>
    <cellStyle name="Normal 117 3" xfId="10167"/>
    <cellStyle name="Normal 118" xfId="4540"/>
    <cellStyle name="Normal 118 2" xfId="4541"/>
    <cellStyle name="Normal 118 3" xfId="10168"/>
    <cellStyle name="Normal 119" xfId="4542"/>
    <cellStyle name="Normal 119 2" xfId="4543"/>
    <cellStyle name="Normal 119 3" xfId="10169"/>
    <cellStyle name="Normal 12" xfId="4545"/>
    <cellStyle name="Normal 12 10" xfId="4546"/>
    <cellStyle name="Normal 12 10 2" xfId="4547"/>
    <cellStyle name="Normal 12 10 3" xfId="7811"/>
    <cellStyle name="Normal 12 11" xfId="4548"/>
    <cellStyle name="Normal 12 11 2" xfId="4549"/>
    <cellStyle name="Normal 12 11 3" xfId="10170"/>
    <cellStyle name="Normal 12 12" xfId="4550"/>
    <cellStyle name="Normal 12 12 2" xfId="4551"/>
    <cellStyle name="Normal 12 12 3" xfId="10171"/>
    <cellStyle name="Normal 12 13" xfId="4552"/>
    <cellStyle name="Normal 12 13 2" xfId="4553"/>
    <cellStyle name="Normal 12 13 3" xfId="10172"/>
    <cellStyle name="Normal 12 14" xfId="4554"/>
    <cellStyle name="Normal 12 14 2" xfId="4555"/>
    <cellStyle name="Normal 12 14 3" xfId="10173"/>
    <cellStyle name="Normal 12 15" xfId="4556"/>
    <cellStyle name="Normal 12 16" xfId="8011"/>
    <cellStyle name="Normal 12 2" xfId="4557"/>
    <cellStyle name="Normal 12 2 2" xfId="4558"/>
    <cellStyle name="Normal 12 2 2 2" xfId="4559"/>
    <cellStyle name="Normal 12 2 2 2 2" xfId="4560"/>
    <cellStyle name="Normal 12 2 2 2 3" xfId="10174"/>
    <cellStyle name="Normal 12 2 2 3" xfId="4561"/>
    <cellStyle name="Normal 12 2 2 4" xfId="8013"/>
    <cellStyle name="Normal 12 2 3" xfId="4562"/>
    <cellStyle name="Normal 12 2 3 2" xfId="4563"/>
    <cellStyle name="Normal 12 2 3 3" xfId="10175"/>
    <cellStyle name="Normal 12 2 4" xfId="4564"/>
    <cellStyle name="Normal 12 2 5" xfId="8012"/>
    <cellStyle name="Normal 12 3" xfId="4565"/>
    <cellStyle name="Normal 12 3 2" xfId="4566"/>
    <cellStyle name="Normal 12 3 2 2" xfId="4567"/>
    <cellStyle name="Normal 12 3 2 3" xfId="10176"/>
    <cellStyle name="Normal 12 3 3" xfId="4568"/>
    <cellStyle name="Normal 12 3 4" xfId="8014"/>
    <cellStyle name="Normal 12 4" xfId="4569"/>
    <cellStyle name="Normal 12 4 2" xfId="4570"/>
    <cellStyle name="Normal 12 4 3" xfId="10177"/>
    <cellStyle name="Normal 12 5" xfId="4571"/>
    <cellStyle name="Normal 12 5 2" xfId="4572"/>
    <cellStyle name="Normal 12 5 3" xfId="10178"/>
    <cellStyle name="Normal 12 6" xfId="4573"/>
    <cellStyle name="Normal 12 6 2" xfId="4574"/>
    <cellStyle name="Normal 12 6 3" xfId="10179"/>
    <cellStyle name="Normal 12 7" xfId="4575"/>
    <cellStyle name="Normal 12 7 2" xfId="4576"/>
    <cellStyle name="Normal 12 7 3" xfId="10180"/>
    <cellStyle name="Normal 12 8" xfId="4577"/>
    <cellStyle name="Normal 12 8 2" xfId="4578"/>
    <cellStyle name="Normal 12 8 3" xfId="10181"/>
    <cellStyle name="Normal 12 9" xfId="4579"/>
    <cellStyle name="Normal 12 9 2" xfId="4580"/>
    <cellStyle name="Normal 12 9 3" xfId="10182"/>
    <cellStyle name="Normal 12_inv-en-1.5.0-02 trame_fiche-emissions" xfId="4602"/>
    <cellStyle name="Normal 120" xfId="4581"/>
    <cellStyle name="Normal 120 2" xfId="4582"/>
    <cellStyle name="Normal 120 3" xfId="10183"/>
    <cellStyle name="Normal 121" xfId="4583"/>
    <cellStyle name="Normal 121 2" xfId="4584"/>
    <cellStyle name="Normal 121 3" xfId="10184"/>
    <cellStyle name="Normal 122" xfId="4585"/>
    <cellStyle name="Normal 122 2" xfId="4586"/>
    <cellStyle name="Normal 122 3" xfId="10185"/>
    <cellStyle name="Normal 123" xfId="4587"/>
    <cellStyle name="Normal 123 2" xfId="4588"/>
    <cellStyle name="Normal 123 3" xfId="10186"/>
    <cellStyle name="Normal 124" xfId="4589"/>
    <cellStyle name="Normal 124 2" xfId="4590"/>
    <cellStyle name="Normal 124 3" xfId="10187"/>
    <cellStyle name="Normal 125" xfId="4591"/>
    <cellStyle name="Normal 125 2" xfId="4592"/>
    <cellStyle name="Normal 125 3" xfId="10188"/>
    <cellStyle name="Normal 126" xfId="4593"/>
    <cellStyle name="Normal 126 2" xfId="4594"/>
    <cellStyle name="Normal 126 3" xfId="4595"/>
    <cellStyle name="Normal 126 4" xfId="10189"/>
    <cellStyle name="Normal 127" xfId="4596"/>
    <cellStyle name="Normal 127 2" xfId="4597"/>
    <cellStyle name="Normal 127 3" xfId="10190"/>
    <cellStyle name="Normal 128" xfId="4598"/>
    <cellStyle name="Normal 128 2" xfId="4599"/>
    <cellStyle name="Normal 128 3" xfId="10191"/>
    <cellStyle name="Normal 129" xfId="4600"/>
    <cellStyle name="Normal 129 2" xfId="4601"/>
    <cellStyle name="Normal 129 3" xfId="10192"/>
    <cellStyle name="Normal 13" xfId="4603"/>
    <cellStyle name="Normal 13 10" xfId="4604"/>
    <cellStyle name="Normal 13 10 2" xfId="4605"/>
    <cellStyle name="Normal 13 10 3" xfId="10193"/>
    <cellStyle name="Normal 13 11" xfId="4606"/>
    <cellStyle name="Normal 13 11 2" xfId="4607"/>
    <cellStyle name="Normal 13 11 3" xfId="10194"/>
    <cellStyle name="Normal 13 12" xfId="4608"/>
    <cellStyle name="Normal 13 12 2" xfId="4609"/>
    <cellStyle name="Normal 13 12 3" xfId="10195"/>
    <cellStyle name="Normal 13 13" xfId="4610"/>
    <cellStyle name="Normal 13 13 2" xfId="4611"/>
    <cellStyle name="Normal 13 13 3" xfId="10196"/>
    <cellStyle name="Normal 13 14" xfId="4612"/>
    <cellStyle name="Normal 13 14 2" xfId="4613"/>
    <cellStyle name="Normal 13 14 3" xfId="10197"/>
    <cellStyle name="Normal 13 15" xfId="4614"/>
    <cellStyle name="Normal 13 16" xfId="8015"/>
    <cellStyle name="Normal 13 2" xfId="4615"/>
    <cellStyle name="Normal 13 2 2" xfId="4616"/>
    <cellStyle name="Normal 13 2 2 2" xfId="4617"/>
    <cellStyle name="Normal 13 2 2 2 2" xfId="4618"/>
    <cellStyle name="Normal 13 2 2 2 3" xfId="10198"/>
    <cellStyle name="Normal 13 2 2 3" xfId="4619"/>
    <cellStyle name="Normal 13 2 2 4" xfId="8017"/>
    <cellStyle name="Normal 13 2 3" xfId="4620"/>
    <cellStyle name="Normal 13 2 3 2" xfId="4621"/>
    <cellStyle name="Normal 13 2 3 3" xfId="10199"/>
    <cellStyle name="Normal 13 2 4" xfId="4622"/>
    <cellStyle name="Normal 13 2 5" xfId="8016"/>
    <cellStyle name="Normal 13 3" xfId="4623"/>
    <cellStyle name="Normal 13 3 2" xfId="4624"/>
    <cellStyle name="Normal 13 3 2 2" xfId="4625"/>
    <cellStyle name="Normal 13 3 2 3" xfId="10200"/>
    <cellStyle name="Normal 13 3 3" xfId="4626"/>
    <cellStyle name="Normal 13 3 4" xfId="8018"/>
    <cellStyle name="Normal 13 4" xfId="4627"/>
    <cellStyle name="Normal 13 4 2" xfId="4628"/>
    <cellStyle name="Normal 13 4 3" xfId="10201"/>
    <cellStyle name="Normal 13 5" xfId="4629"/>
    <cellStyle name="Normal 13 5 2" xfId="4630"/>
    <cellStyle name="Normal 13 5 3" xfId="10202"/>
    <cellStyle name="Normal 13 6" xfId="4631"/>
    <cellStyle name="Normal 13 6 2" xfId="4632"/>
    <cellStyle name="Normal 13 6 3" xfId="10203"/>
    <cellStyle name="Normal 13 7" xfId="4633"/>
    <cellStyle name="Normal 13 7 2" xfId="4634"/>
    <cellStyle name="Normal 13 7 3" xfId="10204"/>
    <cellStyle name="Normal 13 8" xfId="4635"/>
    <cellStyle name="Normal 13 8 2" xfId="4636"/>
    <cellStyle name="Normal 13 8 3" xfId="10205"/>
    <cellStyle name="Normal 13 9" xfId="4637"/>
    <cellStyle name="Normal 13 9 2" xfId="4638"/>
    <cellStyle name="Normal 13 9 3" xfId="10206"/>
    <cellStyle name="Normal 13_inv-en-1.5.0-02 trame_fiche-emissions" xfId="4661"/>
    <cellStyle name="Normal 130" xfId="4639"/>
    <cellStyle name="Normal 130 2" xfId="4640"/>
    <cellStyle name="Normal 130 3" xfId="10207"/>
    <cellStyle name="Normal 131" xfId="4641"/>
    <cellStyle name="Normal 131 2" xfId="4642"/>
    <cellStyle name="Normal 131 3" xfId="10208"/>
    <cellStyle name="Normal 132" xfId="4643"/>
    <cellStyle name="Normal 132 2" xfId="4644"/>
    <cellStyle name="Normal 132 3" xfId="10209"/>
    <cellStyle name="Normal 133" xfId="4645"/>
    <cellStyle name="Normal 133 2" xfId="4646"/>
    <cellStyle name="Normal 133 3" xfId="10210"/>
    <cellStyle name="Normal 134" xfId="4647"/>
    <cellStyle name="Normal 134 2" xfId="4648"/>
    <cellStyle name="Normal 134 3" xfId="10211"/>
    <cellStyle name="Normal 135" xfId="4649"/>
    <cellStyle name="Normal 135 2" xfId="4650"/>
    <cellStyle name="Normal 135 3" xfId="10212"/>
    <cellStyle name="Normal 136" xfId="4651"/>
    <cellStyle name="Normal 136 2" xfId="4652"/>
    <cellStyle name="Normal 136 3" xfId="10213"/>
    <cellStyle name="Normal 137" xfId="4653"/>
    <cellStyle name="Normal 137 2" xfId="4654"/>
    <cellStyle name="Normal 137 3" xfId="4655"/>
    <cellStyle name="Normal 137 4" xfId="10214"/>
    <cellStyle name="Normal 138" xfId="4656"/>
    <cellStyle name="Normal 138 2" xfId="4657"/>
    <cellStyle name="Normal 138 3" xfId="4658"/>
    <cellStyle name="Normal 138 4" xfId="10215"/>
    <cellStyle name="Normal 139" xfId="4659"/>
    <cellStyle name="Normal 139 2" xfId="4660"/>
    <cellStyle name="Normal 139 3" xfId="10216"/>
    <cellStyle name="Normal 14" xfId="4662"/>
    <cellStyle name="Normal 14 10" xfId="4663"/>
    <cellStyle name="Normal 14 10 2" xfId="4664"/>
    <cellStyle name="Normal 14 10 3" xfId="10217"/>
    <cellStyle name="Normal 14 11" xfId="4665"/>
    <cellStyle name="Normal 14 11 2" xfId="4666"/>
    <cellStyle name="Normal 14 11 3" xfId="10218"/>
    <cellStyle name="Normal 14 12" xfId="4667"/>
    <cellStyle name="Normal 14 12 2" xfId="4668"/>
    <cellStyle name="Normal 14 12 3" xfId="10219"/>
    <cellStyle name="Normal 14 13" xfId="4669"/>
    <cellStyle name="Normal 14 13 2" xfId="4670"/>
    <cellStyle name="Normal 14 13 3" xfId="10220"/>
    <cellStyle name="Normal 14 14" xfId="4671"/>
    <cellStyle name="Normal 14 15" xfId="8019"/>
    <cellStyle name="Normal 14 2" xfId="4672"/>
    <cellStyle name="Normal 14 2 2" xfId="4673"/>
    <cellStyle name="Normal 14 2 2 2" xfId="4674"/>
    <cellStyle name="Normal 14 2 2 3" xfId="10221"/>
    <cellStyle name="Normal 14 2 3" xfId="4675"/>
    <cellStyle name="Normal 14 2 4" xfId="8020"/>
    <cellStyle name="Normal 14 3" xfId="4676"/>
    <cellStyle name="Normal 14 3 2" xfId="4677"/>
    <cellStyle name="Normal 14 3 3" xfId="10222"/>
    <cellStyle name="Normal 14 4" xfId="4678"/>
    <cellStyle name="Normal 14 4 2" xfId="4679"/>
    <cellStyle name="Normal 14 4 3" xfId="10223"/>
    <cellStyle name="Normal 14 5" xfId="4680"/>
    <cellStyle name="Normal 14 5 2" xfId="4681"/>
    <cellStyle name="Normal 14 5 3" xfId="10224"/>
    <cellStyle name="Normal 14 6" xfId="4682"/>
    <cellStyle name="Normal 14 6 2" xfId="4683"/>
    <cellStyle name="Normal 14 6 3" xfId="10225"/>
    <cellStyle name="Normal 14 7" xfId="4684"/>
    <cellStyle name="Normal 14 7 2" xfId="4685"/>
    <cellStyle name="Normal 14 7 3" xfId="10226"/>
    <cellStyle name="Normal 14 8" xfId="4686"/>
    <cellStyle name="Normal 14 8 2" xfId="4687"/>
    <cellStyle name="Normal 14 8 3" xfId="10227"/>
    <cellStyle name="Normal 14 9" xfId="4688"/>
    <cellStyle name="Normal 14 9 2" xfId="4689"/>
    <cellStyle name="Normal 14 9 3" xfId="10228"/>
    <cellStyle name="Normal 14_inv-en-1.5.0-02 trame_fiche-emissions" xfId="4710"/>
    <cellStyle name="Normal 140" xfId="4690"/>
    <cellStyle name="Normal 140 2" xfId="4691"/>
    <cellStyle name="Normal 140 3" xfId="10229"/>
    <cellStyle name="Normal 141" xfId="4692"/>
    <cellStyle name="Normal 141 2" xfId="4693"/>
    <cellStyle name="Normal 141 3" xfId="10230"/>
    <cellStyle name="Normal 142" xfId="4694"/>
    <cellStyle name="Normal 142 2" xfId="4695"/>
    <cellStyle name="Normal 142 3" xfId="10231"/>
    <cellStyle name="Normal 143" xfId="4696"/>
    <cellStyle name="Normal 143 2" xfId="4697"/>
    <cellStyle name="Normal 143 3" xfId="10232"/>
    <cellStyle name="Normal 144" xfId="4698"/>
    <cellStyle name="Normal 144 2" xfId="4699"/>
    <cellStyle name="Normal 144 3" xfId="10233"/>
    <cellStyle name="Normal 145" xfId="4700"/>
    <cellStyle name="Normal 145 2" xfId="4701"/>
    <cellStyle name="Normal 145 3" xfId="10234"/>
    <cellStyle name="Normal 146" xfId="4702"/>
    <cellStyle name="Normal 146 2" xfId="4703"/>
    <cellStyle name="Normal 146 3" xfId="10235"/>
    <cellStyle name="Normal 147" xfId="4704"/>
    <cellStyle name="Normal 147 2" xfId="4705"/>
    <cellStyle name="Normal 147 3" xfId="10236"/>
    <cellStyle name="Normal 148" xfId="4706"/>
    <cellStyle name="Normal 148 2" xfId="4707"/>
    <cellStyle name="Normal 148 3" xfId="10237"/>
    <cellStyle name="Normal 149" xfId="4708"/>
    <cellStyle name="Normal 149 2" xfId="4709"/>
    <cellStyle name="Normal 149 3" xfId="10238"/>
    <cellStyle name="Normal 15" xfId="4711"/>
    <cellStyle name="Normal 15 10" xfId="4712"/>
    <cellStyle name="Normal 15 10 2" xfId="4713"/>
    <cellStyle name="Normal 15 10 3" xfId="10239"/>
    <cellStyle name="Normal 15 11" xfId="4714"/>
    <cellStyle name="Normal 15 11 2" xfId="4715"/>
    <cellStyle name="Normal 15 11 3" xfId="10240"/>
    <cellStyle name="Normal 15 12" xfId="4716"/>
    <cellStyle name="Normal 15 12 2" xfId="4717"/>
    <cellStyle name="Normal 15 12 3" xfId="10241"/>
    <cellStyle name="Normal 15 13" xfId="4718"/>
    <cellStyle name="Normal 15 13 2" xfId="4719"/>
    <cellStyle name="Normal 15 13 3" xfId="10242"/>
    <cellStyle name="Normal 15 14" xfId="4720"/>
    <cellStyle name="Normal 15 15" xfId="8021"/>
    <cellStyle name="Normal 15 2" xfId="4721"/>
    <cellStyle name="Normal 15 2 2" xfId="4722"/>
    <cellStyle name="Normal 15 2 2 2" xfId="4723"/>
    <cellStyle name="Normal 15 2 2 3" xfId="10243"/>
    <cellStyle name="Normal 15 2 3" xfId="4724"/>
    <cellStyle name="Normal 15 2 4" xfId="8022"/>
    <cellStyle name="Normal 15 3" xfId="4725"/>
    <cellStyle name="Normal 15 3 2" xfId="4726"/>
    <cellStyle name="Normal 15 3 3" xfId="10244"/>
    <cellStyle name="Normal 15 4" xfId="4727"/>
    <cellStyle name="Normal 15 4 2" xfId="4728"/>
    <cellStyle name="Normal 15 4 3" xfId="10245"/>
    <cellStyle name="Normal 15 5" xfId="4729"/>
    <cellStyle name="Normal 15 5 2" xfId="4730"/>
    <cellStyle name="Normal 15 5 3" xfId="10246"/>
    <cellStyle name="Normal 15 6" xfId="4731"/>
    <cellStyle name="Normal 15 6 2" xfId="4732"/>
    <cellStyle name="Normal 15 6 3" xfId="10247"/>
    <cellStyle name="Normal 15 7" xfId="4733"/>
    <cellStyle name="Normal 15 7 2" xfId="4734"/>
    <cellStyle name="Normal 15 7 3" xfId="10248"/>
    <cellStyle name="Normal 15 8" xfId="4735"/>
    <cellStyle name="Normal 15 8 2" xfId="4736"/>
    <cellStyle name="Normal 15 8 3" xfId="10249"/>
    <cellStyle name="Normal 15 9" xfId="4737"/>
    <cellStyle name="Normal 15 9 2" xfId="4738"/>
    <cellStyle name="Normal 15 9 3" xfId="10250"/>
    <cellStyle name="Normal 15_inv-en-1.5.0-02 trame_fiche-emissions" xfId="4759"/>
    <cellStyle name="Normal 150" xfId="4739"/>
    <cellStyle name="Normal 150 2" xfId="4740"/>
    <cellStyle name="Normal 150 3" xfId="10251"/>
    <cellStyle name="Normal 151" xfId="4741"/>
    <cellStyle name="Normal 151 2" xfId="4742"/>
    <cellStyle name="Normal 151 3" xfId="10252"/>
    <cellStyle name="Normal 152" xfId="4743"/>
    <cellStyle name="Normal 152 2" xfId="4744"/>
    <cellStyle name="Normal 152 3" xfId="10253"/>
    <cellStyle name="Normal 153" xfId="4745"/>
    <cellStyle name="Normal 153 2" xfId="4746"/>
    <cellStyle name="Normal 153 3" xfId="10254"/>
    <cellStyle name="Normal 154" xfId="4747"/>
    <cellStyle name="Normal 154 2" xfId="4748"/>
    <cellStyle name="Normal 154 3" xfId="10255"/>
    <cellStyle name="Normal 155" xfId="4749"/>
    <cellStyle name="Normal 155 2" xfId="4750"/>
    <cellStyle name="Normal 155 3" xfId="10256"/>
    <cellStyle name="Normal 156" xfId="4751"/>
    <cellStyle name="Normal 156 2" xfId="4752"/>
    <cellStyle name="Normal 156 3" xfId="10257"/>
    <cellStyle name="Normal 157" xfId="4753"/>
    <cellStyle name="Normal 157 2" xfId="4754"/>
    <cellStyle name="Normal 157 3" xfId="10258"/>
    <cellStyle name="Normal 158" xfId="4755"/>
    <cellStyle name="Normal 158 2" xfId="4756"/>
    <cellStyle name="Normal 158 3" xfId="10259"/>
    <cellStyle name="Normal 159" xfId="4757"/>
    <cellStyle name="Normal 159 2" xfId="4758"/>
    <cellStyle name="Normal 159 3" xfId="10260"/>
    <cellStyle name="Normal 16" xfId="4760"/>
    <cellStyle name="Normal 16 10" xfId="4761"/>
    <cellStyle name="Normal 16 10 2" xfId="4762"/>
    <cellStyle name="Normal 16 10 3" xfId="10261"/>
    <cellStyle name="Normal 16 11" xfId="4763"/>
    <cellStyle name="Normal 16 11 2" xfId="4764"/>
    <cellStyle name="Normal 16 11 3" xfId="10262"/>
    <cellStyle name="Normal 16 12" xfId="4765"/>
    <cellStyle name="Normal 16 12 2" xfId="4766"/>
    <cellStyle name="Normal 16 12 3" xfId="10263"/>
    <cellStyle name="Normal 16 13" xfId="4767"/>
    <cellStyle name="Normal 16 13 2" xfId="4768"/>
    <cellStyle name="Normal 16 13 3" xfId="10264"/>
    <cellStyle name="Normal 16 14" xfId="4769"/>
    <cellStyle name="Normal 16 15" xfId="8023"/>
    <cellStyle name="Normal 16 2" xfId="4770"/>
    <cellStyle name="Normal 16 2 2" xfId="4771"/>
    <cellStyle name="Normal 16 2 2 2" xfId="4772"/>
    <cellStyle name="Normal 16 2 2 3" xfId="10265"/>
    <cellStyle name="Normal 16 2 3" xfId="4773"/>
    <cellStyle name="Normal 16 2 4" xfId="8024"/>
    <cellStyle name="Normal 16 3" xfId="4774"/>
    <cellStyle name="Normal 16 3 2" xfId="4775"/>
    <cellStyle name="Normal 16 3 3" xfId="10266"/>
    <cellStyle name="Normal 16 4" xfId="4776"/>
    <cellStyle name="Normal 16 4 2" xfId="4777"/>
    <cellStyle name="Normal 16 4 3" xfId="10267"/>
    <cellStyle name="Normal 16 5" xfId="4778"/>
    <cellStyle name="Normal 16 5 2" xfId="4779"/>
    <cellStyle name="Normal 16 5 3" xfId="10268"/>
    <cellStyle name="Normal 16 6" xfId="4780"/>
    <cellStyle name="Normal 16 6 2" xfId="4781"/>
    <cellStyle name="Normal 16 6 3" xfId="10269"/>
    <cellStyle name="Normal 16 7" xfId="4782"/>
    <cellStyle name="Normal 16 7 2" xfId="4783"/>
    <cellStyle name="Normal 16 7 3" xfId="10270"/>
    <cellStyle name="Normal 16 8" xfId="4784"/>
    <cellStyle name="Normal 16 8 2" xfId="4785"/>
    <cellStyle name="Normal 16 8 3" xfId="10271"/>
    <cellStyle name="Normal 16 9" xfId="4786"/>
    <cellStyle name="Normal 16 9 2" xfId="4787"/>
    <cellStyle name="Normal 16 9 3" xfId="10272"/>
    <cellStyle name="Normal 16_inv-en-1.5.0-02 trame_fiche-emissions" xfId="4808"/>
    <cellStyle name="Normal 160" xfId="4788"/>
    <cellStyle name="Normal 160 2" xfId="4789"/>
    <cellStyle name="Normal 160 3" xfId="10273"/>
    <cellStyle name="Normal 161" xfId="4790"/>
    <cellStyle name="Normal 161 2" xfId="4791"/>
    <cellStyle name="Normal 161 3" xfId="10274"/>
    <cellStyle name="Normal 162" xfId="4792"/>
    <cellStyle name="Normal 162 2" xfId="4793"/>
    <cellStyle name="Normal 162 3" xfId="10275"/>
    <cellStyle name="Normal 163" xfId="4794"/>
    <cellStyle name="Normal 163 2" xfId="4795"/>
    <cellStyle name="Normal 163 3" xfId="10276"/>
    <cellStyle name="Normal 164" xfId="4796"/>
    <cellStyle name="Normal 164 2" xfId="4797"/>
    <cellStyle name="Normal 164 3" xfId="10277"/>
    <cellStyle name="Normal 165" xfId="4798"/>
    <cellStyle name="Normal 165 2" xfId="4799"/>
    <cellStyle name="Normal 165 3" xfId="10278"/>
    <cellStyle name="Normal 166" xfId="4800"/>
    <cellStyle name="Normal 166 2" xfId="4801"/>
    <cellStyle name="Normal 166 3" xfId="10279"/>
    <cellStyle name="Normal 167" xfId="4802"/>
    <cellStyle name="Normal 167 2" xfId="4803"/>
    <cellStyle name="Normal 167 3" xfId="10280"/>
    <cellStyle name="Normal 168" xfId="4804"/>
    <cellStyle name="Normal 168 2" xfId="4805"/>
    <cellStyle name="Normal 168 3" xfId="10281"/>
    <cellStyle name="Normal 169" xfId="4806"/>
    <cellStyle name="Normal 169 2" xfId="4807"/>
    <cellStyle name="Normal 169 3" xfId="10282"/>
    <cellStyle name="Normal 17" xfId="4809"/>
    <cellStyle name="Normal 17 2" xfId="4810"/>
    <cellStyle name="Normal 17 2 2" xfId="4811"/>
    <cellStyle name="Normal 17 2 2 2" xfId="4812"/>
    <cellStyle name="Normal 17 2 2 3" xfId="10283"/>
    <cellStyle name="Normal 17 2 3" xfId="4813"/>
    <cellStyle name="Normal 17 2 4" xfId="8026"/>
    <cellStyle name="Normal 17 3" xfId="4814"/>
    <cellStyle name="Normal 17 3 2" xfId="4815"/>
    <cellStyle name="Normal 17 3 3" xfId="10284"/>
    <cellStyle name="Normal 17 4" xfId="4816"/>
    <cellStyle name="Normal 17 5" xfId="8025"/>
    <cellStyle name="Normal 170" xfId="4817"/>
    <cellStyle name="Normal 170 2" xfId="4818"/>
    <cellStyle name="Normal 170 3" xfId="10285"/>
    <cellStyle name="Normal 171" xfId="4819"/>
    <cellStyle name="Normal 171 2" xfId="4820"/>
    <cellStyle name="Normal 171 3" xfId="10286"/>
    <cellStyle name="Normal 172" xfId="4821"/>
    <cellStyle name="Normal 172 2" xfId="4822"/>
    <cellStyle name="Normal 172 3" xfId="10287"/>
    <cellStyle name="Normal 173" xfId="4823"/>
    <cellStyle name="Normal 173 2" xfId="4824"/>
    <cellStyle name="Normal 173 3" xfId="10288"/>
    <cellStyle name="Normal 174" xfId="4825"/>
    <cellStyle name="Normal 174 2" xfId="4826"/>
    <cellStyle name="Normal 174 3" xfId="10289"/>
    <cellStyle name="Normal 175" xfId="4827"/>
    <cellStyle name="Normal 175 2" xfId="4828"/>
    <cellStyle name="Normal 175 3" xfId="10290"/>
    <cellStyle name="Normal 176" xfId="4829"/>
    <cellStyle name="Normal 176 2" xfId="4830"/>
    <cellStyle name="Normal 176 3" xfId="10291"/>
    <cellStyle name="Normal 177" xfId="4831"/>
    <cellStyle name="Normal 177 2" xfId="4832"/>
    <cellStyle name="Normal 177 3" xfId="10292"/>
    <cellStyle name="Normal 178" xfId="4833"/>
    <cellStyle name="Normal 178 2" xfId="4834"/>
    <cellStyle name="Normal 178 3" xfId="4835"/>
    <cellStyle name="Normal 178 4" xfId="8205"/>
    <cellStyle name="Normal 179" xfId="4836"/>
    <cellStyle name="Normal 179 2" xfId="4837"/>
    <cellStyle name="Normal 179 3" xfId="10293"/>
    <cellStyle name="Normal 18" xfId="4838"/>
    <cellStyle name="Normal 18 10" xfId="4839"/>
    <cellStyle name="Normal 18 10 2" xfId="4840"/>
    <cellStyle name="Normal 18 10 2 2" xfId="12056"/>
    <cellStyle name="Normal 18 10 3" xfId="10294"/>
    <cellStyle name="Normal 18 11" xfId="4841"/>
    <cellStyle name="Normal 18 11 2" xfId="4842"/>
    <cellStyle name="Normal 18 11 2 2" xfId="12057"/>
    <cellStyle name="Normal 18 11 3" xfId="10295"/>
    <cellStyle name="Normal 18 12" xfId="4843"/>
    <cellStyle name="Normal 18 12 2" xfId="4844"/>
    <cellStyle name="Normal 18 12 2 2" xfId="12058"/>
    <cellStyle name="Normal 18 12 3" xfId="10296"/>
    <cellStyle name="Normal 18 13" xfId="4845"/>
    <cellStyle name="Normal 18 13 2" xfId="11605"/>
    <cellStyle name="Normal 18 14" xfId="8027"/>
    <cellStyle name="Normal 18 2" xfId="4846"/>
    <cellStyle name="Normal 18 2 2" xfId="4847"/>
    <cellStyle name="Normal 18 2 2 2" xfId="4848"/>
    <cellStyle name="Normal 18 2 2 2 2" xfId="12059"/>
    <cellStyle name="Normal 18 2 2 3" xfId="10297"/>
    <cellStyle name="Normal 18 2 3" xfId="4849"/>
    <cellStyle name="Normal 18 2 3 2" xfId="11606"/>
    <cellStyle name="Normal 18 2 4" xfId="8028"/>
    <cellStyle name="Normal 18 3" xfId="4850"/>
    <cellStyle name="Normal 18 3 2" xfId="4851"/>
    <cellStyle name="Normal 18 3 2 2" xfId="12060"/>
    <cellStyle name="Normal 18 3 3" xfId="10298"/>
    <cellStyle name="Normal 18 4" xfId="4852"/>
    <cellStyle name="Normal 18 4 2" xfId="4853"/>
    <cellStyle name="Normal 18 4 2 2" xfId="12061"/>
    <cellStyle name="Normal 18 4 3" xfId="10299"/>
    <cellStyle name="Normal 18 5" xfId="4854"/>
    <cellStyle name="Normal 18 5 2" xfId="4855"/>
    <cellStyle name="Normal 18 5 2 2" xfId="12062"/>
    <cellStyle name="Normal 18 5 3" xfId="10300"/>
    <cellStyle name="Normal 18 6" xfId="4856"/>
    <cellStyle name="Normal 18 6 2" xfId="4857"/>
    <cellStyle name="Normal 18 6 2 2" xfId="12063"/>
    <cellStyle name="Normal 18 6 3" xfId="10301"/>
    <cellStyle name="Normal 18 7" xfId="4858"/>
    <cellStyle name="Normal 18 7 2" xfId="4859"/>
    <cellStyle name="Normal 18 7 2 2" xfId="12064"/>
    <cellStyle name="Normal 18 7 3" xfId="10302"/>
    <cellStyle name="Normal 18 8" xfId="4860"/>
    <cellStyle name="Normal 18 8 2" xfId="4861"/>
    <cellStyle name="Normal 18 8 2 2" xfId="12065"/>
    <cellStyle name="Normal 18 8 3" xfId="10303"/>
    <cellStyle name="Normal 18 9" xfId="4862"/>
    <cellStyle name="Normal 18 9 2" xfId="4863"/>
    <cellStyle name="Normal 18 9 2 2" xfId="12066"/>
    <cellStyle name="Normal 18 9 3" xfId="10304"/>
    <cellStyle name="Normal 18_inv-en-1.5.0-02 trame_fiche-emissions" xfId="4884"/>
    <cellStyle name="Normal 180" xfId="4864"/>
    <cellStyle name="Normal 180 2" xfId="4865"/>
    <cellStyle name="Normal 180 3" xfId="10305"/>
    <cellStyle name="Normal 181" xfId="4866"/>
    <cellStyle name="Normal 181 2" xfId="4867"/>
    <cellStyle name="Normal 181 3" xfId="10306"/>
    <cellStyle name="Normal 182" xfId="4868"/>
    <cellStyle name="Normal 182 2" xfId="4869"/>
    <cellStyle name="Normal 182 3" xfId="10307"/>
    <cellStyle name="Normal 183" xfId="4870"/>
    <cellStyle name="Normal 183 2" xfId="4871"/>
    <cellStyle name="Normal 183 3" xfId="10308"/>
    <cellStyle name="Normal 184" xfId="4872"/>
    <cellStyle name="Normal 184 2" xfId="4873"/>
    <cellStyle name="Normal 184 3" xfId="10309"/>
    <cellStyle name="Normal 185" xfId="4874"/>
    <cellStyle name="Normal 185 2" xfId="4875"/>
    <cellStyle name="Normal 185 3" xfId="10310"/>
    <cellStyle name="Normal 186" xfId="4876"/>
    <cellStyle name="Normal 186 2" xfId="4877"/>
    <cellStyle name="Normal 186 3" xfId="10311"/>
    <cellStyle name="Normal 187" xfId="4878"/>
    <cellStyle name="Normal 187 2" xfId="4879"/>
    <cellStyle name="Normal 187 3" xfId="10312"/>
    <cellStyle name="Normal 188" xfId="4880"/>
    <cellStyle name="Normal 188 2" xfId="4881"/>
    <cellStyle name="Normal 188 3" xfId="10313"/>
    <cellStyle name="Normal 189" xfId="4882"/>
    <cellStyle name="Normal 189 2" xfId="4883"/>
    <cellStyle name="Normal 189 3" xfId="11438"/>
    <cellStyle name="Normal 19" xfId="4885"/>
    <cellStyle name="Normal 19 10" xfId="4886"/>
    <cellStyle name="Normal 19 10 2" xfId="4887"/>
    <cellStyle name="Normal 19 10 2 2" xfId="12067"/>
    <cellStyle name="Normal 19 10 3" xfId="10314"/>
    <cellStyle name="Normal 19 11" xfId="4888"/>
    <cellStyle name="Normal 19 11 2" xfId="4889"/>
    <cellStyle name="Normal 19 11 2 2" xfId="12068"/>
    <cellStyle name="Normal 19 11 3" xfId="10315"/>
    <cellStyle name="Normal 19 12" xfId="4890"/>
    <cellStyle name="Normal 19 12 2" xfId="4891"/>
    <cellStyle name="Normal 19 12 2 2" xfId="12069"/>
    <cellStyle name="Normal 19 12 3" xfId="10316"/>
    <cellStyle name="Normal 19 13" xfId="4892"/>
    <cellStyle name="Normal 19 13 2" xfId="11607"/>
    <cellStyle name="Normal 19 14" xfId="8029"/>
    <cellStyle name="Normal 19 2" xfId="4893"/>
    <cellStyle name="Normal 19 2 2" xfId="4894"/>
    <cellStyle name="Normal 19 2 2 2" xfId="4895"/>
    <cellStyle name="Normal 19 2 2 2 2" xfId="12070"/>
    <cellStyle name="Normal 19 2 2 3" xfId="10317"/>
    <cellStyle name="Normal 19 2 3" xfId="4896"/>
    <cellStyle name="Normal 19 2 3 2" xfId="11608"/>
    <cellStyle name="Normal 19 2 4" xfId="8030"/>
    <cellStyle name="Normal 19 3" xfId="4897"/>
    <cellStyle name="Normal 19 3 2" xfId="4898"/>
    <cellStyle name="Normal 19 3 2 2" xfId="12071"/>
    <cellStyle name="Normal 19 3 3" xfId="10318"/>
    <cellStyle name="Normal 19 4" xfId="4899"/>
    <cellStyle name="Normal 19 4 2" xfId="4900"/>
    <cellStyle name="Normal 19 4 2 2" xfId="12072"/>
    <cellStyle name="Normal 19 4 3" xfId="10319"/>
    <cellStyle name="Normal 19 5" xfId="4901"/>
    <cellStyle name="Normal 19 5 2" xfId="4902"/>
    <cellStyle name="Normal 19 5 2 2" xfId="12073"/>
    <cellStyle name="Normal 19 5 3" xfId="10320"/>
    <cellStyle name="Normal 19 6" xfId="4903"/>
    <cellStyle name="Normal 19 6 2" xfId="4904"/>
    <cellStyle name="Normal 19 6 2 2" xfId="12074"/>
    <cellStyle name="Normal 19 6 3" xfId="10321"/>
    <cellStyle name="Normal 19 7" xfId="4905"/>
    <cellStyle name="Normal 19 7 2" xfId="4906"/>
    <cellStyle name="Normal 19 7 2 2" xfId="12075"/>
    <cellStyle name="Normal 19 7 3" xfId="10322"/>
    <cellStyle name="Normal 19 8" xfId="4907"/>
    <cellStyle name="Normal 19 8 2" xfId="4908"/>
    <cellStyle name="Normal 19 8 2 2" xfId="12076"/>
    <cellStyle name="Normal 19 8 3" xfId="10323"/>
    <cellStyle name="Normal 19 9" xfId="4909"/>
    <cellStyle name="Normal 19 9 2" xfId="4910"/>
    <cellStyle name="Normal 19 9 2 2" xfId="12077"/>
    <cellStyle name="Normal 19 9 3" xfId="10324"/>
    <cellStyle name="Normal 19_inv-en-1.5.0-02 trame_fiche-emissions" xfId="4931"/>
    <cellStyle name="Normal 190" xfId="4911"/>
    <cellStyle name="Normal 190 2" xfId="4912"/>
    <cellStyle name="Normal 190 3" xfId="11451"/>
    <cellStyle name="Normal 191" xfId="4913"/>
    <cellStyle name="Normal 191 2" xfId="4914"/>
    <cellStyle name="Normal 191 3" xfId="11453"/>
    <cellStyle name="Normal 192" xfId="4915"/>
    <cellStyle name="Normal 192 2" xfId="4916"/>
    <cellStyle name="Normal 192 3" xfId="11450"/>
    <cellStyle name="Normal 193" xfId="4917"/>
    <cellStyle name="Normal 193 2" xfId="4918"/>
    <cellStyle name="Normal 193 3" xfId="11439"/>
    <cellStyle name="Normal 194" xfId="4919"/>
    <cellStyle name="Normal 194 2" xfId="4920"/>
    <cellStyle name="Normal 194 3" xfId="11449"/>
    <cellStyle name="Normal 195" xfId="4921"/>
    <cellStyle name="Normal 195 2" xfId="4922"/>
    <cellStyle name="Normal 195 3" xfId="11440"/>
    <cellStyle name="Normal 196" xfId="4923"/>
    <cellStyle name="Normal 196 2" xfId="4924"/>
    <cellStyle name="Normal 196 3" xfId="11448"/>
    <cellStyle name="Normal 197" xfId="4925"/>
    <cellStyle name="Normal 197 2" xfId="4926"/>
    <cellStyle name="Normal 197 3" xfId="11441"/>
    <cellStyle name="Normal 198" xfId="4927"/>
    <cellStyle name="Normal 198 2" xfId="4928"/>
    <cellStyle name="Normal 198 3" xfId="11447"/>
    <cellStyle name="Normal 199" xfId="4929"/>
    <cellStyle name="Normal 199 2" xfId="4930"/>
    <cellStyle name="Normal 199 3" xfId="11442"/>
    <cellStyle name="Normal 2" xfId="4932"/>
    <cellStyle name="Normal 2 10" xfId="4933"/>
    <cellStyle name="Normal 2 10 2" xfId="4934"/>
    <cellStyle name="Normal 2 10 2 2" xfId="4935"/>
    <cellStyle name="Normal 2 10 2 3" xfId="10325"/>
    <cellStyle name="Normal 2 10 3" xfId="4936"/>
    <cellStyle name="Normal 2 10 4" xfId="8031"/>
    <cellStyle name="Normal 2 11" xfId="4937"/>
    <cellStyle name="Normal 2 11 2" xfId="4938"/>
    <cellStyle name="Normal 2 11 2 2" xfId="4939"/>
    <cellStyle name="Normal 2 11 2 3" xfId="10326"/>
    <cellStyle name="Normal 2 11 3" xfId="4940"/>
    <cellStyle name="Normal 2 11 4" xfId="8032"/>
    <cellStyle name="Normal 2 12" xfId="4941"/>
    <cellStyle name="Normal 2 12 2" xfId="4942"/>
    <cellStyle name="Normal 2 12 2 10" xfId="4943"/>
    <cellStyle name="Normal 2 12 2 11" xfId="10327"/>
    <cellStyle name="Normal 2 12 2 2" xfId="4944"/>
    <cellStyle name="Normal 2 12 2 2 2" xfId="4945"/>
    <cellStyle name="Normal 2 12 2 2 3" xfId="10328"/>
    <cellStyle name="Normal 2 12 2 3" xfId="4946"/>
    <cellStyle name="Normal 2 12 2 3 2" xfId="4947"/>
    <cellStyle name="Normal 2 12 2 3 3" xfId="4948"/>
    <cellStyle name="Normal 2 12 2 3 4" xfId="10329"/>
    <cellStyle name="Normal 2 12 2 4" xfId="4949"/>
    <cellStyle name="Normal 2 12 2 4 2" xfId="4950"/>
    <cellStyle name="Normal 2 12 2 4 3" xfId="4951"/>
    <cellStyle name="Normal 2 12 2 4 4" xfId="10330"/>
    <cellStyle name="Normal 2 12 2 5" xfId="4952"/>
    <cellStyle name="Normal 2 12 2 5 2" xfId="4953"/>
    <cellStyle name="Normal 2 12 2 5 3" xfId="4954"/>
    <cellStyle name="Normal 2 12 2 5 4" xfId="10331"/>
    <cellStyle name="Normal 2 12 2 6" xfId="4955"/>
    <cellStyle name="Normal 2 12 2 6 2" xfId="4956"/>
    <cellStyle name="Normal 2 12 2 6 3" xfId="4957"/>
    <cellStyle name="Normal 2 12 2 6 4" xfId="10332"/>
    <cellStyle name="Normal 2 12 2 7" xfId="4958"/>
    <cellStyle name="Normal 2 12 2 7 2" xfId="4959"/>
    <cellStyle name="Normal 2 12 2 7 3" xfId="4960"/>
    <cellStyle name="Normal 2 12 2 7 4" xfId="10333"/>
    <cellStyle name="Normal 2 12 2 8" xfId="4961"/>
    <cellStyle name="Normal 2 12 2 8 2" xfId="4962"/>
    <cellStyle name="Normal 2 12 2 8 3" xfId="4963"/>
    <cellStyle name="Normal 2 12 2 8 4" xfId="10334"/>
    <cellStyle name="Normal 2 12 2 9" xfId="4964"/>
    <cellStyle name="Normal 2 12 3" xfId="4965"/>
    <cellStyle name="Normal 2 12 3 2" xfId="4966"/>
    <cellStyle name="Normal 2 12 3 3" xfId="4967"/>
    <cellStyle name="Normal 2 12 3 4" xfId="10335"/>
    <cellStyle name="Normal 2 12 4" xfId="4968"/>
    <cellStyle name="Normal 2 12 5" xfId="8033"/>
    <cellStyle name="Normal 2 13" xfId="4969"/>
    <cellStyle name="Normal 2 13 2" xfId="4970"/>
    <cellStyle name="Normal 2 13 2 2" xfId="4971"/>
    <cellStyle name="Normal 2 13 2 3" xfId="10336"/>
    <cellStyle name="Normal 2 13 3" xfId="4972"/>
    <cellStyle name="Normal 2 13 3 2" xfId="4973"/>
    <cellStyle name="Normal 2 13 3 3" xfId="10337"/>
    <cellStyle name="Normal 2 13 4" xfId="4974"/>
    <cellStyle name="Normal 2 13 5" xfId="8034"/>
    <cellStyle name="Normal 2 14" xfId="4975"/>
    <cellStyle name="Normal 2 14 2" xfId="4976"/>
    <cellStyle name="Normal 2 14 3" xfId="10338"/>
    <cellStyle name="Normal 2 15" xfId="4977"/>
    <cellStyle name="Normal 2 15 2" xfId="4978"/>
    <cellStyle name="Normal 2 15 3" xfId="10339"/>
    <cellStyle name="Normal 2 16" xfId="4979"/>
    <cellStyle name="Normal 2 16 2" xfId="4980"/>
    <cellStyle name="Normal 2 16 3" xfId="10340"/>
    <cellStyle name="Normal 2 17" xfId="4981"/>
    <cellStyle name="Normal 2 17 2" xfId="4982"/>
    <cellStyle name="Normal 2 17 3" xfId="10341"/>
    <cellStyle name="Normal 2 18" xfId="4983"/>
    <cellStyle name="Normal 2 18 2" xfId="4984"/>
    <cellStyle name="Normal 2 18 3" xfId="10342"/>
    <cellStyle name="Normal 2 19" xfId="4985"/>
    <cellStyle name="Normal 2 19 2" xfId="4986"/>
    <cellStyle name="Normal 2 19 3" xfId="10343"/>
    <cellStyle name="Normal 2 2" xfId="4987"/>
    <cellStyle name="Normal 2 2 10" xfId="4988"/>
    <cellStyle name="Normal 2 2 10 2" xfId="4989"/>
    <cellStyle name="Normal 2 2 10 3" xfId="10344"/>
    <cellStyle name="Normal 2 2 11" xfId="4990"/>
    <cellStyle name="Normal 2 2 11 2" xfId="4991"/>
    <cellStyle name="Normal 2 2 11 3" xfId="10345"/>
    <cellStyle name="Normal 2 2 12" xfId="4992"/>
    <cellStyle name="Normal 2 2 12 2" xfId="4993"/>
    <cellStyle name="Normal 2 2 12 3" xfId="10346"/>
    <cellStyle name="Normal 2 2 13" xfId="4994"/>
    <cellStyle name="Normal 2 2 13 2" xfId="4995"/>
    <cellStyle name="Normal 2 2 13 3" xfId="10347"/>
    <cellStyle name="Normal 2 2 14" xfId="4996"/>
    <cellStyle name="Normal 2 2 14 2" xfId="4997"/>
    <cellStyle name="Normal 2 2 14 3" xfId="10348"/>
    <cellStyle name="Normal 2 2 15" xfId="4998"/>
    <cellStyle name="Normal 2 2 16" xfId="8035"/>
    <cellStyle name="Normal 2 2 2" xfId="4999"/>
    <cellStyle name="Normal 2 2 2 2" xfId="5000"/>
    <cellStyle name="Normal 2 2 2 2 2" xfId="5001"/>
    <cellStyle name="Normal 2 2 2 2 2 2" xfId="5002"/>
    <cellStyle name="Normal 2 2 2 2 2 3" xfId="10349"/>
    <cellStyle name="Normal 2 2 2 2 3" xfId="5003"/>
    <cellStyle name="Normal 2 2 2 2 4" xfId="8037"/>
    <cellStyle name="Normal 2 2 2 3" xfId="5004"/>
    <cellStyle name="Normal 2 2 2 3 2" xfId="5005"/>
    <cellStyle name="Normal 2 2 2 3 3" xfId="10350"/>
    <cellStyle name="Normal 2 2 2 4" xfId="5006"/>
    <cellStyle name="Normal 2 2 2 5" xfId="8036"/>
    <cellStyle name="Normal 2 2 3" xfId="5007"/>
    <cellStyle name="Normal 2 2 3 2" xfId="5008"/>
    <cellStyle name="Normal 2 2 3 2 2" xfId="5009"/>
    <cellStyle name="Normal 2 2 3 2 3" xfId="10351"/>
    <cellStyle name="Normal 2 2 3 3" xfId="5010"/>
    <cellStyle name="Normal 2 2 3 4" xfId="8038"/>
    <cellStyle name="Normal 2 2 4" xfId="5011"/>
    <cellStyle name="Normal 2 2 4 2" xfId="5012"/>
    <cellStyle name="Normal 2 2 4 3" xfId="10352"/>
    <cellStyle name="Normal 2 2 5" xfId="5013"/>
    <cellStyle name="Normal 2 2 5 2" xfId="5014"/>
    <cellStyle name="Normal 2 2 5 3" xfId="10353"/>
    <cellStyle name="Normal 2 2 6" xfId="5015"/>
    <cellStyle name="Normal 2 2 6 2" xfId="5016"/>
    <cellStyle name="Normal 2 2 6 3" xfId="10354"/>
    <cellStyle name="Normal 2 2 7" xfId="5017"/>
    <cellStyle name="Normal 2 2 7 2" xfId="5018"/>
    <cellStyle name="Normal 2 2 7 3" xfId="10355"/>
    <cellStyle name="Normal 2 2 8" xfId="5019"/>
    <cellStyle name="Normal 2 2 8 2" xfId="5020"/>
    <cellStyle name="Normal 2 2 8 3" xfId="10356"/>
    <cellStyle name="Normal 2 2 9" xfId="5021"/>
    <cellStyle name="Normal 2 2 9 2" xfId="5022"/>
    <cellStyle name="Normal 2 2 9 3" xfId="10357"/>
    <cellStyle name="Normal 2 2_inv-en-1.5.0-02 trame_fiche-emissions" xfId="5043"/>
    <cellStyle name="Normal 2 20" xfId="5023"/>
    <cellStyle name="Normal 2 20 2" xfId="5024"/>
    <cellStyle name="Normal 2 20 3" xfId="10358"/>
    <cellStyle name="Normal 2 21" xfId="5025"/>
    <cellStyle name="Normal 2 21 2" xfId="5026"/>
    <cellStyle name="Normal 2 21 3" xfId="10359"/>
    <cellStyle name="Normal 2 22" xfId="5027"/>
    <cellStyle name="Normal 2 22 2" xfId="5028"/>
    <cellStyle name="Normal 2 22 2 2" xfId="12078"/>
    <cellStyle name="Normal 2 22 3" xfId="10360"/>
    <cellStyle name="Normal 2 23" xfId="5029"/>
    <cellStyle name="Normal 2 23 2" xfId="5030"/>
    <cellStyle name="Normal 2 23 2 2" xfId="12079"/>
    <cellStyle name="Normal 2 23 3" xfId="10361"/>
    <cellStyle name="Normal 2 24" xfId="5031"/>
    <cellStyle name="Normal 2 24 2" xfId="5032"/>
    <cellStyle name="Normal 2 24 2 2" xfId="12080"/>
    <cellStyle name="Normal 2 24 3" xfId="10362"/>
    <cellStyle name="Normal 2 25" xfId="5033"/>
    <cellStyle name="Normal 2 25 2" xfId="5034"/>
    <cellStyle name="Normal 2 25 2 2" xfId="12081"/>
    <cellStyle name="Normal 2 25 3" xfId="10363"/>
    <cellStyle name="Normal 2 26" xfId="5035"/>
    <cellStyle name="Normal 2 26 2" xfId="5036"/>
    <cellStyle name="Normal 2 26 2 2" xfId="12082"/>
    <cellStyle name="Normal 2 26 3" xfId="10364"/>
    <cellStyle name="Normal 2 27" xfId="5037"/>
    <cellStyle name="Normal 2 27 2" xfId="5038"/>
    <cellStyle name="Normal 2 27 2 2" xfId="12083"/>
    <cellStyle name="Normal 2 27 3" xfId="10365"/>
    <cellStyle name="Normal 2 28" xfId="5039"/>
    <cellStyle name="Normal 2 28 2" xfId="5040"/>
    <cellStyle name="Normal 2 28 2 2" xfId="12084"/>
    <cellStyle name="Normal 2 28 3" xfId="10366"/>
    <cellStyle name="Normal 2 29" xfId="5041"/>
    <cellStyle name="Normal 2 29 2" xfId="5042"/>
    <cellStyle name="Normal 2 29 2 2" xfId="12085"/>
    <cellStyle name="Normal 2 29 3" xfId="10367"/>
    <cellStyle name="Normal 2 3" xfId="5044"/>
    <cellStyle name="Normal 2 3 10" xfId="5045"/>
    <cellStyle name="Normal 2 3 10 2" xfId="5046"/>
    <cellStyle name="Normal 2 3 10 3" xfId="10368"/>
    <cellStyle name="Normal 2 3 11" xfId="5047"/>
    <cellStyle name="Normal 2 3 11 2" xfId="5048"/>
    <cellStyle name="Normal 2 3 11 3" xfId="10369"/>
    <cellStyle name="Normal 2 3 12" xfId="5049"/>
    <cellStyle name="Normal 2 3 12 2" xfId="5050"/>
    <cellStyle name="Normal 2 3 12 3" xfId="10370"/>
    <cellStyle name="Normal 2 3 13" xfId="5051"/>
    <cellStyle name="Normal 2 3 13 2" xfId="5052"/>
    <cellStyle name="Normal 2 3 13 3" xfId="10371"/>
    <cellStyle name="Normal 2 3 14" xfId="5053"/>
    <cellStyle name="Normal 2 3 14 2" xfId="5054"/>
    <cellStyle name="Normal 2 3 14 3" xfId="10372"/>
    <cellStyle name="Normal 2 3 15" xfId="5055"/>
    <cellStyle name="Normal 2 3 16" xfId="8039"/>
    <cellStyle name="Normal 2 3 2" xfId="5056"/>
    <cellStyle name="Normal 2 3 2 2" xfId="5057"/>
    <cellStyle name="Normal 2 3 2 2 2" xfId="5058"/>
    <cellStyle name="Normal 2 3 2 2 2 2" xfId="5059"/>
    <cellStyle name="Normal 2 3 2 2 2 3" xfId="10373"/>
    <cellStyle name="Normal 2 3 2 2 3" xfId="5060"/>
    <cellStyle name="Normal 2 3 2 2 4" xfId="8041"/>
    <cellStyle name="Normal 2 3 2 3" xfId="5061"/>
    <cellStyle name="Normal 2 3 2 3 2" xfId="5062"/>
    <cellStyle name="Normal 2 3 2 3 3" xfId="10374"/>
    <cellStyle name="Normal 2 3 2 4" xfId="5063"/>
    <cellStyle name="Normal 2 3 2 5" xfId="8040"/>
    <cellStyle name="Normal 2 3 3" xfId="5064"/>
    <cellStyle name="Normal 2 3 3 2" xfId="5065"/>
    <cellStyle name="Normal 2 3 3 2 2" xfId="5066"/>
    <cellStyle name="Normal 2 3 3 2 3" xfId="10375"/>
    <cellStyle name="Normal 2 3 3 3" xfId="5067"/>
    <cellStyle name="Normal 2 3 3 4" xfId="8042"/>
    <cellStyle name="Normal 2 3 4" xfId="5068"/>
    <cellStyle name="Normal 2 3 4 2" xfId="5069"/>
    <cellStyle name="Normal 2 3 4 3" xfId="10376"/>
    <cellStyle name="Normal 2 3 5" xfId="5070"/>
    <cellStyle name="Normal 2 3 5 2" xfId="5071"/>
    <cellStyle name="Normal 2 3 5 3" xfId="10377"/>
    <cellStyle name="Normal 2 3 6" xfId="5072"/>
    <cellStyle name="Normal 2 3 6 2" xfId="5073"/>
    <cellStyle name="Normal 2 3 6 3" xfId="10378"/>
    <cellStyle name="Normal 2 3 7" xfId="5074"/>
    <cellStyle name="Normal 2 3 7 2" xfId="5075"/>
    <cellStyle name="Normal 2 3 7 3" xfId="10379"/>
    <cellStyle name="Normal 2 3 8" xfId="5076"/>
    <cellStyle name="Normal 2 3 8 2" xfId="5077"/>
    <cellStyle name="Normal 2 3 8 3" xfId="10380"/>
    <cellStyle name="Normal 2 3 9" xfId="5078"/>
    <cellStyle name="Normal 2 3 9 2" xfId="5079"/>
    <cellStyle name="Normal 2 3 9 3" xfId="10381"/>
    <cellStyle name="Normal 2 3_inv-en-1.5.0-02 trame_fiche-emissions" xfId="5087"/>
    <cellStyle name="Normal 2 30" xfId="5080"/>
    <cellStyle name="Normal 2 30 2" xfId="5081"/>
    <cellStyle name="Normal 2 30 2 2" xfId="12086"/>
    <cellStyle name="Normal 2 30 3" xfId="10382"/>
    <cellStyle name="Normal 2 31" xfId="5082"/>
    <cellStyle name="Normal 2 31 2" xfId="5083"/>
    <cellStyle name="Normal 2 31 2 2" xfId="12087"/>
    <cellStyle name="Normal 2 31 3" xfId="10383"/>
    <cellStyle name="Normal 2 32" xfId="5084"/>
    <cellStyle name="Normal 2 32 2" xfId="5085"/>
    <cellStyle name="Normal 2 32 2 2" xfId="12088"/>
    <cellStyle name="Normal 2 32 3" xfId="10384"/>
    <cellStyle name="Normal 2 33" xfId="5086"/>
    <cellStyle name="Normal 2 34" xfId="7799"/>
    <cellStyle name="Normal 2 4" xfId="5088"/>
    <cellStyle name="Normal 2 4 10" xfId="5089"/>
    <cellStyle name="Normal 2 4 10 2" xfId="5090"/>
    <cellStyle name="Normal 2 4 10 3" xfId="10385"/>
    <cellStyle name="Normal 2 4 11" xfId="5091"/>
    <cellStyle name="Normal 2 4 11 2" xfId="5092"/>
    <cellStyle name="Normal 2 4 11 3" xfId="10386"/>
    <cellStyle name="Normal 2 4 12" xfId="5093"/>
    <cellStyle name="Normal 2 4 12 2" xfId="5094"/>
    <cellStyle name="Normal 2 4 12 3" xfId="10387"/>
    <cellStyle name="Normal 2 4 13" xfId="5095"/>
    <cellStyle name="Normal 2 4 13 2" xfId="5096"/>
    <cellStyle name="Normal 2 4 13 3" xfId="10388"/>
    <cellStyle name="Normal 2 4 14" xfId="5097"/>
    <cellStyle name="Normal 2 4 15" xfId="8043"/>
    <cellStyle name="Normal 2 4 2" xfId="5098"/>
    <cellStyle name="Normal 2 4 2 2" xfId="5099"/>
    <cellStyle name="Normal 2 4 2 2 2" xfId="5100"/>
    <cellStyle name="Normal 2 4 2 2 3" xfId="10389"/>
    <cellStyle name="Normal 2 4 2 3" xfId="5101"/>
    <cellStyle name="Normal 2 4 2 4" xfId="8044"/>
    <cellStyle name="Normal 2 4 3" xfId="5102"/>
    <cellStyle name="Normal 2 4 3 2" xfId="5103"/>
    <cellStyle name="Normal 2 4 3 3" xfId="10390"/>
    <cellStyle name="Normal 2 4 4" xfId="5104"/>
    <cellStyle name="Normal 2 4 4 2" xfId="5105"/>
    <cellStyle name="Normal 2 4 4 3" xfId="10391"/>
    <cellStyle name="Normal 2 4 5" xfId="5106"/>
    <cellStyle name="Normal 2 4 5 2" xfId="5107"/>
    <cellStyle name="Normal 2 4 5 3" xfId="10392"/>
    <cellStyle name="Normal 2 4 6" xfId="5108"/>
    <cellStyle name="Normal 2 4 6 2" xfId="5109"/>
    <cellStyle name="Normal 2 4 6 3" xfId="10393"/>
    <cellStyle name="Normal 2 4 7" xfId="5110"/>
    <cellStyle name="Normal 2 4 7 2" xfId="5111"/>
    <cellStyle name="Normal 2 4 7 3" xfId="10394"/>
    <cellStyle name="Normal 2 4 8" xfId="5112"/>
    <cellStyle name="Normal 2 4 8 2" xfId="5113"/>
    <cellStyle name="Normal 2 4 8 3" xfId="10395"/>
    <cellStyle name="Normal 2 4 9" xfId="5114"/>
    <cellStyle name="Normal 2 4 9 2" xfId="5115"/>
    <cellStyle name="Normal 2 4 9 3" xfId="10396"/>
    <cellStyle name="Normal 2 4_inv-en-1.5.0-02 trame_fiche-emissions" xfId="5116"/>
    <cellStyle name="Normal 2 5" xfId="5117"/>
    <cellStyle name="Normal 2 5 10" xfId="5118"/>
    <cellStyle name="Normal 2 5 10 2" xfId="5119"/>
    <cellStyle name="Normal 2 5 10 3" xfId="10397"/>
    <cellStyle name="Normal 2 5 11" xfId="5120"/>
    <cellStyle name="Normal 2 5 11 2" xfId="5121"/>
    <cellStyle name="Normal 2 5 11 3" xfId="10398"/>
    <cellStyle name="Normal 2 5 12" xfId="5122"/>
    <cellStyle name="Normal 2 5 12 2" xfId="5123"/>
    <cellStyle name="Normal 2 5 12 3" xfId="10399"/>
    <cellStyle name="Normal 2 5 13" xfId="5124"/>
    <cellStyle name="Normal 2 5 13 2" xfId="5125"/>
    <cellStyle name="Normal 2 5 13 3" xfId="10400"/>
    <cellStyle name="Normal 2 5 14" xfId="5126"/>
    <cellStyle name="Normal 2 5 15" xfId="8045"/>
    <cellStyle name="Normal 2 5 2" xfId="5127"/>
    <cellStyle name="Normal 2 5 2 2" xfId="5128"/>
    <cellStyle name="Normal 2 5 2 2 2" xfId="5129"/>
    <cellStyle name="Normal 2 5 2 2 3" xfId="10401"/>
    <cellStyle name="Normal 2 5 2 3" xfId="5130"/>
    <cellStyle name="Normal 2 5 2 4" xfId="8046"/>
    <cellStyle name="Normal 2 5 3" xfId="5131"/>
    <cellStyle name="Normal 2 5 3 2" xfId="5132"/>
    <cellStyle name="Normal 2 5 3 3" xfId="10402"/>
    <cellStyle name="Normal 2 5 4" xfId="5133"/>
    <cellStyle name="Normal 2 5 4 2" xfId="5134"/>
    <cellStyle name="Normal 2 5 4 3" xfId="10403"/>
    <cellStyle name="Normal 2 5 5" xfId="5135"/>
    <cellStyle name="Normal 2 5 5 2" xfId="5136"/>
    <cellStyle name="Normal 2 5 5 3" xfId="10404"/>
    <cellStyle name="Normal 2 5 6" xfId="5137"/>
    <cellStyle name="Normal 2 5 6 2" xfId="5138"/>
    <cellStyle name="Normal 2 5 6 3" xfId="10405"/>
    <cellStyle name="Normal 2 5 7" xfId="5139"/>
    <cellStyle name="Normal 2 5 7 2" xfId="5140"/>
    <cellStyle name="Normal 2 5 7 3" xfId="10406"/>
    <cellStyle name="Normal 2 5 8" xfId="5141"/>
    <cellStyle name="Normal 2 5 8 2" xfId="5142"/>
    <cellStyle name="Normal 2 5 8 3" xfId="10407"/>
    <cellStyle name="Normal 2 5 9" xfId="5143"/>
    <cellStyle name="Normal 2 5 9 2" xfId="5144"/>
    <cellStyle name="Normal 2 5 9 3" xfId="10408"/>
    <cellStyle name="Normal 2 5_inv-en-1.5.0-02 trame_fiche-emissions" xfId="5145"/>
    <cellStyle name="Normal 2 6" xfId="5146"/>
    <cellStyle name="Normal 2 6 10" xfId="5147"/>
    <cellStyle name="Normal 2 6 10 2" xfId="5148"/>
    <cellStyle name="Normal 2 6 10 3" xfId="10409"/>
    <cellStyle name="Normal 2 6 11" xfId="5149"/>
    <cellStyle name="Normal 2 6 11 2" xfId="5150"/>
    <cellStyle name="Normal 2 6 11 3" xfId="10410"/>
    <cellStyle name="Normal 2 6 12" xfId="5151"/>
    <cellStyle name="Normal 2 6 12 2" xfId="5152"/>
    <cellStyle name="Normal 2 6 12 3" xfId="10411"/>
    <cellStyle name="Normal 2 6 13" xfId="5153"/>
    <cellStyle name="Normal 2 6 13 2" xfId="5154"/>
    <cellStyle name="Normal 2 6 13 3" xfId="10412"/>
    <cellStyle name="Normal 2 6 14" xfId="5155"/>
    <cellStyle name="Normal 2 6 15" xfId="8047"/>
    <cellStyle name="Normal 2 6 2" xfId="5156"/>
    <cellStyle name="Normal 2 6 2 2" xfId="5157"/>
    <cellStyle name="Normal 2 6 2 2 2" xfId="5158"/>
    <cellStyle name="Normal 2 6 2 2 3" xfId="10413"/>
    <cellStyle name="Normal 2 6 2 3" xfId="5159"/>
    <cellStyle name="Normal 2 6 2 4" xfId="8048"/>
    <cellStyle name="Normal 2 6 3" xfId="5160"/>
    <cellStyle name="Normal 2 6 3 2" xfId="5161"/>
    <cellStyle name="Normal 2 6 3 3" xfId="10414"/>
    <cellStyle name="Normal 2 6 4" xfId="5162"/>
    <cellStyle name="Normal 2 6 4 2" xfId="5163"/>
    <cellStyle name="Normal 2 6 4 3" xfId="10415"/>
    <cellStyle name="Normal 2 6 5" xfId="5164"/>
    <cellStyle name="Normal 2 6 5 2" xfId="5165"/>
    <cellStyle name="Normal 2 6 5 3" xfId="10416"/>
    <cellStyle name="Normal 2 6 6" xfId="5166"/>
    <cellStyle name="Normal 2 6 6 2" xfId="5167"/>
    <cellStyle name="Normal 2 6 6 3" xfId="10417"/>
    <cellStyle name="Normal 2 6 7" xfId="5168"/>
    <cellStyle name="Normal 2 6 7 2" xfId="5169"/>
    <cellStyle name="Normal 2 6 7 3" xfId="10418"/>
    <cellStyle name="Normal 2 6 8" xfId="5170"/>
    <cellStyle name="Normal 2 6 8 2" xfId="5171"/>
    <cellStyle name="Normal 2 6 8 3" xfId="10419"/>
    <cellStyle name="Normal 2 6 9" xfId="5172"/>
    <cellStyle name="Normal 2 6 9 2" xfId="5173"/>
    <cellStyle name="Normal 2 6 9 3" xfId="10420"/>
    <cellStyle name="Normal 2 6_inv-en-1.5.0-02 trame_fiche-emissions" xfId="5174"/>
    <cellStyle name="Normal 2 7" xfId="5175"/>
    <cellStyle name="Normal 2 7 2" xfId="5176"/>
    <cellStyle name="Normal 2 7 2 2" xfId="5177"/>
    <cellStyle name="Normal 2 7 2 2 2" xfId="5178"/>
    <cellStyle name="Normal 2 7 2 2 3" xfId="10421"/>
    <cellStyle name="Normal 2 7 2 3" xfId="5179"/>
    <cellStyle name="Normal 2 7 2 4" xfId="8050"/>
    <cellStyle name="Normal 2 7 3" xfId="5180"/>
    <cellStyle name="Normal 2 7 3 2" xfId="5181"/>
    <cellStyle name="Normal 2 7 3 3" xfId="10422"/>
    <cellStyle name="Normal 2 7 4" xfId="5182"/>
    <cellStyle name="Normal 2 7 4 2" xfId="5183"/>
    <cellStyle name="Normal 2 7 4 3" xfId="10423"/>
    <cellStyle name="Normal 2 7 5" xfId="5184"/>
    <cellStyle name="Normal 2 7 6" xfId="8049"/>
    <cellStyle name="Normal 2 8" xfId="5185"/>
    <cellStyle name="Normal 2 8 2" xfId="5186"/>
    <cellStyle name="Normal 2 8 2 2" xfId="5187"/>
    <cellStyle name="Normal 2 8 2 2 2" xfId="5188"/>
    <cellStyle name="Normal 2 8 2 2 3" xfId="10425"/>
    <cellStyle name="Normal 2 8 2 3" xfId="5189"/>
    <cellStyle name="Normal 2 8 2 4" xfId="10424"/>
    <cellStyle name="Normal 2 8 3" xfId="5190"/>
    <cellStyle name="Normal 2 8 3 2" xfId="5191"/>
    <cellStyle name="Normal 2 8 3 3" xfId="10426"/>
    <cellStyle name="Normal 2 8 4" xfId="5192"/>
    <cellStyle name="Normal 2 8 5" xfId="8051"/>
    <cellStyle name="Normal 2 9" xfId="5193"/>
    <cellStyle name="Normal 2 9 2" xfId="5194"/>
    <cellStyle name="Normal 2 9 2 2" xfId="5195"/>
    <cellStyle name="Normal 2 9 2 3" xfId="10427"/>
    <cellStyle name="Normal 2 9 3" xfId="5196"/>
    <cellStyle name="Normal 2 9 4" xfId="8052"/>
    <cellStyle name="Normal 2_inv-en-1.5.0-02 trame_fiche-emissions" xfId="5684"/>
    <cellStyle name="Normal 20" xfId="5197"/>
    <cellStyle name="Normal 20 10" xfId="5198"/>
    <cellStyle name="Normal 20 10 2" xfId="5199"/>
    <cellStyle name="Normal 20 10 2 2" xfId="12089"/>
    <cellStyle name="Normal 20 10 3" xfId="10428"/>
    <cellStyle name="Normal 20 11" xfId="5200"/>
    <cellStyle name="Normal 20 11 2" xfId="5201"/>
    <cellStyle name="Normal 20 11 2 2" xfId="12090"/>
    <cellStyle name="Normal 20 11 3" xfId="10429"/>
    <cellStyle name="Normal 20 12" xfId="5202"/>
    <cellStyle name="Normal 20 12 2" xfId="5203"/>
    <cellStyle name="Normal 20 12 2 2" xfId="12091"/>
    <cellStyle name="Normal 20 12 3" xfId="10430"/>
    <cellStyle name="Normal 20 13" xfId="5204"/>
    <cellStyle name="Normal 20 13 2" xfId="11609"/>
    <cellStyle name="Normal 20 14" xfId="8053"/>
    <cellStyle name="Normal 20 2" xfId="5205"/>
    <cellStyle name="Normal 20 2 2" xfId="5206"/>
    <cellStyle name="Normal 20 2 2 2" xfId="5207"/>
    <cellStyle name="Normal 20 2 2 2 2" xfId="12092"/>
    <cellStyle name="Normal 20 2 2 3" xfId="10431"/>
    <cellStyle name="Normal 20 2 3" xfId="5208"/>
    <cellStyle name="Normal 20 2 3 2" xfId="11610"/>
    <cellStyle name="Normal 20 2 4" xfId="8054"/>
    <cellStyle name="Normal 20 3" xfId="5209"/>
    <cellStyle name="Normal 20 3 2" xfId="5210"/>
    <cellStyle name="Normal 20 3 2 2" xfId="12093"/>
    <cellStyle name="Normal 20 3 3" xfId="10432"/>
    <cellStyle name="Normal 20 4" xfId="5211"/>
    <cellStyle name="Normal 20 4 2" xfId="5212"/>
    <cellStyle name="Normal 20 4 2 2" xfId="12094"/>
    <cellStyle name="Normal 20 4 3" xfId="10433"/>
    <cellStyle name="Normal 20 5" xfId="5213"/>
    <cellStyle name="Normal 20 5 2" xfId="5214"/>
    <cellStyle name="Normal 20 5 2 2" xfId="12095"/>
    <cellStyle name="Normal 20 5 3" xfId="10434"/>
    <cellStyle name="Normal 20 6" xfId="5215"/>
    <cellStyle name="Normal 20 6 2" xfId="5216"/>
    <cellStyle name="Normal 20 6 2 2" xfId="12096"/>
    <cellStyle name="Normal 20 6 3" xfId="10435"/>
    <cellStyle name="Normal 20 7" xfId="5217"/>
    <cellStyle name="Normal 20 7 2" xfId="5218"/>
    <cellStyle name="Normal 20 7 2 2" xfId="12097"/>
    <cellStyle name="Normal 20 7 3" xfId="10436"/>
    <cellStyle name="Normal 20 8" xfId="5219"/>
    <cellStyle name="Normal 20 8 2" xfId="5220"/>
    <cellStyle name="Normal 20 8 2 2" xfId="12098"/>
    <cellStyle name="Normal 20 8 3" xfId="10437"/>
    <cellStyle name="Normal 20 9" xfId="5221"/>
    <cellStyle name="Normal 20 9 2" xfId="5222"/>
    <cellStyle name="Normal 20 9 2 2" xfId="12099"/>
    <cellStyle name="Normal 20 9 3" xfId="10438"/>
    <cellStyle name="Normal 20_inv-en-1.5.0-02 trame_fiche-emissions" xfId="5243"/>
    <cellStyle name="Normal 200" xfId="5223"/>
    <cellStyle name="Normal 200 2" xfId="5224"/>
    <cellStyle name="Normal 200 3" xfId="11446"/>
    <cellStyle name="Normal 201" xfId="5225"/>
    <cellStyle name="Normal 201 2" xfId="5226"/>
    <cellStyle name="Normal 201 3" xfId="11443"/>
    <cellStyle name="Normal 202" xfId="5227"/>
    <cellStyle name="Normal 202 2" xfId="5228"/>
    <cellStyle name="Normal 202 3" xfId="11452"/>
    <cellStyle name="Normal 203" xfId="5229"/>
    <cellStyle name="Normal 203 2" xfId="5230"/>
    <cellStyle name="Normal 203 3" xfId="11444"/>
    <cellStyle name="Normal 204" xfId="5231"/>
    <cellStyle name="Normal 204 2" xfId="5232"/>
    <cellStyle name="Normal 204 3" xfId="11454"/>
    <cellStyle name="Normal 205" xfId="5233"/>
    <cellStyle name="Normal 205 2" xfId="5234"/>
    <cellStyle name="Normal 205 3" xfId="11457"/>
    <cellStyle name="Normal 206" xfId="5235"/>
    <cellStyle name="Normal 206 2" xfId="5236"/>
    <cellStyle name="Normal 206 3" xfId="11458"/>
    <cellStyle name="Normal 207" xfId="5237"/>
    <cellStyle name="Normal 207 2" xfId="5238"/>
    <cellStyle name="Normal 207 3" xfId="11456"/>
    <cellStyle name="Normal 208" xfId="5239"/>
    <cellStyle name="Normal 208 2" xfId="5240"/>
    <cellStyle name="Normal 208 3" xfId="11460"/>
    <cellStyle name="Normal 209" xfId="5241"/>
    <cellStyle name="Normal 209 2" xfId="5242"/>
    <cellStyle name="Normal 209 3" xfId="11461"/>
    <cellStyle name="Normal 21" xfId="5244"/>
    <cellStyle name="Normal 21 10" xfId="5245"/>
    <cellStyle name="Normal 21 10 2" xfId="5246"/>
    <cellStyle name="Normal 21 10 3" xfId="10439"/>
    <cellStyle name="Normal 21 11" xfId="5247"/>
    <cellStyle name="Normal 21 11 2" xfId="5248"/>
    <cellStyle name="Normal 21 11 3" xfId="10440"/>
    <cellStyle name="Normal 21 12" xfId="5249"/>
    <cellStyle name="Normal 21 12 2" xfId="5250"/>
    <cellStyle name="Normal 21 12 3" xfId="10441"/>
    <cellStyle name="Normal 21 13" xfId="5251"/>
    <cellStyle name="Normal 21 13 2" xfId="5252"/>
    <cellStyle name="Normal 21 13 3" xfId="10442"/>
    <cellStyle name="Normal 21 14" xfId="5253"/>
    <cellStyle name="Normal 21 15" xfId="8055"/>
    <cellStyle name="Normal 21 2" xfId="5254"/>
    <cellStyle name="Normal 21 2 2" xfId="5255"/>
    <cellStyle name="Normal 21 2 2 2" xfId="5256"/>
    <cellStyle name="Normal 21 2 2 3" xfId="10443"/>
    <cellStyle name="Normal 21 2 3" xfId="5257"/>
    <cellStyle name="Normal 21 2 4" xfId="8056"/>
    <cellStyle name="Normal 21 3" xfId="5258"/>
    <cellStyle name="Normal 21 3 2" xfId="5259"/>
    <cellStyle name="Normal 21 3 3" xfId="10444"/>
    <cellStyle name="Normal 21 4" xfId="5260"/>
    <cellStyle name="Normal 21 4 2" xfId="5261"/>
    <cellStyle name="Normal 21 4 3" xfId="10445"/>
    <cellStyle name="Normal 21 5" xfId="5262"/>
    <cellStyle name="Normal 21 5 2" xfId="5263"/>
    <cellStyle name="Normal 21 5 3" xfId="10446"/>
    <cellStyle name="Normal 21 6" xfId="5264"/>
    <cellStyle name="Normal 21 6 2" xfId="5265"/>
    <cellStyle name="Normal 21 6 3" xfId="10447"/>
    <cellStyle name="Normal 21 7" xfId="5266"/>
    <cellStyle name="Normal 21 7 2" xfId="5267"/>
    <cellStyle name="Normal 21 7 3" xfId="10448"/>
    <cellStyle name="Normal 21 8" xfId="5268"/>
    <cellStyle name="Normal 21 8 2" xfId="5269"/>
    <cellStyle name="Normal 21 8 3" xfId="10449"/>
    <cellStyle name="Normal 21 9" xfId="5270"/>
    <cellStyle name="Normal 21 9 2" xfId="5271"/>
    <cellStyle name="Normal 21 9 3" xfId="10450"/>
    <cellStyle name="Normal 210" xfId="5272"/>
    <cellStyle name="Normal 210 2" xfId="5273"/>
    <cellStyle name="Normal 210 3" xfId="11463"/>
    <cellStyle name="Normal 211" xfId="5274"/>
    <cellStyle name="Normal 211 2" xfId="5275"/>
    <cellStyle name="Normal 211 3" xfId="11468"/>
    <cellStyle name="Normal 212" xfId="5276"/>
    <cellStyle name="Normal 212 2" xfId="5277"/>
    <cellStyle name="Normal 212 3" xfId="11469"/>
    <cellStyle name="Normal 213" xfId="5278"/>
    <cellStyle name="Normal 213 2" xfId="5279"/>
    <cellStyle name="Normal 213 3" xfId="11467"/>
    <cellStyle name="Normal 214" xfId="5280"/>
    <cellStyle name="Normal 214 2" xfId="5281"/>
    <cellStyle name="Normal 214 3" xfId="11470"/>
    <cellStyle name="Normal 215" xfId="5282"/>
    <cellStyle name="Normal 215 2" xfId="5283"/>
    <cellStyle name="Normal 215 3" xfId="11466"/>
    <cellStyle name="Normal 216" xfId="5284"/>
    <cellStyle name="Normal 216 2" xfId="5285"/>
    <cellStyle name="Normal 216 3" xfId="11471"/>
    <cellStyle name="Normal 217" xfId="5286"/>
    <cellStyle name="Normal 217 2" xfId="5287"/>
    <cellStyle name="Normal 217 3" xfId="11475"/>
    <cellStyle name="Normal 218" xfId="5288"/>
    <cellStyle name="Normal 218 2" xfId="5289"/>
    <cellStyle name="Normal 218 3" xfId="11476"/>
    <cellStyle name="Normal 219" xfId="5290"/>
    <cellStyle name="Normal 219 2" xfId="5291"/>
    <cellStyle name="Normal 219 3" xfId="11474"/>
    <cellStyle name="Normal 22" xfId="5292"/>
    <cellStyle name="Normal 22 10" xfId="5293"/>
    <cellStyle name="Normal 22 10 2" xfId="5294"/>
    <cellStyle name="Normal 22 10 3" xfId="10451"/>
    <cellStyle name="Normal 22 11" xfId="5295"/>
    <cellStyle name="Normal 22 11 2" xfId="5296"/>
    <cellStyle name="Normal 22 11 3" xfId="10452"/>
    <cellStyle name="Normal 22 12" xfId="5297"/>
    <cellStyle name="Normal 22 12 2" xfId="5298"/>
    <cellStyle name="Normal 22 12 3" xfId="10453"/>
    <cellStyle name="Normal 22 13" xfId="5299"/>
    <cellStyle name="Normal 22 13 2" xfId="5300"/>
    <cellStyle name="Normal 22 13 3" xfId="10454"/>
    <cellStyle name="Normal 22 14" xfId="5301"/>
    <cellStyle name="Normal 22 15" xfId="8057"/>
    <cellStyle name="Normal 22 2" xfId="5302"/>
    <cellStyle name="Normal 22 2 2" xfId="5303"/>
    <cellStyle name="Normal 22 2 2 2" xfId="5304"/>
    <cellStyle name="Normal 22 2 2 3" xfId="10455"/>
    <cellStyle name="Normal 22 2 3" xfId="5305"/>
    <cellStyle name="Normal 22 2 4" xfId="8058"/>
    <cellStyle name="Normal 22 3" xfId="5306"/>
    <cellStyle name="Normal 22 3 2" xfId="5307"/>
    <cellStyle name="Normal 22 3 3" xfId="10456"/>
    <cellStyle name="Normal 22 4" xfId="5308"/>
    <cellStyle name="Normal 22 4 2" xfId="5309"/>
    <cellStyle name="Normal 22 4 3" xfId="10457"/>
    <cellStyle name="Normal 22 5" xfId="5310"/>
    <cellStyle name="Normal 22 5 2" xfId="5311"/>
    <cellStyle name="Normal 22 5 3" xfId="10458"/>
    <cellStyle name="Normal 22 6" xfId="5312"/>
    <cellStyle name="Normal 22 6 2" xfId="5313"/>
    <cellStyle name="Normal 22 6 3" xfId="10459"/>
    <cellStyle name="Normal 22 7" xfId="5314"/>
    <cellStyle name="Normal 22 7 2" xfId="5315"/>
    <cellStyle name="Normal 22 7 3" xfId="10460"/>
    <cellStyle name="Normal 22 8" xfId="5316"/>
    <cellStyle name="Normal 22 8 2" xfId="5317"/>
    <cellStyle name="Normal 22 8 3" xfId="10461"/>
    <cellStyle name="Normal 22 9" xfId="5318"/>
    <cellStyle name="Normal 22 9 2" xfId="5319"/>
    <cellStyle name="Normal 22 9 3" xfId="10462"/>
    <cellStyle name="Normal 220" xfId="5320"/>
    <cellStyle name="Normal 220 2" xfId="5321"/>
    <cellStyle name="Normal 220 3" xfId="11477"/>
    <cellStyle name="Normal 221" xfId="5322"/>
    <cellStyle name="Normal 221 2" xfId="5323"/>
    <cellStyle name="Normal 221 3" xfId="11478"/>
    <cellStyle name="Normal 222" xfId="5324"/>
    <cellStyle name="Normal 222 2" xfId="5325"/>
    <cellStyle name="Normal 222 3" xfId="11479"/>
    <cellStyle name="Normal 223" xfId="5326"/>
    <cellStyle name="Normal 223 2" xfId="5327"/>
    <cellStyle name="Normal 223 3" xfId="11480"/>
    <cellStyle name="Normal 224" xfId="5328"/>
    <cellStyle name="Normal 224 2" xfId="5329"/>
    <cellStyle name="Normal 224 3" xfId="11481"/>
    <cellStyle name="Normal 225" xfId="5330"/>
    <cellStyle name="Normal 225 2" xfId="5331"/>
    <cellStyle name="Normal 225 3" xfId="11482"/>
    <cellStyle name="Normal 226" xfId="5332"/>
    <cellStyle name="Normal 226 2" xfId="5333"/>
    <cellStyle name="Normal 226 3" xfId="11483"/>
    <cellStyle name="Normal 227" xfId="5334"/>
    <cellStyle name="Normal 227 2" xfId="5335"/>
    <cellStyle name="Normal 227 3" xfId="11485"/>
    <cellStyle name="Normal 228" xfId="5336"/>
    <cellStyle name="Normal 228 2" xfId="5337"/>
    <cellStyle name="Normal 228 3" xfId="11486"/>
    <cellStyle name="Normal 229" xfId="5338"/>
    <cellStyle name="Normal 229 2" xfId="5339"/>
    <cellStyle name="Normal 229 3" xfId="11487"/>
    <cellStyle name="Normal 23" xfId="5340"/>
    <cellStyle name="Normal 23 10" xfId="5341"/>
    <cellStyle name="Normal 23 10 2" xfId="5342"/>
    <cellStyle name="Normal 23 10 3" xfId="10463"/>
    <cellStyle name="Normal 23 11" xfId="5343"/>
    <cellStyle name="Normal 23 11 2" xfId="5344"/>
    <cellStyle name="Normal 23 11 3" xfId="10464"/>
    <cellStyle name="Normal 23 12" xfId="5345"/>
    <cellStyle name="Normal 23 12 2" xfId="5346"/>
    <cellStyle name="Normal 23 12 3" xfId="10465"/>
    <cellStyle name="Normal 23 13" xfId="5347"/>
    <cellStyle name="Normal 23 13 2" xfId="5348"/>
    <cellStyle name="Normal 23 13 3" xfId="10466"/>
    <cellStyle name="Normal 23 14" xfId="5349"/>
    <cellStyle name="Normal 23 15" xfId="8059"/>
    <cellStyle name="Normal 23 2" xfId="5350"/>
    <cellStyle name="Normal 23 2 2" xfId="5351"/>
    <cellStyle name="Normal 23 2 2 2" xfId="5352"/>
    <cellStyle name="Normal 23 2 2 3" xfId="10467"/>
    <cellStyle name="Normal 23 2 3" xfId="5353"/>
    <cellStyle name="Normal 23 2 4" xfId="8060"/>
    <cellStyle name="Normal 23 3" xfId="5354"/>
    <cellStyle name="Normal 23 3 2" xfId="5355"/>
    <cellStyle name="Normal 23 3 3" xfId="10468"/>
    <cellStyle name="Normal 23 4" xfId="5356"/>
    <cellStyle name="Normal 23 4 2" xfId="5357"/>
    <cellStyle name="Normal 23 4 3" xfId="10469"/>
    <cellStyle name="Normal 23 5" xfId="5358"/>
    <cellStyle name="Normal 23 5 2" xfId="5359"/>
    <cellStyle name="Normal 23 5 3" xfId="10470"/>
    <cellStyle name="Normal 23 6" xfId="5360"/>
    <cellStyle name="Normal 23 6 2" xfId="5361"/>
    <cellStyle name="Normal 23 6 3" xfId="10471"/>
    <cellStyle name="Normal 23 7" xfId="5362"/>
    <cellStyle name="Normal 23 7 2" xfId="5363"/>
    <cellStyle name="Normal 23 7 3" xfId="10472"/>
    <cellStyle name="Normal 23 8" xfId="5364"/>
    <cellStyle name="Normal 23 8 2" xfId="5365"/>
    <cellStyle name="Normal 23 8 3" xfId="10473"/>
    <cellStyle name="Normal 23 9" xfId="5366"/>
    <cellStyle name="Normal 23 9 2" xfId="5367"/>
    <cellStyle name="Normal 23 9 3" xfId="10474"/>
    <cellStyle name="Normal 230" xfId="5368"/>
    <cellStyle name="Normal 230 2" xfId="5369"/>
    <cellStyle name="Normal 230 3" xfId="11484"/>
    <cellStyle name="Normal 231" xfId="5370"/>
    <cellStyle name="Normal 231 2" xfId="5371"/>
    <cellStyle name="Normal 231 3" xfId="11489"/>
    <cellStyle name="Normal 232" xfId="5372"/>
    <cellStyle name="Normal 232 2" xfId="5373"/>
    <cellStyle name="Normal 232 3" xfId="11490"/>
    <cellStyle name="Normal 233" xfId="5374"/>
    <cellStyle name="Normal 233 2" xfId="5375"/>
    <cellStyle name="Normal 233 3" xfId="11488"/>
    <cellStyle name="Normal 234" xfId="5376"/>
    <cellStyle name="Normal 234 2" xfId="5377"/>
    <cellStyle name="Normal 234 3" xfId="11493"/>
    <cellStyle name="Normal 235" xfId="5378"/>
    <cellStyle name="Normal 235 2" xfId="5379"/>
    <cellStyle name="Normal 235 3" xfId="11494"/>
    <cellStyle name="Normal 236" xfId="5380"/>
    <cellStyle name="Normal 236 2" xfId="5381"/>
    <cellStyle name="Normal 236 3" xfId="11492"/>
    <cellStyle name="Normal 237" xfId="5382"/>
    <cellStyle name="Normal 237 2" xfId="5383"/>
    <cellStyle name="Normal 237 3" xfId="11495"/>
    <cellStyle name="Normal 238" xfId="5384"/>
    <cellStyle name="Normal 238 2" xfId="5385"/>
    <cellStyle name="Normal 238 3" xfId="11496"/>
    <cellStyle name="Normal 239" xfId="5386"/>
    <cellStyle name="Normal 239 2" xfId="5387"/>
    <cellStyle name="Normal 239 3" xfId="11497"/>
    <cellStyle name="Normal 24" xfId="5388"/>
    <cellStyle name="Normal 24 10" xfId="5389"/>
    <cellStyle name="Normal 24 10 2" xfId="5390"/>
    <cellStyle name="Normal 24 10 3" xfId="10475"/>
    <cellStyle name="Normal 24 11" xfId="5391"/>
    <cellStyle name="Normal 24 11 2" xfId="5392"/>
    <cellStyle name="Normal 24 11 3" xfId="10476"/>
    <cellStyle name="Normal 24 12" xfId="5393"/>
    <cellStyle name="Normal 24 12 2" xfId="5394"/>
    <cellStyle name="Normal 24 12 3" xfId="10477"/>
    <cellStyle name="Normal 24 13" xfId="5395"/>
    <cellStyle name="Normal 24 13 2" xfId="5396"/>
    <cellStyle name="Normal 24 13 3" xfId="10478"/>
    <cellStyle name="Normal 24 14" xfId="5397"/>
    <cellStyle name="Normal 24 15" xfId="8061"/>
    <cellStyle name="Normal 24 2" xfId="5398"/>
    <cellStyle name="Normal 24 2 2" xfId="5399"/>
    <cellStyle name="Normal 24 2 2 2" xfId="5400"/>
    <cellStyle name="Normal 24 2 2 3" xfId="10479"/>
    <cellStyle name="Normal 24 2 3" xfId="5401"/>
    <cellStyle name="Normal 24 2 4" xfId="8062"/>
    <cellStyle name="Normal 24 3" xfId="5402"/>
    <cellStyle name="Normal 24 3 2" xfId="5403"/>
    <cellStyle name="Normal 24 3 3" xfId="10480"/>
    <cellStyle name="Normal 24 4" xfId="5404"/>
    <cellStyle name="Normal 24 4 2" xfId="5405"/>
    <cellStyle name="Normal 24 4 3" xfId="10481"/>
    <cellStyle name="Normal 24 5" xfId="5406"/>
    <cellStyle name="Normal 24 5 2" xfId="5407"/>
    <cellStyle name="Normal 24 5 3" xfId="10482"/>
    <cellStyle name="Normal 24 6" xfId="5408"/>
    <cellStyle name="Normal 24 6 2" xfId="5409"/>
    <cellStyle name="Normal 24 6 3" xfId="10483"/>
    <cellStyle name="Normal 24 7" xfId="5410"/>
    <cellStyle name="Normal 24 7 2" xfId="5411"/>
    <cellStyle name="Normal 24 7 3" xfId="10484"/>
    <cellStyle name="Normal 24 8" xfId="5412"/>
    <cellStyle name="Normal 24 8 2" xfId="5413"/>
    <cellStyle name="Normal 24 8 3" xfId="10485"/>
    <cellStyle name="Normal 24 9" xfId="5414"/>
    <cellStyle name="Normal 24 9 2" xfId="5415"/>
    <cellStyle name="Normal 24 9 3" xfId="10486"/>
    <cellStyle name="Normal 240" xfId="5416"/>
    <cellStyle name="Normal 240 2" xfId="5417"/>
    <cellStyle name="Normal 240 3" xfId="11491"/>
    <cellStyle name="Normal 241" xfId="5418"/>
    <cellStyle name="Normal 241 2" xfId="5419"/>
    <cellStyle name="Normal 241 3" xfId="11498"/>
    <cellStyle name="Normal 242" xfId="5420"/>
    <cellStyle name="Normal 242 2" xfId="5421"/>
    <cellStyle name="Normal 242 3" xfId="11499"/>
    <cellStyle name="Normal 243" xfId="5422"/>
    <cellStyle name="Normal 243 2" xfId="5423"/>
    <cellStyle name="Normal 243 3" xfId="11500"/>
    <cellStyle name="Normal 244" xfId="5424"/>
    <cellStyle name="Normal 244 2" xfId="5425"/>
    <cellStyle name="Normal 244 3" xfId="11501"/>
    <cellStyle name="Normal 245" xfId="5426"/>
    <cellStyle name="Normal 245 2" xfId="5427"/>
    <cellStyle name="Normal 245 3" xfId="11502"/>
    <cellStyle name="Normal 246" xfId="5428"/>
    <cellStyle name="Normal 246 2" xfId="5429"/>
    <cellStyle name="Normal 246 3" xfId="11509"/>
    <cellStyle name="Normal 247" xfId="5430"/>
    <cellStyle name="Normal 247 2" xfId="5431"/>
    <cellStyle name="Normal 247 3" xfId="11510"/>
    <cellStyle name="Normal 248" xfId="5432"/>
    <cellStyle name="Normal 248 2" xfId="5433"/>
    <cellStyle name="Normal 248 3" xfId="11511"/>
    <cellStyle name="Normal 249" xfId="5434"/>
    <cellStyle name="Normal 249 2" xfId="5435"/>
    <cellStyle name="Normal 249 3" xfId="11512"/>
    <cellStyle name="Normal 25" xfId="5436"/>
    <cellStyle name="Normal 25 10" xfId="5437"/>
    <cellStyle name="Normal 25 10 2" xfId="5438"/>
    <cellStyle name="Normal 25 10 3" xfId="10487"/>
    <cellStyle name="Normal 25 11" xfId="5439"/>
    <cellStyle name="Normal 25 11 2" xfId="5440"/>
    <cellStyle name="Normal 25 11 3" xfId="10488"/>
    <cellStyle name="Normal 25 12" xfId="5441"/>
    <cellStyle name="Normal 25 12 2" xfId="5442"/>
    <cellStyle name="Normal 25 12 3" xfId="10489"/>
    <cellStyle name="Normal 25 13" xfId="5443"/>
    <cellStyle name="Normal 25 13 2" xfId="5444"/>
    <cellStyle name="Normal 25 13 3" xfId="10490"/>
    <cellStyle name="Normal 25 14" xfId="5445"/>
    <cellStyle name="Normal 25 15" xfId="8063"/>
    <cellStyle name="Normal 25 2" xfId="5446"/>
    <cellStyle name="Normal 25 2 2" xfId="5447"/>
    <cellStyle name="Normal 25 2 2 2" xfId="5448"/>
    <cellStyle name="Normal 25 2 2 3" xfId="10491"/>
    <cellStyle name="Normal 25 2 3" xfId="5449"/>
    <cellStyle name="Normal 25 2 4" xfId="8064"/>
    <cellStyle name="Normal 25 3" xfId="5450"/>
    <cellStyle name="Normal 25 3 2" xfId="5451"/>
    <cellStyle name="Normal 25 3 3" xfId="10492"/>
    <cellStyle name="Normal 25 4" xfId="5452"/>
    <cellStyle name="Normal 25 4 2" xfId="5453"/>
    <cellStyle name="Normal 25 4 3" xfId="10493"/>
    <cellStyle name="Normal 25 5" xfId="5454"/>
    <cellStyle name="Normal 25 5 2" xfId="5455"/>
    <cellStyle name="Normal 25 5 3" xfId="10494"/>
    <cellStyle name="Normal 25 6" xfId="5456"/>
    <cellStyle name="Normal 25 6 2" xfId="5457"/>
    <cellStyle name="Normal 25 6 3" xfId="10495"/>
    <cellStyle name="Normal 25 7" xfId="5458"/>
    <cellStyle name="Normal 25 7 2" xfId="5459"/>
    <cellStyle name="Normal 25 7 3" xfId="10496"/>
    <cellStyle name="Normal 25 8" xfId="5460"/>
    <cellStyle name="Normal 25 8 2" xfId="5461"/>
    <cellStyle name="Normal 25 8 3" xfId="10497"/>
    <cellStyle name="Normal 25 9" xfId="5462"/>
    <cellStyle name="Normal 25 9 2" xfId="5463"/>
    <cellStyle name="Normal 25 9 3" xfId="10498"/>
    <cellStyle name="Normal 250" xfId="5464"/>
    <cellStyle name="Normal 250 2" xfId="5465"/>
    <cellStyle name="Normal 250 3" xfId="11513"/>
    <cellStyle name="Normal 251" xfId="5466"/>
    <cellStyle name="Normal 251 2" xfId="5467"/>
    <cellStyle name="Normal 251 3" xfId="11503"/>
    <cellStyle name="Normal 252" xfId="5468"/>
    <cellStyle name="Normal 252 2" xfId="5469"/>
    <cellStyle name="Normal 252 3" xfId="11515"/>
    <cellStyle name="Normal 253" xfId="5470"/>
    <cellStyle name="Normal 253 2" xfId="5471"/>
    <cellStyle name="Normal 253 3" xfId="11516"/>
    <cellStyle name="Normal 254" xfId="5472"/>
    <cellStyle name="Normal 254 2" xfId="5473"/>
    <cellStyle name="Normal 254 3" xfId="11517"/>
    <cellStyle name="Normal 255" xfId="5474"/>
    <cellStyle name="Normal 255 2" xfId="5475"/>
    <cellStyle name="Normal 255 3" xfId="11504"/>
    <cellStyle name="Normal 256" xfId="5476"/>
    <cellStyle name="Normal 256 2" xfId="5477"/>
    <cellStyle name="Normal 256 3" xfId="11518"/>
    <cellStyle name="Normal 257" xfId="5478"/>
    <cellStyle name="Normal 257 2" xfId="5479"/>
    <cellStyle name="Normal 257 3" xfId="11519"/>
    <cellStyle name="Normal 258" xfId="5480"/>
    <cellStyle name="Normal 258 2" xfId="5481"/>
    <cellStyle name="Normal 258 3" xfId="11520"/>
    <cellStyle name="Normal 259" xfId="5482"/>
    <cellStyle name="Normal 259 2" xfId="5483"/>
    <cellStyle name="Normal 259 3" xfId="11521"/>
    <cellStyle name="Normal 26" xfId="5484"/>
    <cellStyle name="Normal 26 10" xfId="5485"/>
    <cellStyle name="Normal 26 10 2" xfId="5486"/>
    <cellStyle name="Normal 26 10 3" xfId="10499"/>
    <cellStyle name="Normal 26 11" xfId="5487"/>
    <cellStyle name="Normal 26 11 2" xfId="5488"/>
    <cellStyle name="Normal 26 11 3" xfId="10500"/>
    <cellStyle name="Normal 26 12" xfId="5489"/>
    <cellStyle name="Normal 26 12 2" xfId="5490"/>
    <cellStyle name="Normal 26 12 3" xfId="10501"/>
    <cellStyle name="Normal 26 13" xfId="5491"/>
    <cellStyle name="Normal 26 13 2" xfId="5492"/>
    <cellStyle name="Normal 26 13 3" xfId="10502"/>
    <cellStyle name="Normal 26 14" xfId="5493"/>
    <cellStyle name="Normal 26 15" xfId="8065"/>
    <cellStyle name="Normal 26 2" xfId="5494"/>
    <cellStyle name="Normal 26 2 2" xfId="5495"/>
    <cellStyle name="Normal 26 2 2 2" xfId="5496"/>
    <cellStyle name="Normal 26 2 2 3" xfId="10503"/>
    <cellStyle name="Normal 26 2 3" xfId="5497"/>
    <cellStyle name="Normal 26 2 4" xfId="8066"/>
    <cellStyle name="Normal 26 3" xfId="5498"/>
    <cellStyle name="Normal 26 3 2" xfId="5499"/>
    <cellStyle name="Normal 26 3 3" xfId="10504"/>
    <cellStyle name="Normal 26 4" xfId="5500"/>
    <cellStyle name="Normal 26 4 2" xfId="5501"/>
    <cellStyle name="Normal 26 4 3" xfId="10505"/>
    <cellStyle name="Normal 26 5" xfId="5502"/>
    <cellStyle name="Normal 26 5 2" xfId="5503"/>
    <cellStyle name="Normal 26 5 3" xfId="10506"/>
    <cellStyle name="Normal 26 6" xfId="5504"/>
    <cellStyle name="Normal 26 6 2" xfId="5505"/>
    <cellStyle name="Normal 26 6 3" xfId="10507"/>
    <cellStyle name="Normal 26 7" xfId="5506"/>
    <cellStyle name="Normal 26 7 2" xfId="5507"/>
    <cellStyle name="Normal 26 7 3" xfId="10508"/>
    <cellStyle name="Normal 26 8" xfId="5508"/>
    <cellStyle name="Normal 26 8 2" xfId="5509"/>
    <cellStyle name="Normal 26 8 3" xfId="10509"/>
    <cellStyle name="Normal 26 9" xfId="5510"/>
    <cellStyle name="Normal 26 9 2" xfId="5511"/>
    <cellStyle name="Normal 26 9 3" xfId="10510"/>
    <cellStyle name="Normal 260" xfId="5512"/>
    <cellStyle name="Normal 260 2" xfId="5513"/>
    <cellStyle name="Normal 260 3" xfId="11514"/>
    <cellStyle name="Normal 261" xfId="5514"/>
    <cellStyle name="Normal 261 2" xfId="5515"/>
    <cellStyle name="Normal 261 3" xfId="11505"/>
    <cellStyle name="Normal 262" xfId="5516"/>
    <cellStyle name="Normal 262 2" xfId="5517"/>
    <cellStyle name="Normal 262 3" xfId="11522"/>
    <cellStyle name="Normal 263" xfId="5518"/>
    <cellStyle name="Normal 263 2" xfId="5519"/>
    <cellStyle name="Normal 263 3" xfId="11523"/>
    <cellStyle name="Normal 264" xfId="5520"/>
    <cellStyle name="Normal 264 2" xfId="5521"/>
    <cellStyle name="Normal 264 3" xfId="11508"/>
    <cellStyle name="Normal 265" xfId="5522"/>
    <cellStyle name="Normal 265 2" xfId="5523"/>
    <cellStyle name="Normal 265 3" xfId="11524"/>
    <cellStyle name="Normal 266" xfId="5524"/>
    <cellStyle name="Normal 266 2" xfId="5525"/>
    <cellStyle name="Normal 266 3" xfId="11525"/>
    <cellStyle name="Normal 267" xfId="5526"/>
    <cellStyle name="Normal 267 2" xfId="5527"/>
    <cellStyle name="Normal 267 3" xfId="11526"/>
    <cellStyle name="Normal 268" xfId="5528"/>
    <cellStyle name="Normal 268 2" xfId="5529"/>
    <cellStyle name="Normal 268 3" xfId="11529"/>
    <cellStyle name="Normal 269" xfId="5530"/>
    <cellStyle name="Normal 269 2" xfId="5531"/>
    <cellStyle name="Normal 269 3" xfId="11531"/>
    <cellStyle name="Normal 27" xfId="5532"/>
    <cellStyle name="Normal 27 10" xfId="5533"/>
    <cellStyle name="Normal 27 10 2" xfId="5534"/>
    <cellStyle name="Normal 27 10 3" xfId="10511"/>
    <cellStyle name="Normal 27 11" xfId="5535"/>
    <cellStyle name="Normal 27 11 2" xfId="5536"/>
    <cellStyle name="Normal 27 11 3" xfId="10512"/>
    <cellStyle name="Normal 27 12" xfId="5537"/>
    <cellStyle name="Normal 27 12 2" xfId="5538"/>
    <cellStyle name="Normal 27 12 3" xfId="10513"/>
    <cellStyle name="Normal 27 13" xfId="5539"/>
    <cellStyle name="Normal 27 13 2" xfId="5540"/>
    <cellStyle name="Normal 27 13 3" xfId="10514"/>
    <cellStyle name="Normal 27 14" xfId="5541"/>
    <cellStyle name="Normal 27 15" xfId="8067"/>
    <cellStyle name="Normal 27 2" xfId="5542"/>
    <cellStyle name="Normal 27 2 2" xfId="5543"/>
    <cellStyle name="Normal 27 2 2 2" xfId="5544"/>
    <cellStyle name="Normal 27 2 2 3" xfId="10515"/>
    <cellStyle name="Normal 27 2 3" xfId="5545"/>
    <cellStyle name="Normal 27 2 4" xfId="8068"/>
    <cellStyle name="Normal 27 3" xfId="5546"/>
    <cellStyle name="Normal 27 3 2" xfId="5547"/>
    <cellStyle name="Normal 27 3 3" xfId="10516"/>
    <cellStyle name="Normal 27 4" xfId="5548"/>
    <cellStyle name="Normal 27 4 2" xfId="5549"/>
    <cellStyle name="Normal 27 4 3" xfId="10517"/>
    <cellStyle name="Normal 27 5" xfId="5550"/>
    <cellStyle name="Normal 27 5 2" xfId="5551"/>
    <cellStyle name="Normal 27 5 3" xfId="10518"/>
    <cellStyle name="Normal 27 6" xfId="5552"/>
    <cellStyle name="Normal 27 6 2" xfId="5553"/>
    <cellStyle name="Normal 27 6 3" xfId="10519"/>
    <cellStyle name="Normal 27 7" xfId="5554"/>
    <cellStyle name="Normal 27 7 2" xfId="5555"/>
    <cellStyle name="Normal 27 7 3" xfId="10520"/>
    <cellStyle name="Normal 27 8" xfId="5556"/>
    <cellStyle name="Normal 27 8 2" xfId="5557"/>
    <cellStyle name="Normal 27 8 3" xfId="10521"/>
    <cellStyle name="Normal 27 9" xfId="5558"/>
    <cellStyle name="Normal 27 9 2" xfId="5559"/>
    <cellStyle name="Normal 27 9 3" xfId="10522"/>
    <cellStyle name="Normal 270" xfId="5560"/>
    <cellStyle name="Normal 270 2" xfId="5561"/>
    <cellStyle name="Normal 270 3" xfId="11532"/>
    <cellStyle name="Normal 271" xfId="5562"/>
    <cellStyle name="Normal 271 2" xfId="5563"/>
    <cellStyle name="Normal 271 3" xfId="11530"/>
    <cellStyle name="Normal 272" xfId="5564"/>
    <cellStyle name="Normal 272 2" xfId="5565"/>
    <cellStyle name="Normal 272 3" xfId="11528"/>
    <cellStyle name="Normal 273" xfId="5566"/>
    <cellStyle name="Normal 274" xfId="5567"/>
    <cellStyle name="Normal 275" xfId="7784"/>
    <cellStyle name="Normal 277" xfId="5568"/>
    <cellStyle name="Normal 28" xfId="5569"/>
    <cellStyle name="Normal 28 10" xfId="5570"/>
    <cellStyle name="Normal 28 10 2" xfId="5571"/>
    <cellStyle name="Normal 28 10 3" xfId="10523"/>
    <cellStyle name="Normal 28 11" xfId="5572"/>
    <cellStyle name="Normal 28 11 2" xfId="5573"/>
    <cellStyle name="Normal 28 11 3" xfId="10524"/>
    <cellStyle name="Normal 28 12" xfId="5574"/>
    <cellStyle name="Normal 28 12 2" xfId="5575"/>
    <cellStyle name="Normal 28 12 3" xfId="10525"/>
    <cellStyle name="Normal 28 13" xfId="5576"/>
    <cellStyle name="Normal 28 13 2" xfId="5577"/>
    <cellStyle name="Normal 28 13 3" xfId="10526"/>
    <cellStyle name="Normal 28 14" xfId="5578"/>
    <cellStyle name="Normal 28 15" xfId="8069"/>
    <cellStyle name="Normal 28 2" xfId="5579"/>
    <cellStyle name="Normal 28 2 2" xfId="5580"/>
    <cellStyle name="Normal 28 2 2 2" xfId="5581"/>
    <cellStyle name="Normal 28 2 2 3" xfId="10527"/>
    <cellStyle name="Normal 28 2 3" xfId="5582"/>
    <cellStyle name="Normal 28 2 4" xfId="8070"/>
    <cellStyle name="Normal 28 3" xfId="5583"/>
    <cellStyle name="Normal 28 3 2" xfId="5584"/>
    <cellStyle name="Normal 28 3 3" xfId="10528"/>
    <cellStyle name="Normal 28 4" xfId="5585"/>
    <cellStyle name="Normal 28 4 2" xfId="5586"/>
    <cellStyle name="Normal 28 4 3" xfId="10529"/>
    <cellStyle name="Normal 28 5" xfId="5587"/>
    <cellStyle name="Normal 28 5 2" xfId="5588"/>
    <cellStyle name="Normal 28 5 3" xfId="10530"/>
    <cellStyle name="Normal 28 6" xfId="5589"/>
    <cellStyle name="Normal 28 6 2" xfId="5590"/>
    <cellStyle name="Normal 28 6 3" xfId="10531"/>
    <cellStyle name="Normal 28 7" xfId="5591"/>
    <cellStyle name="Normal 28 7 2" xfId="5592"/>
    <cellStyle name="Normal 28 7 3" xfId="10532"/>
    <cellStyle name="Normal 28 8" xfId="5593"/>
    <cellStyle name="Normal 28 8 2" xfId="5594"/>
    <cellStyle name="Normal 28 8 3" xfId="10533"/>
    <cellStyle name="Normal 28 9" xfId="5595"/>
    <cellStyle name="Normal 28 9 2" xfId="5596"/>
    <cellStyle name="Normal 28 9 3" xfId="10534"/>
    <cellStyle name="Normal 29" xfId="5597"/>
    <cellStyle name="Normal 29 10" xfId="5598"/>
    <cellStyle name="Normal 29 10 2" xfId="5599"/>
    <cellStyle name="Normal 29 10 3" xfId="10535"/>
    <cellStyle name="Normal 29 11" xfId="5600"/>
    <cellStyle name="Normal 29 11 2" xfId="5601"/>
    <cellStyle name="Normal 29 11 3" xfId="10536"/>
    <cellStyle name="Normal 29 12" xfId="5602"/>
    <cellStyle name="Normal 29 12 2" xfId="5603"/>
    <cellStyle name="Normal 29 12 3" xfId="10537"/>
    <cellStyle name="Normal 29 13" xfId="5604"/>
    <cellStyle name="Normal 29 13 2" xfId="5605"/>
    <cellStyle name="Normal 29 13 3" xfId="10538"/>
    <cellStyle name="Normal 29 14" xfId="5606"/>
    <cellStyle name="Normal 29 14 2" xfId="5607"/>
    <cellStyle name="Normal 29 14 3" xfId="10539"/>
    <cellStyle name="Normal 29 15" xfId="5608"/>
    <cellStyle name="Normal 29 15 2" xfId="5609"/>
    <cellStyle name="Normal 29 15 3" xfId="5610"/>
    <cellStyle name="Normal 29 15 4" xfId="10540"/>
    <cellStyle name="Normal 29 16" xfId="5611"/>
    <cellStyle name="Normal 29 16 2" xfId="5612"/>
    <cellStyle name="Normal 29 16 3" xfId="5613"/>
    <cellStyle name="Normal 29 16 4" xfId="10541"/>
    <cellStyle name="Normal 29 17" xfId="5614"/>
    <cellStyle name="Normal 29 17 2" xfId="5615"/>
    <cellStyle name="Normal 29 17 3" xfId="5616"/>
    <cellStyle name="Normal 29 17 4" xfId="10542"/>
    <cellStyle name="Normal 29 18" xfId="5617"/>
    <cellStyle name="Normal 29 18 2" xfId="5618"/>
    <cellStyle name="Normal 29 18 3" xfId="5619"/>
    <cellStyle name="Normal 29 18 4" xfId="10543"/>
    <cellStyle name="Normal 29 19" xfId="5620"/>
    <cellStyle name="Normal 29 19 2" xfId="5621"/>
    <cellStyle name="Normal 29 19 3" xfId="5622"/>
    <cellStyle name="Normal 29 19 4" xfId="10544"/>
    <cellStyle name="Normal 29 2" xfId="5623"/>
    <cellStyle name="Normal 29 2 10" xfId="5624"/>
    <cellStyle name="Normal 29 2 10 2" xfId="5625"/>
    <cellStyle name="Normal 29 2 10 3" xfId="5626"/>
    <cellStyle name="Normal 29 2 10 4" xfId="11527"/>
    <cellStyle name="Normal 29 2 11" xfId="5627"/>
    <cellStyle name="Normal 29 2 12" xfId="8072"/>
    <cellStyle name="Normal 29 2 2" xfId="5628"/>
    <cellStyle name="Normal 29 2 2 2" xfId="5629"/>
    <cellStyle name="Normal 29 2 2 3" xfId="10545"/>
    <cellStyle name="Normal 29 2 3" xfId="5630"/>
    <cellStyle name="Normal 29 2 3 2" xfId="5631"/>
    <cellStyle name="Normal 29 2 3 3" xfId="5632"/>
    <cellStyle name="Normal 29 2 3 4" xfId="10546"/>
    <cellStyle name="Normal 29 2 4" xfId="5633"/>
    <cellStyle name="Normal 29 2 4 2" xfId="5634"/>
    <cellStyle name="Normal 29 2 4 3" xfId="5635"/>
    <cellStyle name="Normal 29 2 4 4" xfId="10547"/>
    <cellStyle name="Normal 29 2 5" xfId="5636"/>
    <cellStyle name="Normal 29 2 5 2" xfId="5637"/>
    <cellStyle name="Normal 29 2 5 3" xfId="5638"/>
    <cellStyle name="Normal 29 2 5 4" xfId="10548"/>
    <cellStyle name="Normal 29 2 6" xfId="5639"/>
    <cellStyle name="Normal 29 2 6 2" xfId="5640"/>
    <cellStyle name="Normal 29 2 6 3" xfId="5641"/>
    <cellStyle name="Normal 29 2 6 4" xfId="10549"/>
    <cellStyle name="Normal 29 2 7" xfId="5642"/>
    <cellStyle name="Normal 29 2 7 2" xfId="5643"/>
    <cellStyle name="Normal 29 2 7 3" xfId="5644"/>
    <cellStyle name="Normal 29 2 7 4" xfId="10550"/>
    <cellStyle name="Normal 29 2 8" xfId="5645"/>
    <cellStyle name="Normal 29 2 8 2" xfId="5646"/>
    <cellStyle name="Normal 29 2 8 3" xfId="5647"/>
    <cellStyle name="Normal 29 2 8 4" xfId="10551"/>
    <cellStyle name="Normal 29 2 9" xfId="5648"/>
    <cellStyle name="Normal 29 2 9 2" xfId="5649"/>
    <cellStyle name="Normal 29 2 9 3" xfId="5650"/>
    <cellStyle name="Normal 29 2 9 4" xfId="11506"/>
    <cellStyle name="Normal 29 20" xfId="5651"/>
    <cellStyle name="Normal 29 20 2" xfId="5652"/>
    <cellStyle name="Normal 29 20 3" xfId="5653"/>
    <cellStyle name="Normal 29 20 4" xfId="10552"/>
    <cellStyle name="Normal 29 21" xfId="5654"/>
    <cellStyle name="Normal 29 21 2" xfId="5655"/>
    <cellStyle name="Normal 29 21 3" xfId="5656"/>
    <cellStyle name="Normal 29 21 4" xfId="11445"/>
    <cellStyle name="Normal 29 22" xfId="5657"/>
    <cellStyle name="Normal 29 22 2" xfId="5658"/>
    <cellStyle name="Normal 29 22 3" xfId="5659"/>
    <cellStyle name="Normal 29 22 4" xfId="11455"/>
    <cellStyle name="Normal 29 23" xfId="5660"/>
    <cellStyle name="Normal 29 23 2" xfId="5661"/>
    <cellStyle name="Normal 29 23 3" xfId="5662"/>
    <cellStyle name="Normal 29 23 4" xfId="11459"/>
    <cellStyle name="Normal 29 24" xfId="5663"/>
    <cellStyle name="Normal 29 25" xfId="5664"/>
    <cellStyle name="Normal 29 26" xfId="8071"/>
    <cellStyle name="Normal 29 3" xfId="5665"/>
    <cellStyle name="Normal 29 3 2" xfId="5666"/>
    <cellStyle name="Normal 29 3 3" xfId="10553"/>
    <cellStyle name="Normal 29 4" xfId="5667"/>
    <cellStyle name="Normal 29 4 2" xfId="5668"/>
    <cellStyle name="Normal 29 4 2 2" xfId="5669"/>
    <cellStyle name="Normal 29 4 2 3" xfId="10555"/>
    <cellStyle name="Normal 29 4 3" xfId="5670"/>
    <cellStyle name="Normal 29 4 4" xfId="10554"/>
    <cellStyle name="Normal 29 5" xfId="5671"/>
    <cellStyle name="Normal 29 5 2" xfId="5672"/>
    <cellStyle name="Normal 29 5 2 2" xfId="5673"/>
    <cellStyle name="Normal 29 5 2 3" xfId="10557"/>
    <cellStyle name="Normal 29 5 3" xfId="5674"/>
    <cellStyle name="Normal 29 5 4" xfId="5675"/>
    <cellStyle name="Normal 29 5 5" xfId="10556"/>
    <cellStyle name="Normal 29 6" xfId="5676"/>
    <cellStyle name="Normal 29 6 2" xfId="5677"/>
    <cellStyle name="Normal 29 6 3" xfId="10558"/>
    <cellStyle name="Normal 29 7" xfId="5678"/>
    <cellStyle name="Normal 29 7 2" xfId="5679"/>
    <cellStyle name="Normal 29 7 3" xfId="10559"/>
    <cellStyle name="Normal 29 8" xfId="5680"/>
    <cellStyle name="Normal 29 8 2" xfId="5681"/>
    <cellStyle name="Normal 29 8 3" xfId="10560"/>
    <cellStyle name="Normal 29 9" xfId="5682"/>
    <cellStyle name="Normal 29 9 2" xfId="5683"/>
    <cellStyle name="Normal 29 9 3" xfId="10561"/>
    <cellStyle name="Normal 3" xfId="5685"/>
    <cellStyle name="Normal 3 10" xfId="5686"/>
    <cellStyle name="Normal 3 10 2" xfId="5687"/>
    <cellStyle name="Normal 3 10 3" xfId="10562"/>
    <cellStyle name="Normal 3 11" xfId="5688"/>
    <cellStyle name="Normal 3 11 2" xfId="5689"/>
    <cellStyle name="Normal 3 11 3" xfId="10563"/>
    <cellStyle name="Normal 3 12" xfId="5690"/>
    <cellStyle name="Normal 3 12 2" xfId="5691"/>
    <cellStyle name="Normal 3 12 3" xfId="10564"/>
    <cellStyle name="Normal 3 13" xfId="5692"/>
    <cellStyle name="Normal 3 13 2" xfId="5693"/>
    <cellStyle name="Normal 3 13 3" xfId="10565"/>
    <cellStyle name="Normal 3 14" xfId="5694"/>
    <cellStyle name="Normal 3 14 2" xfId="5695"/>
    <cellStyle name="Normal 3 14 3" xfId="10566"/>
    <cellStyle name="Normal 3 15" xfId="5696"/>
    <cellStyle name="Normal 3 15 2" xfId="5697"/>
    <cellStyle name="Normal 3 15 3" xfId="10567"/>
    <cellStyle name="Normal 3 16" xfId="5698"/>
    <cellStyle name="Normal 3 16 2" xfId="5699"/>
    <cellStyle name="Normal 3 16 3" xfId="10568"/>
    <cellStyle name="Normal 3 17" xfId="5700"/>
    <cellStyle name="Normal 3 17 2" xfId="5701"/>
    <cellStyle name="Normal 3 17 3" xfId="10569"/>
    <cellStyle name="Normal 3 18" xfId="5702"/>
    <cellStyle name="Normal 3 18 2" xfId="5703"/>
    <cellStyle name="Normal 3 18 3" xfId="10570"/>
    <cellStyle name="Normal 3 19" xfId="5704"/>
    <cellStyle name="Normal 3 19 2" xfId="5705"/>
    <cellStyle name="Normal 3 19 3" xfId="5706"/>
    <cellStyle name="Normal 3 19 4" xfId="10571"/>
    <cellStyle name="Normal 3 2" xfId="5707"/>
    <cellStyle name="Normal 3 2 10" xfId="5708"/>
    <cellStyle name="Normal 3 2 10 2" xfId="5709"/>
    <cellStyle name="Normal 3 2 10 3" xfId="10572"/>
    <cellStyle name="Normal 3 2 11" xfId="5710"/>
    <cellStyle name="Normal 3 2 11 2" xfId="5711"/>
    <cellStyle name="Normal 3 2 11 3" xfId="10573"/>
    <cellStyle name="Normal 3 2 12" xfId="5712"/>
    <cellStyle name="Normal 3 2 12 2" xfId="5713"/>
    <cellStyle name="Normal 3 2 12 3" xfId="10574"/>
    <cellStyle name="Normal 3 2 13" xfId="5714"/>
    <cellStyle name="Normal 3 2 13 2" xfId="5715"/>
    <cellStyle name="Normal 3 2 13 3" xfId="10575"/>
    <cellStyle name="Normal 3 2 14" xfId="5716"/>
    <cellStyle name="Normal 3 2 14 2" xfId="5717"/>
    <cellStyle name="Normal 3 2 14 3" xfId="10576"/>
    <cellStyle name="Normal 3 2 15" xfId="5718"/>
    <cellStyle name="Normal 3 2 15 2" xfId="5719"/>
    <cellStyle name="Normal 3 2 15 3" xfId="8073"/>
    <cellStyle name="Normal 3 2 16" xfId="5720"/>
    <cellStyle name="Normal 3 2 17" xfId="5721"/>
    <cellStyle name="Normal 3 2 18" xfId="7801"/>
    <cellStyle name="Normal 3 2 2" xfId="5722"/>
    <cellStyle name="Normal 3 2 2 2" xfId="5723"/>
    <cellStyle name="Normal 3 2 2 2 2" xfId="5724"/>
    <cellStyle name="Normal 3 2 2 2 2 2" xfId="5725"/>
    <cellStyle name="Normal 3 2 2 2 2 3" xfId="10577"/>
    <cellStyle name="Normal 3 2 2 2 3" xfId="5726"/>
    <cellStyle name="Normal 3 2 2 2 4" xfId="8075"/>
    <cellStyle name="Normal 3 2 2 3" xfId="5727"/>
    <cellStyle name="Normal 3 2 2 3 2" xfId="5728"/>
    <cellStyle name="Normal 3 2 2 3 3" xfId="10578"/>
    <cellStyle name="Normal 3 2 2 4" xfId="5729"/>
    <cellStyle name="Normal 3 2 2 5" xfId="8074"/>
    <cellStyle name="Normal 3 2 3" xfId="5730"/>
    <cellStyle name="Normal 3 2 3 2" xfId="5731"/>
    <cellStyle name="Normal 3 2 3 2 2" xfId="5732"/>
    <cellStyle name="Normal 3 2 3 2 3" xfId="10579"/>
    <cellStyle name="Normal 3 2 3 3" xfId="5733"/>
    <cellStyle name="Normal 3 2 3 4" xfId="8076"/>
    <cellStyle name="Normal 3 2 4" xfId="5734"/>
    <cellStyle name="Normal 3 2 4 2" xfId="5735"/>
    <cellStyle name="Normal 3 2 4 3" xfId="10580"/>
    <cellStyle name="Normal 3 2 5" xfId="5736"/>
    <cellStyle name="Normal 3 2 5 2" xfId="5737"/>
    <cellStyle name="Normal 3 2 5 3" xfId="10581"/>
    <cellStyle name="Normal 3 2 6" xfId="5738"/>
    <cellStyle name="Normal 3 2 6 2" xfId="5739"/>
    <cellStyle name="Normal 3 2 6 3" xfId="10582"/>
    <cellStyle name="Normal 3 2 7" xfId="5740"/>
    <cellStyle name="Normal 3 2 7 2" xfId="5741"/>
    <cellStyle name="Normal 3 2 7 3" xfId="10583"/>
    <cellStyle name="Normal 3 2 8" xfId="5742"/>
    <cellStyle name="Normal 3 2 8 2" xfId="5743"/>
    <cellStyle name="Normal 3 2 8 3" xfId="10584"/>
    <cellStyle name="Normal 3 2 9" xfId="5744"/>
    <cellStyle name="Normal 3 2 9 2" xfId="5745"/>
    <cellStyle name="Normal 3 2 9 3" xfId="10585"/>
    <cellStyle name="Normal 3 2_inv-en-1.5.0-02 trame_fiche-emissions" xfId="5749"/>
    <cellStyle name="Normal 3 20" xfId="5746"/>
    <cellStyle name="Normal 3 20 2" xfId="5747"/>
    <cellStyle name="Normal 3 20 3" xfId="10586"/>
    <cellStyle name="Normal 3 21" xfId="5748"/>
    <cellStyle name="Normal 3 22" xfId="7800"/>
    <cellStyle name="Normal 3 3" xfId="5750"/>
    <cellStyle name="Normal 3 3 10" xfId="5751"/>
    <cellStyle name="Normal 3 3 10 2" xfId="5752"/>
    <cellStyle name="Normal 3 3 10 3" xfId="10587"/>
    <cellStyle name="Normal 3 3 11" xfId="5753"/>
    <cellStyle name="Normal 3 3 11 2" xfId="5754"/>
    <cellStyle name="Normal 3 3 11 3" xfId="10588"/>
    <cellStyle name="Normal 3 3 12" xfId="5755"/>
    <cellStyle name="Normal 3 3 12 2" xfId="5756"/>
    <cellStyle name="Normal 3 3 12 3" xfId="10589"/>
    <cellStyle name="Normal 3 3 13" xfId="5757"/>
    <cellStyle name="Normal 3 3 13 2" xfId="5758"/>
    <cellStyle name="Normal 3 3 13 3" xfId="10590"/>
    <cellStyle name="Normal 3 3 14" xfId="5759"/>
    <cellStyle name="Normal 3 3 14 2" xfId="5760"/>
    <cellStyle name="Normal 3 3 14 3" xfId="10591"/>
    <cellStyle name="Normal 3 3 15" xfId="5761"/>
    <cellStyle name="Normal 3 3 16" xfId="8077"/>
    <cellStyle name="Normal 3 3 2" xfId="5762"/>
    <cellStyle name="Normal 3 3 2 2" xfId="5763"/>
    <cellStyle name="Normal 3 3 2 2 2" xfId="5764"/>
    <cellStyle name="Normal 3 3 2 2 2 2" xfId="5765"/>
    <cellStyle name="Normal 3 3 2 2 2 3" xfId="10592"/>
    <cellStyle name="Normal 3 3 2 2 3" xfId="5766"/>
    <cellStyle name="Normal 3 3 2 2 4" xfId="8079"/>
    <cellStyle name="Normal 3 3 2 3" xfId="5767"/>
    <cellStyle name="Normal 3 3 2 3 2" xfId="5768"/>
    <cellStyle name="Normal 3 3 2 3 3" xfId="10593"/>
    <cellStyle name="Normal 3 3 2 4" xfId="5769"/>
    <cellStyle name="Normal 3 3 2 5" xfId="8078"/>
    <cellStyle name="Normal 3 3 3" xfId="5770"/>
    <cellStyle name="Normal 3 3 3 2" xfId="5771"/>
    <cellStyle name="Normal 3 3 3 2 2" xfId="5772"/>
    <cellStyle name="Normal 3 3 3 2 3" xfId="10594"/>
    <cellStyle name="Normal 3 3 3 3" xfId="5773"/>
    <cellStyle name="Normal 3 3 3 4" xfId="8080"/>
    <cellStyle name="Normal 3 3 4" xfId="5774"/>
    <cellStyle name="Normal 3 3 4 2" xfId="5775"/>
    <cellStyle name="Normal 3 3 4 3" xfId="10595"/>
    <cellStyle name="Normal 3 3 5" xfId="5776"/>
    <cellStyle name="Normal 3 3 5 2" xfId="5777"/>
    <cellStyle name="Normal 3 3 5 3" xfId="10596"/>
    <cellStyle name="Normal 3 3 6" xfId="5778"/>
    <cellStyle name="Normal 3 3 6 2" xfId="5779"/>
    <cellStyle name="Normal 3 3 6 3" xfId="10597"/>
    <cellStyle name="Normal 3 3 7" xfId="5780"/>
    <cellStyle name="Normal 3 3 7 2" xfId="5781"/>
    <cellStyle name="Normal 3 3 7 3" xfId="10598"/>
    <cellStyle name="Normal 3 3 8" xfId="5782"/>
    <cellStyle name="Normal 3 3 8 2" xfId="5783"/>
    <cellStyle name="Normal 3 3 8 3" xfId="10599"/>
    <cellStyle name="Normal 3 3 9" xfId="5784"/>
    <cellStyle name="Normal 3 3 9 2" xfId="5785"/>
    <cellStyle name="Normal 3 3 9 3" xfId="10600"/>
    <cellStyle name="Normal 3 3_inv-en-1.5.0-02 trame_fiche-emissions" xfId="5786"/>
    <cellStyle name="Normal 3 4" xfId="5787"/>
    <cellStyle name="Normal 3 4 10" xfId="5788"/>
    <cellStyle name="Normal 3 4 10 2" xfId="5789"/>
    <cellStyle name="Normal 3 4 10 3" xfId="10601"/>
    <cellStyle name="Normal 3 4 11" xfId="5790"/>
    <cellStyle name="Normal 3 4 11 2" xfId="5791"/>
    <cellStyle name="Normal 3 4 11 3" xfId="10602"/>
    <cellStyle name="Normal 3 4 12" xfId="5792"/>
    <cellStyle name="Normal 3 4 12 2" xfId="5793"/>
    <cellStyle name="Normal 3 4 12 3" xfId="10603"/>
    <cellStyle name="Normal 3 4 13" xfId="5794"/>
    <cellStyle name="Normal 3 4 13 2" xfId="5795"/>
    <cellStyle name="Normal 3 4 13 3" xfId="10604"/>
    <cellStyle name="Normal 3 4 14" xfId="5796"/>
    <cellStyle name="Normal 3 4 15" xfId="8081"/>
    <cellStyle name="Normal 3 4 2" xfId="5797"/>
    <cellStyle name="Normal 3 4 2 2" xfId="5798"/>
    <cellStyle name="Normal 3 4 2 2 2" xfId="5799"/>
    <cellStyle name="Normal 3 4 2 2 3" xfId="10605"/>
    <cellStyle name="Normal 3 4 2 3" xfId="5800"/>
    <cellStyle name="Normal 3 4 2 4" xfId="8082"/>
    <cellStyle name="Normal 3 4 3" xfId="5801"/>
    <cellStyle name="Normal 3 4 3 2" xfId="5802"/>
    <cellStyle name="Normal 3 4 3 3" xfId="10606"/>
    <cellStyle name="Normal 3 4 4" xfId="5803"/>
    <cellStyle name="Normal 3 4 4 2" xfId="5804"/>
    <cellStyle name="Normal 3 4 4 3" xfId="10607"/>
    <cellStyle name="Normal 3 4 5" xfId="5805"/>
    <cellStyle name="Normal 3 4 5 2" xfId="5806"/>
    <cellStyle name="Normal 3 4 5 3" xfId="10608"/>
    <cellStyle name="Normal 3 4 6" xfId="5807"/>
    <cellStyle name="Normal 3 4 6 2" xfId="5808"/>
    <cellStyle name="Normal 3 4 6 3" xfId="10609"/>
    <cellStyle name="Normal 3 4 7" xfId="5809"/>
    <cellStyle name="Normal 3 4 7 2" xfId="5810"/>
    <cellStyle name="Normal 3 4 7 3" xfId="10610"/>
    <cellStyle name="Normal 3 4 8" xfId="5811"/>
    <cellStyle name="Normal 3 4 8 2" xfId="5812"/>
    <cellStyle name="Normal 3 4 8 3" xfId="10611"/>
    <cellStyle name="Normal 3 4 9" xfId="5813"/>
    <cellStyle name="Normal 3 4 9 2" xfId="5814"/>
    <cellStyle name="Normal 3 4 9 3" xfId="10612"/>
    <cellStyle name="Normal 3 4_inv-en-1.5.0-02 trame_fiche-emissions" xfId="5815"/>
    <cellStyle name="Normal 3 5" xfId="5816"/>
    <cellStyle name="Normal 3 5 10" xfId="5817"/>
    <cellStyle name="Normal 3 5 10 2" xfId="5818"/>
    <cellStyle name="Normal 3 5 10 3" xfId="10613"/>
    <cellStyle name="Normal 3 5 11" xfId="5819"/>
    <cellStyle name="Normal 3 5 11 2" xfId="5820"/>
    <cellStyle name="Normal 3 5 11 3" xfId="10614"/>
    <cellStyle name="Normal 3 5 12" xfId="5821"/>
    <cellStyle name="Normal 3 5 12 2" xfId="5822"/>
    <cellStyle name="Normal 3 5 12 3" xfId="10615"/>
    <cellStyle name="Normal 3 5 13" xfId="5823"/>
    <cellStyle name="Normal 3 5 13 2" xfId="5824"/>
    <cellStyle name="Normal 3 5 13 3" xfId="10616"/>
    <cellStyle name="Normal 3 5 14" xfId="5825"/>
    <cellStyle name="Normal 3 5 15" xfId="8083"/>
    <cellStyle name="Normal 3 5 2" xfId="5826"/>
    <cellStyle name="Normal 3 5 2 2" xfId="5827"/>
    <cellStyle name="Normal 3 5 2 2 2" xfId="5828"/>
    <cellStyle name="Normal 3 5 2 2 3" xfId="10617"/>
    <cellStyle name="Normal 3 5 2 3" xfId="5829"/>
    <cellStyle name="Normal 3 5 2 4" xfId="8084"/>
    <cellStyle name="Normal 3 5 3" xfId="5830"/>
    <cellStyle name="Normal 3 5 3 2" xfId="5831"/>
    <cellStyle name="Normal 3 5 3 3" xfId="10618"/>
    <cellStyle name="Normal 3 5 4" xfId="5832"/>
    <cellStyle name="Normal 3 5 4 2" xfId="5833"/>
    <cellStyle name="Normal 3 5 4 3" xfId="10619"/>
    <cellStyle name="Normal 3 5 5" xfId="5834"/>
    <cellStyle name="Normal 3 5 5 2" xfId="5835"/>
    <cellStyle name="Normal 3 5 5 3" xfId="10620"/>
    <cellStyle name="Normal 3 5 6" xfId="5836"/>
    <cellStyle name="Normal 3 5 6 2" xfId="5837"/>
    <cellStyle name="Normal 3 5 6 3" xfId="10621"/>
    <cellStyle name="Normal 3 5 7" xfId="5838"/>
    <cellStyle name="Normal 3 5 7 2" xfId="5839"/>
    <cellStyle name="Normal 3 5 7 3" xfId="10622"/>
    <cellStyle name="Normal 3 5 8" xfId="5840"/>
    <cellStyle name="Normal 3 5 8 2" xfId="5841"/>
    <cellStyle name="Normal 3 5 8 3" xfId="10623"/>
    <cellStyle name="Normal 3 5 9" xfId="5842"/>
    <cellStyle name="Normal 3 5 9 2" xfId="5843"/>
    <cellStyle name="Normal 3 5 9 3" xfId="10624"/>
    <cellStyle name="Normal 3 5_inv-en-1.5.0-02 trame_fiche-emissions" xfId="5844"/>
    <cellStyle name="Normal 3 6" xfId="5845"/>
    <cellStyle name="Normal 3 6 10" xfId="5846"/>
    <cellStyle name="Normal 3 6 10 2" xfId="5847"/>
    <cellStyle name="Normal 3 6 10 3" xfId="10625"/>
    <cellStyle name="Normal 3 6 11" xfId="5848"/>
    <cellStyle name="Normal 3 6 11 2" xfId="5849"/>
    <cellStyle name="Normal 3 6 11 3" xfId="10626"/>
    <cellStyle name="Normal 3 6 12" xfId="5850"/>
    <cellStyle name="Normal 3 6 12 2" xfId="5851"/>
    <cellStyle name="Normal 3 6 12 3" xfId="10627"/>
    <cellStyle name="Normal 3 6 13" xfId="5852"/>
    <cellStyle name="Normal 3 6 13 2" xfId="5853"/>
    <cellStyle name="Normal 3 6 13 3" xfId="10628"/>
    <cellStyle name="Normal 3 6 14" xfId="5854"/>
    <cellStyle name="Normal 3 6 15" xfId="8085"/>
    <cellStyle name="Normal 3 6 2" xfId="5855"/>
    <cellStyle name="Normal 3 6 2 2" xfId="5856"/>
    <cellStyle name="Normal 3 6 2 2 2" xfId="5857"/>
    <cellStyle name="Normal 3 6 2 2 3" xfId="10629"/>
    <cellStyle name="Normal 3 6 2 3" xfId="5858"/>
    <cellStyle name="Normal 3 6 2 4" xfId="8086"/>
    <cellStyle name="Normal 3 6 3" xfId="5859"/>
    <cellStyle name="Normal 3 6 3 2" xfId="5860"/>
    <cellStyle name="Normal 3 6 3 3" xfId="10630"/>
    <cellStyle name="Normal 3 6 4" xfId="5861"/>
    <cellStyle name="Normal 3 6 4 2" xfId="5862"/>
    <cellStyle name="Normal 3 6 4 3" xfId="10631"/>
    <cellStyle name="Normal 3 6 5" xfId="5863"/>
    <cellStyle name="Normal 3 6 5 2" xfId="5864"/>
    <cellStyle name="Normal 3 6 5 3" xfId="10632"/>
    <cellStyle name="Normal 3 6 6" xfId="5865"/>
    <cellStyle name="Normal 3 6 6 2" xfId="5866"/>
    <cellStyle name="Normal 3 6 6 3" xfId="10633"/>
    <cellStyle name="Normal 3 6 7" xfId="5867"/>
    <cellStyle name="Normal 3 6 7 2" xfId="5868"/>
    <cellStyle name="Normal 3 6 7 3" xfId="10634"/>
    <cellStyle name="Normal 3 6 8" xfId="5869"/>
    <cellStyle name="Normal 3 6 8 2" xfId="5870"/>
    <cellStyle name="Normal 3 6 8 3" xfId="10635"/>
    <cellStyle name="Normal 3 6 9" xfId="5871"/>
    <cellStyle name="Normal 3 6 9 2" xfId="5872"/>
    <cellStyle name="Normal 3 6 9 3" xfId="10636"/>
    <cellStyle name="Normal 3 6_inv-en-1.5.0-02 trame_fiche-emissions" xfId="5873"/>
    <cellStyle name="Normal 3 7" xfId="5874"/>
    <cellStyle name="Normal 3 7 2" xfId="5875"/>
    <cellStyle name="Normal 3 7 2 2" xfId="5876"/>
    <cellStyle name="Normal 3 7 2 2 2" xfId="5877"/>
    <cellStyle name="Normal 3 7 2 2 3" xfId="10637"/>
    <cellStyle name="Normal 3 7 2 3" xfId="5878"/>
    <cellStyle name="Normal 3 7 2 4" xfId="8088"/>
    <cellStyle name="Normal 3 7 3" xfId="5879"/>
    <cellStyle name="Normal 3 7 3 2" xfId="5880"/>
    <cellStyle name="Normal 3 7 3 3" xfId="10638"/>
    <cellStyle name="Normal 3 7 4" xfId="5881"/>
    <cellStyle name="Normal 3 7 5" xfId="8087"/>
    <cellStyle name="Normal 3 8" xfId="5882"/>
    <cellStyle name="Normal 3 8 2" xfId="5883"/>
    <cellStyle name="Normal 3 8 2 2" xfId="5884"/>
    <cellStyle name="Normal 3 8 2 3" xfId="10639"/>
    <cellStyle name="Normal 3 8 3" xfId="5885"/>
    <cellStyle name="Normal 3 8 4" xfId="8089"/>
    <cellStyle name="Normal 3 9" xfId="5886"/>
    <cellStyle name="Normal 3 9 2" xfId="5887"/>
    <cellStyle name="Normal 3 9 2 2" xfId="5888"/>
    <cellStyle name="Normal 3 9 2 3" xfId="10641"/>
    <cellStyle name="Normal 3 9 3" xfId="5889"/>
    <cellStyle name="Normal 3 9 3 2" xfId="5890"/>
    <cellStyle name="Normal 3 9 3 3" xfId="10642"/>
    <cellStyle name="Normal 3 9 4" xfId="5891"/>
    <cellStyle name="Normal 3 9 4 2" xfId="5892"/>
    <cellStyle name="Normal 3 9 4 3" xfId="5893"/>
    <cellStyle name="Normal 3 9 4 4" xfId="10643"/>
    <cellStyle name="Normal 3 9 5" xfId="5894"/>
    <cellStyle name="Normal 3 9 6" xfId="10640"/>
    <cellStyle name="Normal 3_population DT" xfId="5975"/>
    <cellStyle name="Normal 30" xfId="5895"/>
    <cellStyle name="Normal 30 2" xfId="5896"/>
    <cellStyle name="Normal 30 2 2" xfId="5897"/>
    <cellStyle name="Normal 30 2 3" xfId="10644"/>
    <cellStyle name="Normal 30 3" xfId="5898"/>
    <cellStyle name="Normal 30 3 2" xfId="5899"/>
    <cellStyle name="Normal 30 3 2 2" xfId="5900"/>
    <cellStyle name="Normal 30 3 2 3" xfId="10646"/>
    <cellStyle name="Normal 30 3 3" xfId="5901"/>
    <cellStyle name="Normal 30 3 4" xfId="5902"/>
    <cellStyle name="Normal 30 3 5" xfId="10645"/>
    <cellStyle name="Normal 30 4" xfId="5903"/>
    <cellStyle name="Normal 30 4 2" xfId="5904"/>
    <cellStyle name="Normal 30 4 3" xfId="10647"/>
    <cellStyle name="Normal 30 5" xfId="5905"/>
    <cellStyle name="Normal 30 6" xfId="8090"/>
    <cellStyle name="Normal 31" xfId="5906"/>
    <cellStyle name="Normal 31 2" xfId="5907"/>
    <cellStyle name="Normal 31 2 2" xfId="5908"/>
    <cellStyle name="Normal 31 2 3" xfId="10648"/>
    <cellStyle name="Normal 31 3" xfId="5909"/>
    <cellStyle name="Normal 31 3 2" xfId="5910"/>
    <cellStyle name="Normal 31 3 2 2" xfId="5911"/>
    <cellStyle name="Normal 31 3 2 3" xfId="10650"/>
    <cellStyle name="Normal 31 3 3" xfId="5912"/>
    <cellStyle name="Normal 31 3 4" xfId="5913"/>
    <cellStyle name="Normal 31 3 5" xfId="10649"/>
    <cellStyle name="Normal 31 4" xfId="5914"/>
    <cellStyle name="Normal 31 4 2" xfId="5915"/>
    <cellStyle name="Normal 31 4 3" xfId="10651"/>
    <cellStyle name="Normal 31 5" xfId="5916"/>
    <cellStyle name="Normal 31 5 2" xfId="5917"/>
    <cellStyle name="Normal 31 5 3" xfId="10652"/>
    <cellStyle name="Normal 31 6" xfId="5918"/>
    <cellStyle name="Normal 31 6 2" xfId="5919"/>
    <cellStyle name="Normal 31 6 3" xfId="10653"/>
    <cellStyle name="Normal 31 7" xfId="5920"/>
    <cellStyle name="Normal 31 8" xfId="8091"/>
    <cellStyle name="Normal 32" xfId="5921"/>
    <cellStyle name="Normal 32 2" xfId="5922"/>
    <cellStyle name="Normal 32 2 2" xfId="5923"/>
    <cellStyle name="Normal 32 2 3" xfId="10654"/>
    <cellStyle name="Normal 32 3" xfId="5924"/>
    <cellStyle name="Normal 32 3 2" xfId="5925"/>
    <cellStyle name="Normal 32 3 3" xfId="10655"/>
    <cellStyle name="Normal 32 4" xfId="5926"/>
    <cellStyle name="Normal 32 4 2" xfId="5927"/>
    <cellStyle name="Normal 32 4 3" xfId="10656"/>
    <cellStyle name="Normal 32 5" xfId="5928"/>
    <cellStyle name="Normal 32 5 2" xfId="5929"/>
    <cellStyle name="Normal 32 5 3" xfId="10657"/>
    <cellStyle name="Normal 32 6" xfId="5930"/>
    <cellStyle name="Normal 32 6 2" xfId="5931"/>
    <cellStyle name="Normal 32 6 3" xfId="10658"/>
    <cellStyle name="Normal 32 7" xfId="5932"/>
    <cellStyle name="Normal 32 8" xfId="8092"/>
    <cellStyle name="Normal 33" xfId="5933"/>
    <cellStyle name="Normal 33 2" xfId="5934"/>
    <cellStyle name="Normal 33 2 2" xfId="5935"/>
    <cellStyle name="Normal 33 2 3" xfId="10659"/>
    <cellStyle name="Normal 33 3" xfId="5936"/>
    <cellStyle name="Normal 33 3 2" xfId="5937"/>
    <cellStyle name="Normal 33 3 3" xfId="10660"/>
    <cellStyle name="Normal 33 4" xfId="5938"/>
    <cellStyle name="Normal 33 4 2" xfId="5939"/>
    <cellStyle name="Normal 33 4 3" xfId="10661"/>
    <cellStyle name="Normal 33 5" xfId="5940"/>
    <cellStyle name="Normal 33 5 2" xfId="5941"/>
    <cellStyle name="Normal 33 5 3" xfId="10662"/>
    <cellStyle name="Normal 33 6" xfId="5942"/>
    <cellStyle name="Normal 33 6 2" xfId="5943"/>
    <cellStyle name="Normal 33 6 3" xfId="10663"/>
    <cellStyle name="Normal 33 7" xfId="5944"/>
    <cellStyle name="Normal 33 8" xfId="8093"/>
    <cellStyle name="Normal 34" xfId="5945"/>
    <cellStyle name="Normal 34 2" xfId="5946"/>
    <cellStyle name="Normal 34 2 2" xfId="5947"/>
    <cellStyle name="Normal 34 2 3" xfId="10664"/>
    <cellStyle name="Normal 34 3" xfId="5948"/>
    <cellStyle name="Normal 34 4" xfId="8094"/>
    <cellStyle name="Normal 35" xfId="5949"/>
    <cellStyle name="Normal 35 2" xfId="5950"/>
    <cellStyle name="Normal 35 2 2" xfId="5951"/>
    <cellStyle name="Normal 35 2 3" xfId="10665"/>
    <cellStyle name="Normal 35 3" xfId="5952"/>
    <cellStyle name="Normal 35 4" xfId="8095"/>
    <cellStyle name="Normal 36" xfId="5953"/>
    <cellStyle name="Normal 36 2" xfId="5954"/>
    <cellStyle name="Normal 36 2 2" xfId="5955"/>
    <cellStyle name="Normal 36 2 3" xfId="10666"/>
    <cellStyle name="Normal 36 3" xfId="5956"/>
    <cellStyle name="Normal 36 3 2" xfId="5957"/>
    <cellStyle name="Normal 36 3 3" xfId="10667"/>
    <cellStyle name="Normal 36 4" xfId="5958"/>
    <cellStyle name="Normal 36 4 2" xfId="5959"/>
    <cellStyle name="Normal 36 4 3" xfId="10668"/>
    <cellStyle name="Normal 36 5" xfId="5960"/>
    <cellStyle name="Normal 36 5 2" xfId="5961"/>
    <cellStyle name="Normal 36 5 3" xfId="10669"/>
    <cellStyle name="Normal 36 6" xfId="5962"/>
    <cellStyle name="Normal 36 7" xfId="8096"/>
    <cellStyle name="Normal 37" xfId="5963"/>
    <cellStyle name="Normal 37 2" xfId="5964"/>
    <cellStyle name="Normal 37 2 2" xfId="5965"/>
    <cellStyle name="Normal 37 2 3" xfId="10670"/>
    <cellStyle name="Normal 37 3" xfId="5966"/>
    <cellStyle name="Normal 37 4" xfId="8097"/>
    <cellStyle name="Normal 38" xfId="5967"/>
    <cellStyle name="Normal 38 2" xfId="5968"/>
    <cellStyle name="Normal 38 2 2" xfId="5969"/>
    <cellStyle name="Normal 38 2 3" xfId="10671"/>
    <cellStyle name="Normal 38 3" xfId="5970"/>
    <cellStyle name="Normal 38 4" xfId="8098"/>
    <cellStyle name="Normal 39" xfId="5971"/>
    <cellStyle name="Normal 39 2" xfId="5972"/>
    <cellStyle name="Normal 39 2 2" xfId="5973"/>
    <cellStyle name="Normal 39 2 3" xfId="10672"/>
    <cellStyle name="Normal 39 3" xfId="5974"/>
    <cellStyle name="Normal 39 4" xfId="8099"/>
    <cellStyle name="Normal 4" xfId="5976"/>
    <cellStyle name="Normal 4 10" xfId="5977"/>
    <cellStyle name="Normal 4 10 2" xfId="5978"/>
    <cellStyle name="Normal 4 10 3" xfId="10673"/>
    <cellStyle name="Normal 4 11" xfId="5979"/>
    <cellStyle name="Normal 4 11 2" xfId="5980"/>
    <cellStyle name="Normal 4 11 3" xfId="10674"/>
    <cellStyle name="Normal 4 12" xfId="5981"/>
    <cellStyle name="Normal 4 12 2" xfId="5982"/>
    <cellStyle name="Normal 4 12 3" xfId="10675"/>
    <cellStyle name="Normal 4 13" xfId="5983"/>
    <cellStyle name="Normal 4 13 2" xfId="5984"/>
    <cellStyle name="Normal 4 13 3" xfId="5985"/>
    <cellStyle name="Normal 4 13 4" xfId="10676"/>
    <cellStyle name="Normal 4 14" xfId="5986"/>
    <cellStyle name="Normal 4 14 2" xfId="5987"/>
    <cellStyle name="Normal 4 14 3" xfId="10677"/>
    <cellStyle name="Normal 4 15" xfId="5988"/>
    <cellStyle name="Normal 4 15 2" xfId="5989"/>
    <cellStyle name="Normal 4 15 3" xfId="10678"/>
    <cellStyle name="Normal 4 16" xfId="5990"/>
    <cellStyle name="Normal 4 17" xfId="7802"/>
    <cellStyle name="Normal 4 2" xfId="5991"/>
    <cellStyle name="Normal 4 2 2" xfId="5992"/>
    <cellStyle name="Normal 4 2 2 2" xfId="5993"/>
    <cellStyle name="Normal 4 2 2 3" xfId="10679"/>
    <cellStyle name="Normal 4 2 3" xfId="5994"/>
    <cellStyle name="Normal 4 2 3 2" xfId="5995"/>
    <cellStyle name="Normal 4 2 3 3" xfId="5996"/>
    <cellStyle name="Normal 4 2 3 4" xfId="10680"/>
    <cellStyle name="Normal 4 2 4" xfId="5997"/>
    <cellStyle name="Normal 4 2 5" xfId="8100"/>
    <cellStyle name="Normal 4 3" xfId="5998"/>
    <cellStyle name="Normal 4 3 2" xfId="5999"/>
    <cellStyle name="Normal 4 3 3" xfId="10681"/>
    <cellStyle name="Normal 4 4" xfId="6000"/>
    <cellStyle name="Normal 4 4 2" xfId="6001"/>
    <cellStyle name="Normal 4 4 3" xfId="10682"/>
    <cellStyle name="Normal 4 5" xfId="6002"/>
    <cellStyle name="Normal 4 5 2" xfId="6003"/>
    <cellStyle name="Normal 4 5 3" xfId="10683"/>
    <cellStyle name="Normal 4 6" xfId="6004"/>
    <cellStyle name="Normal 4 6 2" xfId="6005"/>
    <cellStyle name="Normal 4 6 3" xfId="10684"/>
    <cellStyle name="Normal 4 7" xfId="6006"/>
    <cellStyle name="Normal 4 7 2" xfId="6007"/>
    <cellStyle name="Normal 4 7 3" xfId="10685"/>
    <cellStyle name="Normal 4 8" xfId="6008"/>
    <cellStyle name="Normal 4 8 2" xfId="6009"/>
    <cellStyle name="Normal 4 8 3" xfId="10686"/>
    <cellStyle name="Normal 4 9" xfId="6010"/>
    <cellStyle name="Normal 4 9 2" xfId="6011"/>
    <cellStyle name="Normal 4 9 3" xfId="10687"/>
    <cellStyle name="Normal 4_inv-en-1.5.0-02 trame_fiche-emissions" xfId="6090"/>
    <cellStyle name="Normal 40" xfId="6012"/>
    <cellStyle name="Normal 40 2" xfId="6013"/>
    <cellStyle name="Normal 40 2 2" xfId="6014"/>
    <cellStyle name="Normal 40 2 3" xfId="6015"/>
    <cellStyle name="Normal 40 2 4" xfId="10688"/>
    <cellStyle name="Normal 40 3" xfId="6016"/>
    <cellStyle name="Normal 40 3 2" xfId="6017"/>
    <cellStyle name="Normal 40 3 3" xfId="10689"/>
    <cellStyle name="Normal 40 4" xfId="6018"/>
    <cellStyle name="Normal 40 5" xfId="8101"/>
    <cellStyle name="Normal 41" xfId="6019"/>
    <cellStyle name="Normal 41 2" xfId="6020"/>
    <cellStyle name="Normal 41 2 2" xfId="6021"/>
    <cellStyle name="Normal 41 2 3" xfId="10690"/>
    <cellStyle name="Normal 41 3" xfId="6022"/>
    <cellStyle name="Normal 41 4" xfId="8102"/>
    <cellStyle name="Normal 419" xfId="6023"/>
    <cellStyle name="Normal 419 2" xfId="6024"/>
    <cellStyle name="Normal 419 3" xfId="11533"/>
    <cellStyle name="Normal 42" xfId="6025"/>
    <cellStyle name="Normal 42 2" xfId="6026"/>
    <cellStyle name="Normal 42 2 2" xfId="6027"/>
    <cellStyle name="Normal 42 2 3" xfId="10691"/>
    <cellStyle name="Normal 42 3" xfId="6028"/>
    <cellStyle name="Normal 42 4" xfId="8103"/>
    <cellStyle name="Normal 420" xfId="6029"/>
    <cellStyle name="Normal 420 2" xfId="6030"/>
    <cellStyle name="Normal 420 3" xfId="11534"/>
    <cellStyle name="Normal 43" xfId="6031"/>
    <cellStyle name="Normal 43 2" xfId="6032"/>
    <cellStyle name="Normal 43 3" xfId="8104"/>
    <cellStyle name="Normal 44" xfId="6033"/>
    <cellStyle name="Normal 44 2" xfId="6034"/>
    <cellStyle name="Normal 44 3" xfId="8105"/>
    <cellStyle name="Normal 45" xfId="6035"/>
    <cellStyle name="Normal 45 2" xfId="6036"/>
    <cellStyle name="Normal 45 2 2" xfId="6037"/>
    <cellStyle name="Normal 45 2 3" xfId="10692"/>
    <cellStyle name="Normal 45 3" xfId="6038"/>
    <cellStyle name="Normal 45 3 2" xfId="6039"/>
    <cellStyle name="Normal 45 3 3" xfId="10693"/>
    <cellStyle name="Normal 45 4" xfId="6040"/>
    <cellStyle name="Normal 45 4 2" xfId="6041"/>
    <cellStyle name="Normal 45 4 3" xfId="10694"/>
    <cellStyle name="Normal 45 5" xfId="6042"/>
    <cellStyle name="Normal 45 5 2" xfId="6043"/>
    <cellStyle name="Normal 45 5 3" xfId="10695"/>
    <cellStyle name="Normal 45 6" xfId="6044"/>
    <cellStyle name="Normal 45 6 2" xfId="6045"/>
    <cellStyle name="Normal 45 6 3" xfId="10696"/>
    <cellStyle name="Normal 45 7" xfId="6046"/>
    <cellStyle name="Normal 45 7 2" xfId="6047"/>
    <cellStyle name="Normal 45 7 3" xfId="6048"/>
    <cellStyle name="Normal 45 7 4" xfId="10697"/>
    <cellStyle name="Normal 45 8" xfId="6049"/>
    <cellStyle name="Normal 45 9" xfId="8106"/>
    <cellStyle name="Normal 46" xfId="6050"/>
    <cellStyle name="Normal 46 2" xfId="6051"/>
    <cellStyle name="Normal 46 2 2" xfId="6052"/>
    <cellStyle name="Normal 46 2 3" xfId="10698"/>
    <cellStyle name="Normal 46 3" xfId="6053"/>
    <cellStyle name="Normal 46 3 2" xfId="6054"/>
    <cellStyle name="Normal 46 3 3" xfId="6055"/>
    <cellStyle name="Normal 46 3 4" xfId="10699"/>
    <cellStyle name="Normal 46 4" xfId="6056"/>
    <cellStyle name="Normal 46 4 2" xfId="6057"/>
    <cellStyle name="Normal 46 4 3" xfId="6058"/>
    <cellStyle name="Normal 46 4 4" xfId="10700"/>
    <cellStyle name="Normal 46 5" xfId="6059"/>
    <cellStyle name="Normal 46 6" xfId="8107"/>
    <cellStyle name="Normal 47" xfId="6060"/>
    <cellStyle name="Normal 47 2" xfId="6061"/>
    <cellStyle name="Normal 47 2 2" xfId="6062"/>
    <cellStyle name="Normal 47 2 3" xfId="10701"/>
    <cellStyle name="Normal 47 3" xfId="6063"/>
    <cellStyle name="Normal 47 3 2" xfId="6064"/>
    <cellStyle name="Normal 47 3 3" xfId="6065"/>
    <cellStyle name="Normal 47 3 4" xfId="10702"/>
    <cellStyle name="Normal 47 4" xfId="6066"/>
    <cellStyle name="Normal 47 4 2" xfId="6067"/>
    <cellStyle name="Normal 47 4 3" xfId="6068"/>
    <cellStyle name="Normal 47 4 4" xfId="10703"/>
    <cellStyle name="Normal 47 5" xfId="6069"/>
    <cellStyle name="Normal 47 6" xfId="8192"/>
    <cellStyle name="Normal 48" xfId="6070"/>
    <cellStyle name="Normal 48 2" xfId="6071"/>
    <cellStyle name="Normal 48 2 2" xfId="6072"/>
    <cellStyle name="Normal 48 2 3" xfId="10704"/>
    <cellStyle name="Normal 48 3" xfId="6073"/>
    <cellStyle name="Normal 48 3 2" xfId="6074"/>
    <cellStyle name="Normal 48 3 3" xfId="6075"/>
    <cellStyle name="Normal 48 3 4" xfId="10705"/>
    <cellStyle name="Normal 48 4" xfId="6076"/>
    <cellStyle name="Normal 48 4 2" xfId="6077"/>
    <cellStyle name="Normal 48 4 3" xfId="6078"/>
    <cellStyle name="Normal 48 4 4" xfId="10706"/>
    <cellStyle name="Normal 48 5" xfId="6079"/>
    <cellStyle name="Normal 48 6" xfId="8194"/>
    <cellStyle name="Normal 49" xfId="6080"/>
    <cellStyle name="Normal 49 2" xfId="6081"/>
    <cellStyle name="Normal 49 2 2" xfId="6082"/>
    <cellStyle name="Normal 49 2 3" xfId="10707"/>
    <cellStyle name="Normal 49 3" xfId="6083"/>
    <cellStyle name="Normal 49 3 2" xfId="6084"/>
    <cellStyle name="Normal 49 3 3" xfId="6085"/>
    <cellStyle name="Normal 49 3 4" xfId="10708"/>
    <cellStyle name="Normal 49 4" xfId="6086"/>
    <cellStyle name="Normal 49 4 2" xfId="6087"/>
    <cellStyle name="Normal 49 4 3" xfId="6088"/>
    <cellStyle name="Normal 49 4 4" xfId="10709"/>
    <cellStyle name="Normal 49 5" xfId="6089"/>
    <cellStyle name="Normal 49 6" xfId="8195"/>
    <cellStyle name="Normal 5" xfId="6091"/>
    <cellStyle name="Normal 5 10" xfId="6092"/>
    <cellStyle name="Normal 5 10 2" xfId="6093"/>
    <cellStyle name="Normal 5 10 3" xfId="10710"/>
    <cellStyle name="Normal 5 11" xfId="6094"/>
    <cellStyle name="Normal 5 11 2" xfId="6095"/>
    <cellStyle name="Normal 5 11 3" xfId="10711"/>
    <cellStyle name="Normal 5 12" xfId="6096"/>
    <cellStyle name="Normal 5 12 2" xfId="6097"/>
    <cellStyle name="Normal 5 12 3" xfId="10712"/>
    <cellStyle name="Normal 5 13" xfId="6098"/>
    <cellStyle name="Normal 5 13 2" xfId="6099"/>
    <cellStyle name="Normal 5 13 3" xfId="10713"/>
    <cellStyle name="Normal 5 14" xfId="6100"/>
    <cellStyle name="Normal 5 14 2" xfId="6101"/>
    <cellStyle name="Normal 5 14 3" xfId="10714"/>
    <cellStyle name="Normal 5 15" xfId="6102"/>
    <cellStyle name="Normal 5 15 2" xfId="6103"/>
    <cellStyle name="Normal 5 15 3" xfId="10715"/>
    <cellStyle name="Normal 5 16" xfId="6104"/>
    <cellStyle name="Normal 5 16 2" xfId="6105"/>
    <cellStyle name="Normal 5 16 3" xfId="10716"/>
    <cellStyle name="Normal 5 17" xfId="6106"/>
    <cellStyle name="Normal 5 17 2" xfId="6107"/>
    <cellStyle name="Normal 5 17 3" xfId="10717"/>
    <cellStyle name="Normal 5 18" xfId="6108"/>
    <cellStyle name="Normal 5 18 2" xfId="6109"/>
    <cellStyle name="Normal 5 18 3" xfId="10718"/>
    <cellStyle name="Normal 5 19" xfId="6110"/>
    <cellStyle name="Normal 5 19 2" xfId="6111"/>
    <cellStyle name="Normal 5 19 2 2" xfId="6112"/>
    <cellStyle name="Normal 5 19 2 3" xfId="10720"/>
    <cellStyle name="Normal 5 19 3" xfId="6113"/>
    <cellStyle name="Normal 5 19 4" xfId="10719"/>
    <cellStyle name="Normal 5 2" xfId="6114"/>
    <cellStyle name="Normal 5 2 10" xfId="6115"/>
    <cellStyle name="Normal 5 2 10 2" xfId="6116"/>
    <cellStyle name="Normal 5 2 10 3" xfId="10721"/>
    <cellStyle name="Normal 5 2 11" xfId="6117"/>
    <cellStyle name="Normal 5 2 11 2" xfId="6118"/>
    <cellStyle name="Normal 5 2 11 3" xfId="10722"/>
    <cellStyle name="Normal 5 2 12" xfId="6119"/>
    <cellStyle name="Normal 5 2 12 2" xfId="6120"/>
    <cellStyle name="Normal 5 2 12 3" xfId="10723"/>
    <cellStyle name="Normal 5 2 13" xfId="6121"/>
    <cellStyle name="Normal 5 2 13 2" xfId="6122"/>
    <cellStyle name="Normal 5 2 13 3" xfId="10724"/>
    <cellStyle name="Normal 5 2 14" xfId="6123"/>
    <cellStyle name="Normal 5 2 14 2" xfId="6124"/>
    <cellStyle name="Normal 5 2 14 3" xfId="10725"/>
    <cellStyle name="Normal 5 2 15" xfId="6125"/>
    <cellStyle name="Normal 5 2 15 2" xfId="6126"/>
    <cellStyle name="Normal 5 2 15 3" xfId="8108"/>
    <cellStyle name="Normal 5 2 16" xfId="6127"/>
    <cellStyle name="Normal 5 2 17" xfId="6128"/>
    <cellStyle name="Normal 5 2 18" xfId="7812"/>
    <cellStyle name="Normal 5 2 2" xfId="6129"/>
    <cellStyle name="Normal 5 2 2 2" xfId="6130"/>
    <cellStyle name="Normal 5 2 2 2 2" xfId="6131"/>
    <cellStyle name="Normal 5 2 2 2 2 2" xfId="6132"/>
    <cellStyle name="Normal 5 2 2 2 2 3" xfId="10726"/>
    <cellStyle name="Normal 5 2 2 2 3" xfId="6133"/>
    <cellStyle name="Normal 5 2 2 2 4" xfId="8110"/>
    <cellStyle name="Normal 5 2 2 3" xfId="6134"/>
    <cellStyle name="Normal 5 2 2 3 2" xfId="6135"/>
    <cellStyle name="Normal 5 2 2 3 3" xfId="10727"/>
    <cellStyle name="Normal 5 2 2 4" xfId="6136"/>
    <cellStyle name="Normal 5 2 2 5" xfId="8109"/>
    <cellStyle name="Normal 5 2 3" xfId="6137"/>
    <cellStyle name="Normal 5 2 3 2" xfId="6138"/>
    <cellStyle name="Normal 5 2 3 2 2" xfId="6139"/>
    <cellStyle name="Normal 5 2 3 2 3" xfId="10728"/>
    <cellStyle name="Normal 5 2 3 3" xfId="6140"/>
    <cellStyle name="Normal 5 2 3 4" xfId="8111"/>
    <cellStyle name="Normal 5 2 4" xfId="6141"/>
    <cellStyle name="Normal 5 2 4 2" xfId="6142"/>
    <cellStyle name="Normal 5 2 4 3" xfId="10729"/>
    <cellStyle name="Normal 5 2 5" xfId="6143"/>
    <cellStyle name="Normal 5 2 5 2" xfId="6144"/>
    <cellStyle name="Normal 5 2 5 3" xfId="10730"/>
    <cellStyle name="Normal 5 2 6" xfId="6145"/>
    <cellStyle name="Normal 5 2 6 2" xfId="6146"/>
    <cellStyle name="Normal 5 2 6 3" xfId="10731"/>
    <cellStyle name="Normal 5 2 7" xfId="6147"/>
    <cellStyle name="Normal 5 2 7 2" xfId="6148"/>
    <cellStyle name="Normal 5 2 7 3" xfId="10732"/>
    <cellStyle name="Normal 5 2 8" xfId="6149"/>
    <cellStyle name="Normal 5 2 8 2" xfId="6150"/>
    <cellStyle name="Normal 5 2 8 3" xfId="10733"/>
    <cellStyle name="Normal 5 2 9" xfId="6151"/>
    <cellStyle name="Normal 5 2 9 2" xfId="6152"/>
    <cellStyle name="Normal 5 2 9 3" xfId="10734"/>
    <cellStyle name="Normal 5 2_inv-en-1.5.0-02 trame_fiche-emissions" xfId="6158"/>
    <cellStyle name="Normal 5 20" xfId="6153"/>
    <cellStyle name="Normal 5 20 2" xfId="6154"/>
    <cellStyle name="Normal 5 20 3" xfId="10735"/>
    <cellStyle name="Normal 5 21" xfId="6155"/>
    <cellStyle name="Normal 5 21 2" xfId="6156"/>
    <cellStyle name="Normal 5 21 3" xfId="10736"/>
    <cellStyle name="Normal 5 22" xfId="6157"/>
    <cellStyle name="Normal 5 23" xfId="7803"/>
    <cellStyle name="Normal 5 3" xfId="6159"/>
    <cellStyle name="Normal 5 3 10" xfId="6160"/>
    <cellStyle name="Normal 5 3 10 2" xfId="6161"/>
    <cellStyle name="Normal 5 3 10 3" xfId="10737"/>
    <cellStyle name="Normal 5 3 11" xfId="6162"/>
    <cellStyle name="Normal 5 3 11 2" xfId="6163"/>
    <cellStyle name="Normal 5 3 11 3" xfId="10738"/>
    <cellStyle name="Normal 5 3 12" xfId="6164"/>
    <cellStyle name="Normal 5 3 12 2" xfId="6165"/>
    <cellStyle name="Normal 5 3 12 3" xfId="10739"/>
    <cellStyle name="Normal 5 3 13" xfId="6166"/>
    <cellStyle name="Normal 5 3 13 2" xfId="6167"/>
    <cellStyle name="Normal 5 3 13 3" xfId="10740"/>
    <cellStyle name="Normal 5 3 14" xfId="6168"/>
    <cellStyle name="Normal 5 3 14 2" xfId="6169"/>
    <cellStyle name="Normal 5 3 14 3" xfId="10741"/>
    <cellStyle name="Normal 5 3 15" xfId="6170"/>
    <cellStyle name="Normal 5 3 16" xfId="7814"/>
    <cellStyle name="Normal 5 3 2" xfId="6171"/>
    <cellStyle name="Normal 5 3 2 2" xfId="6172"/>
    <cellStyle name="Normal 5 3 2 2 2" xfId="6173"/>
    <cellStyle name="Normal 5 3 2 2 2 2" xfId="6174"/>
    <cellStyle name="Normal 5 3 2 2 2 3" xfId="10742"/>
    <cellStyle name="Normal 5 3 2 2 3" xfId="6175"/>
    <cellStyle name="Normal 5 3 2 2 4" xfId="8113"/>
    <cellStyle name="Normal 5 3 2 3" xfId="6176"/>
    <cellStyle name="Normal 5 3 2 3 2" xfId="6177"/>
    <cellStyle name="Normal 5 3 2 3 3" xfId="10743"/>
    <cellStyle name="Normal 5 3 2 4" xfId="6178"/>
    <cellStyle name="Normal 5 3 2 5" xfId="8112"/>
    <cellStyle name="Normal 5 3 3" xfId="6179"/>
    <cellStyle name="Normal 5 3 3 2" xfId="6180"/>
    <cellStyle name="Normal 5 3 3 2 2" xfId="6181"/>
    <cellStyle name="Normal 5 3 3 2 3" xfId="10744"/>
    <cellStyle name="Normal 5 3 3 3" xfId="6182"/>
    <cellStyle name="Normal 5 3 3 4" xfId="8114"/>
    <cellStyle name="Normal 5 3 4" xfId="6183"/>
    <cellStyle name="Normal 5 3 4 2" xfId="6184"/>
    <cellStyle name="Normal 5 3 4 3" xfId="10745"/>
    <cellStyle name="Normal 5 3 5" xfId="6185"/>
    <cellStyle name="Normal 5 3 5 2" xfId="6186"/>
    <cellStyle name="Normal 5 3 5 3" xfId="10746"/>
    <cellStyle name="Normal 5 3 6" xfId="6187"/>
    <cellStyle name="Normal 5 3 6 2" xfId="6188"/>
    <cellStyle name="Normal 5 3 6 3" xfId="10747"/>
    <cellStyle name="Normal 5 3 7" xfId="6189"/>
    <cellStyle name="Normal 5 3 7 2" xfId="6190"/>
    <cellStyle name="Normal 5 3 7 3" xfId="10748"/>
    <cellStyle name="Normal 5 3 8" xfId="6191"/>
    <cellStyle name="Normal 5 3 8 2" xfId="6192"/>
    <cellStyle name="Normal 5 3 8 3" xfId="10749"/>
    <cellStyle name="Normal 5 3 9" xfId="6193"/>
    <cellStyle name="Normal 5 3 9 2" xfId="6194"/>
    <cellStyle name="Normal 5 3 9 3" xfId="10750"/>
    <cellStyle name="Normal 5 3_inv-en-1.5.0-02 trame_fiche-emissions" xfId="6195"/>
    <cellStyle name="Normal 5 4" xfId="6196"/>
    <cellStyle name="Normal 5 4 10" xfId="6197"/>
    <cellStyle name="Normal 5 4 10 2" xfId="6198"/>
    <cellStyle name="Normal 5 4 10 3" xfId="10751"/>
    <cellStyle name="Normal 5 4 11" xfId="6199"/>
    <cellStyle name="Normal 5 4 11 2" xfId="6200"/>
    <cellStyle name="Normal 5 4 11 3" xfId="10752"/>
    <cellStyle name="Normal 5 4 12" xfId="6201"/>
    <cellStyle name="Normal 5 4 12 2" xfId="6202"/>
    <cellStyle name="Normal 5 4 12 3" xfId="10753"/>
    <cellStyle name="Normal 5 4 13" xfId="6203"/>
    <cellStyle name="Normal 5 4 13 2" xfId="6204"/>
    <cellStyle name="Normal 5 4 13 3" xfId="10754"/>
    <cellStyle name="Normal 5 4 14" xfId="6205"/>
    <cellStyle name="Normal 5 4 15" xfId="8115"/>
    <cellStyle name="Normal 5 4 2" xfId="6206"/>
    <cellStyle name="Normal 5 4 2 2" xfId="6207"/>
    <cellStyle name="Normal 5 4 2 2 2" xfId="6208"/>
    <cellStyle name="Normal 5 4 2 2 3" xfId="10755"/>
    <cellStyle name="Normal 5 4 2 3" xfId="6209"/>
    <cellStyle name="Normal 5 4 2 4" xfId="8116"/>
    <cellStyle name="Normal 5 4 3" xfId="6210"/>
    <cellStyle name="Normal 5 4 3 2" xfId="6211"/>
    <cellStyle name="Normal 5 4 3 3" xfId="10756"/>
    <cellStyle name="Normal 5 4 4" xfId="6212"/>
    <cellStyle name="Normal 5 4 4 2" xfId="6213"/>
    <cellStyle name="Normal 5 4 4 3" xfId="10757"/>
    <cellStyle name="Normal 5 4 5" xfId="6214"/>
    <cellStyle name="Normal 5 4 5 2" xfId="6215"/>
    <cellStyle name="Normal 5 4 5 3" xfId="10758"/>
    <cellStyle name="Normal 5 4 6" xfId="6216"/>
    <cellStyle name="Normal 5 4 6 2" xfId="6217"/>
    <cellStyle name="Normal 5 4 6 3" xfId="10759"/>
    <cellStyle name="Normal 5 4 7" xfId="6218"/>
    <cellStyle name="Normal 5 4 7 2" xfId="6219"/>
    <cellStyle name="Normal 5 4 7 3" xfId="10760"/>
    <cellStyle name="Normal 5 4 8" xfId="6220"/>
    <cellStyle name="Normal 5 4 8 2" xfId="6221"/>
    <cellStyle name="Normal 5 4 8 3" xfId="10761"/>
    <cellStyle name="Normal 5 4 9" xfId="6222"/>
    <cellStyle name="Normal 5 4 9 2" xfId="6223"/>
    <cellStyle name="Normal 5 4 9 3" xfId="10762"/>
    <cellStyle name="Normal 5 4_inv-en-1.5.0-02 trame_fiche-emissions" xfId="6224"/>
    <cellStyle name="Normal 5 5" xfId="6225"/>
    <cellStyle name="Normal 5 5 10" xfId="6226"/>
    <cellStyle name="Normal 5 5 10 2" xfId="6227"/>
    <cellStyle name="Normal 5 5 10 3" xfId="10763"/>
    <cellStyle name="Normal 5 5 11" xfId="6228"/>
    <cellStyle name="Normal 5 5 11 2" xfId="6229"/>
    <cellStyle name="Normal 5 5 11 3" xfId="10764"/>
    <cellStyle name="Normal 5 5 12" xfId="6230"/>
    <cellStyle name="Normal 5 5 12 2" xfId="6231"/>
    <cellStyle name="Normal 5 5 12 3" xfId="10765"/>
    <cellStyle name="Normal 5 5 13" xfId="6232"/>
    <cellStyle name="Normal 5 5 13 2" xfId="6233"/>
    <cellStyle name="Normal 5 5 13 3" xfId="10766"/>
    <cellStyle name="Normal 5 5 14" xfId="6234"/>
    <cellStyle name="Normal 5 5 15" xfId="8117"/>
    <cellStyle name="Normal 5 5 2" xfId="6235"/>
    <cellStyle name="Normal 5 5 2 2" xfId="6236"/>
    <cellStyle name="Normal 5 5 2 2 2" xfId="6237"/>
    <cellStyle name="Normal 5 5 2 2 3" xfId="10767"/>
    <cellStyle name="Normal 5 5 2 3" xfId="6238"/>
    <cellStyle name="Normal 5 5 2 4" xfId="8118"/>
    <cellStyle name="Normal 5 5 3" xfId="6239"/>
    <cellStyle name="Normal 5 5 3 2" xfId="6240"/>
    <cellStyle name="Normal 5 5 3 3" xfId="10768"/>
    <cellStyle name="Normal 5 5 4" xfId="6241"/>
    <cellStyle name="Normal 5 5 4 2" xfId="6242"/>
    <cellStyle name="Normal 5 5 4 3" xfId="10769"/>
    <cellStyle name="Normal 5 5 5" xfId="6243"/>
    <cellStyle name="Normal 5 5 5 2" xfId="6244"/>
    <cellStyle name="Normal 5 5 5 3" xfId="10770"/>
    <cellStyle name="Normal 5 5 6" xfId="6245"/>
    <cellStyle name="Normal 5 5 6 2" xfId="6246"/>
    <cellStyle name="Normal 5 5 6 3" xfId="10771"/>
    <cellStyle name="Normal 5 5 7" xfId="6247"/>
    <cellStyle name="Normal 5 5 7 2" xfId="6248"/>
    <cellStyle name="Normal 5 5 7 3" xfId="10772"/>
    <cellStyle name="Normal 5 5 8" xfId="6249"/>
    <cellStyle name="Normal 5 5 8 2" xfId="6250"/>
    <cellStyle name="Normal 5 5 8 3" xfId="10773"/>
    <cellStyle name="Normal 5 5 9" xfId="6251"/>
    <cellStyle name="Normal 5 5 9 2" xfId="6252"/>
    <cellStyle name="Normal 5 5 9 3" xfId="10774"/>
    <cellStyle name="Normal 5 5_inv-en-1.5.0-02 trame_fiche-emissions" xfId="6253"/>
    <cellStyle name="Normal 5 6" xfId="6254"/>
    <cellStyle name="Normal 5 6 10" xfId="6255"/>
    <cellStyle name="Normal 5 6 10 2" xfId="6256"/>
    <cellStyle name="Normal 5 6 10 3" xfId="10775"/>
    <cellStyle name="Normal 5 6 11" xfId="6257"/>
    <cellStyle name="Normal 5 6 11 2" xfId="6258"/>
    <cellStyle name="Normal 5 6 11 3" xfId="10776"/>
    <cellStyle name="Normal 5 6 12" xfId="6259"/>
    <cellStyle name="Normal 5 6 12 2" xfId="6260"/>
    <cellStyle name="Normal 5 6 12 3" xfId="10777"/>
    <cellStyle name="Normal 5 6 13" xfId="6261"/>
    <cellStyle name="Normal 5 6 13 2" xfId="6262"/>
    <cellStyle name="Normal 5 6 13 3" xfId="10778"/>
    <cellStyle name="Normal 5 6 14" xfId="6263"/>
    <cellStyle name="Normal 5 6 15" xfId="8119"/>
    <cellStyle name="Normal 5 6 2" xfId="6264"/>
    <cellStyle name="Normal 5 6 2 2" xfId="6265"/>
    <cellStyle name="Normal 5 6 2 2 2" xfId="6266"/>
    <cellStyle name="Normal 5 6 2 2 3" xfId="10779"/>
    <cellStyle name="Normal 5 6 2 3" xfId="6267"/>
    <cellStyle name="Normal 5 6 2 4" xfId="8120"/>
    <cellStyle name="Normal 5 6 3" xfId="6268"/>
    <cellStyle name="Normal 5 6 3 2" xfId="6269"/>
    <cellStyle name="Normal 5 6 3 3" xfId="10780"/>
    <cellStyle name="Normal 5 6 4" xfId="6270"/>
    <cellStyle name="Normal 5 6 4 2" xfId="6271"/>
    <cellStyle name="Normal 5 6 4 3" xfId="10781"/>
    <cellStyle name="Normal 5 6 5" xfId="6272"/>
    <cellStyle name="Normal 5 6 5 2" xfId="6273"/>
    <cellStyle name="Normal 5 6 5 3" xfId="10782"/>
    <cellStyle name="Normal 5 6 6" xfId="6274"/>
    <cellStyle name="Normal 5 6 6 2" xfId="6275"/>
    <cellStyle name="Normal 5 6 6 3" xfId="10783"/>
    <cellStyle name="Normal 5 6 7" xfId="6276"/>
    <cellStyle name="Normal 5 6 7 2" xfId="6277"/>
    <cellStyle name="Normal 5 6 7 3" xfId="10784"/>
    <cellStyle name="Normal 5 6 8" xfId="6278"/>
    <cellStyle name="Normal 5 6 8 2" xfId="6279"/>
    <cellStyle name="Normal 5 6 8 3" xfId="10785"/>
    <cellStyle name="Normal 5 6 9" xfId="6280"/>
    <cellStyle name="Normal 5 6 9 2" xfId="6281"/>
    <cellStyle name="Normal 5 6 9 3" xfId="10786"/>
    <cellStyle name="Normal 5 6_inv-en-1.5.0-02 trame_fiche-emissions" xfId="6282"/>
    <cellStyle name="Normal 5 7" xfId="6283"/>
    <cellStyle name="Normal 5 7 2" xfId="6284"/>
    <cellStyle name="Normal 5 7 2 2" xfId="6285"/>
    <cellStyle name="Normal 5 7 2 2 2" xfId="6286"/>
    <cellStyle name="Normal 5 7 2 2 3" xfId="10787"/>
    <cellStyle name="Normal 5 7 2 3" xfId="6287"/>
    <cellStyle name="Normal 5 7 2 4" xfId="8122"/>
    <cellStyle name="Normal 5 7 3" xfId="6288"/>
    <cellStyle name="Normal 5 7 3 2" xfId="6289"/>
    <cellStyle name="Normal 5 7 3 3" xfId="10788"/>
    <cellStyle name="Normal 5 7 4" xfId="6290"/>
    <cellStyle name="Normal 5 7 5" xfId="8121"/>
    <cellStyle name="Normal 5 8" xfId="6291"/>
    <cellStyle name="Normal 5 8 2" xfId="6292"/>
    <cellStyle name="Normal 5 8 2 2" xfId="6293"/>
    <cellStyle name="Normal 5 8 2 3" xfId="10789"/>
    <cellStyle name="Normal 5 8 3" xfId="6294"/>
    <cellStyle name="Normal 5 8 4" xfId="8123"/>
    <cellStyle name="Normal 5 9" xfId="6295"/>
    <cellStyle name="Normal 5 9 2" xfId="6296"/>
    <cellStyle name="Normal 5 9 3" xfId="10790"/>
    <cellStyle name="Normal 5_inv-en-1.5.0-02 trame_fiche-emissions" xfId="6353"/>
    <cellStyle name="Normal 50" xfId="6297"/>
    <cellStyle name="Normal 50 2" xfId="6298"/>
    <cellStyle name="Normal 50 2 2" xfId="6299"/>
    <cellStyle name="Normal 50 2 3" xfId="10791"/>
    <cellStyle name="Normal 50 3" xfId="6300"/>
    <cellStyle name="Normal 50 3 2" xfId="6301"/>
    <cellStyle name="Normal 50 3 3" xfId="6302"/>
    <cellStyle name="Normal 50 3 4" xfId="10792"/>
    <cellStyle name="Normal 50 4" xfId="6303"/>
    <cellStyle name="Normal 50 4 2" xfId="6304"/>
    <cellStyle name="Normal 50 4 3" xfId="6305"/>
    <cellStyle name="Normal 50 4 4" xfId="10793"/>
    <cellStyle name="Normal 50 5" xfId="6306"/>
    <cellStyle name="Normal 50 6" xfId="8196"/>
    <cellStyle name="Normal 51" xfId="6307"/>
    <cellStyle name="Normal 51 2" xfId="6308"/>
    <cellStyle name="Normal 51 2 2" xfId="6309"/>
    <cellStyle name="Normal 51 2 2 2" xfId="6310"/>
    <cellStyle name="Normal 51 2 2 3" xfId="10795"/>
    <cellStyle name="Normal 51 2 3" xfId="6311"/>
    <cellStyle name="Normal 51 2 4" xfId="10794"/>
    <cellStyle name="Normal 51 3" xfId="6312"/>
    <cellStyle name="Normal 51 3 2" xfId="6313"/>
    <cellStyle name="Normal 51 3 3" xfId="6314"/>
    <cellStyle name="Normal 51 3 4" xfId="10796"/>
    <cellStyle name="Normal 51 4" xfId="6315"/>
    <cellStyle name="Normal 51 4 2" xfId="6316"/>
    <cellStyle name="Normal 51 4 3" xfId="6317"/>
    <cellStyle name="Normal 51 4 4" xfId="10797"/>
    <cellStyle name="Normal 51 5" xfId="6318"/>
    <cellStyle name="Normal 51 6" xfId="8193"/>
    <cellStyle name="Normal 52" xfId="6319"/>
    <cellStyle name="Normal 52 2" xfId="6320"/>
    <cellStyle name="Normal 52 2 2" xfId="6321"/>
    <cellStyle name="Normal 52 2 3" xfId="10798"/>
    <cellStyle name="Normal 52 3" xfId="6322"/>
    <cellStyle name="Normal 52 3 2" xfId="6323"/>
    <cellStyle name="Normal 52 3 3" xfId="6324"/>
    <cellStyle name="Normal 52 3 4" xfId="10799"/>
    <cellStyle name="Normal 52 4" xfId="6325"/>
    <cellStyle name="Normal 52 5" xfId="8197"/>
    <cellStyle name="Normal 53" xfId="6326"/>
    <cellStyle name="Normal 53 2" xfId="6327"/>
    <cellStyle name="Normal 53 2 2" xfId="6328"/>
    <cellStyle name="Normal 53 2 2 2" xfId="6329"/>
    <cellStyle name="Normal 53 2 2 3" xfId="10801"/>
    <cellStyle name="Normal 53 2 3" xfId="6330"/>
    <cellStyle name="Normal 53 2 4" xfId="10800"/>
    <cellStyle name="Normal 53 3" xfId="6331"/>
    <cellStyle name="Normal 53 3 2" xfId="6332"/>
    <cellStyle name="Normal 53 3 3" xfId="6333"/>
    <cellStyle name="Normal 53 3 4" xfId="10802"/>
    <cellStyle name="Normal 53 4" xfId="6334"/>
    <cellStyle name="Normal 53 5" xfId="8198"/>
    <cellStyle name="Normal 54" xfId="6335"/>
    <cellStyle name="Normal 54 2" xfId="6336"/>
    <cellStyle name="Normal 54 3" xfId="8199"/>
    <cellStyle name="Normal 55" xfId="6337"/>
    <cellStyle name="Normal 55 2" xfId="6338"/>
    <cellStyle name="Normal 55 2 2" xfId="6339"/>
    <cellStyle name="Normal 55 2 3" xfId="10803"/>
    <cellStyle name="Normal 55 3" xfId="6340"/>
    <cellStyle name="Normal 55 4" xfId="8200"/>
    <cellStyle name="Normal 56" xfId="6341"/>
    <cellStyle name="Normal 56 2" xfId="6342"/>
    <cellStyle name="Normal 56 3" xfId="8201"/>
    <cellStyle name="Normal 57" xfId="6343"/>
    <cellStyle name="Normal 57 2" xfId="6344"/>
    <cellStyle name="Normal 57 2 2" xfId="6345"/>
    <cellStyle name="Normal 57 2 3" xfId="10804"/>
    <cellStyle name="Normal 57 3" xfId="6346"/>
    <cellStyle name="Normal 57 4" xfId="8202"/>
    <cellStyle name="Normal 58" xfId="6347"/>
    <cellStyle name="Normal 58 2" xfId="6348"/>
    <cellStyle name="Normal 58 3" xfId="8203"/>
    <cellStyle name="Normal 59" xfId="6349"/>
    <cellStyle name="Normal 59 2" xfId="6350"/>
    <cellStyle name="Normal 59 2 2" xfId="6351"/>
    <cellStyle name="Normal 59 2 3" xfId="10805"/>
    <cellStyle name="Normal 59 3" xfId="6352"/>
    <cellStyle name="Normal 59 4" xfId="8204"/>
    <cellStyle name="Normal 6" xfId="6354"/>
    <cellStyle name="Normal 6 10" xfId="6355"/>
    <cellStyle name="Normal 6 10 2" xfId="6356"/>
    <cellStyle name="Normal 6 10 3" xfId="10806"/>
    <cellStyle name="Normal 6 11" xfId="6357"/>
    <cellStyle name="Normal 6 11 2" xfId="6358"/>
    <cellStyle name="Normal 6 11 3" xfId="10807"/>
    <cellStyle name="Normal 6 12" xfId="6359"/>
    <cellStyle name="Normal 6 12 2" xfId="6360"/>
    <cellStyle name="Normal 6 12 3" xfId="10808"/>
    <cellStyle name="Normal 6 13" xfId="6361"/>
    <cellStyle name="Normal 6 13 2" xfId="6362"/>
    <cellStyle name="Normal 6 13 3" xfId="10809"/>
    <cellStyle name="Normal 6 14" xfId="6363"/>
    <cellStyle name="Normal 6 14 2" xfId="6364"/>
    <cellStyle name="Normal 6 14 3" xfId="10810"/>
    <cellStyle name="Normal 6 15" xfId="6365"/>
    <cellStyle name="Normal 6 16" xfId="7804"/>
    <cellStyle name="Normal 6 2" xfId="6366"/>
    <cellStyle name="Normal 6 2 2" xfId="6367"/>
    <cellStyle name="Normal 6 2 2 2" xfId="6368"/>
    <cellStyle name="Normal 6 2 2 2 2" xfId="6369"/>
    <cellStyle name="Normal 6 2 2 2 3" xfId="10811"/>
    <cellStyle name="Normal 6 2 2 3" xfId="6370"/>
    <cellStyle name="Normal 6 2 2 4" xfId="8125"/>
    <cellStyle name="Normal 6 2 3" xfId="6371"/>
    <cellStyle name="Normal 6 2 3 2" xfId="6372"/>
    <cellStyle name="Normal 6 2 3 3" xfId="10812"/>
    <cellStyle name="Normal 6 2 4" xfId="6373"/>
    <cellStyle name="Normal 6 2 5" xfId="8124"/>
    <cellStyle name="Normal 6 3" xfId="6374"/>
    <cellStyle name="Normal 6 3 2" xfId="6375"/>
    <cellStyle name="Normal 6 3 2 2" xfId="6376"/>
    <cellStyle name="Normal 6 3 2 3" xfId="10813"/>
    <cellStyle name="Normal 6 3 3" xfId="6377"/>
    <cellStyle name="Normal 6 3 4" xfId="8126"/>
    <cellStyle name="Normal 6 4" xfId="6378"/>
    <cellStyle name="Normal 6 4 2" xfId="6379"/>
    <cellStyle name="Normal 6 4 3" xfId="10814"/>
    <cellStyle name="Normal 6 5" xfId="6380"/>
    <cellStyle name="Normal 6 5 2" xfId="6381"/>
    <cellStyle name="Normal 6 5 3" xfId="10815"/>
    <cellStyle name="Normal 6 6" xfId="6382"/>
    <cellStyle name="Normal 6 6 2" xfId="6383"/>
    <cellStyle name="Normal 6 6 3" xfId="10816"/>
    <cellStyle name="Normal 6 7" xfId="6384"/>
    <cellStyle name="Normal 6 7 2" xfId="6385"/>
    <cellStyle name="Normal 6 7 3" xfId="10817"/>
    <cellStyle name="Normal 6 8" xfId="6386"/>
    <cellStyle name="Normal 6 8 2" xfId="6387"/>
    <cellStyle name="Normal 6 8 3" xfId="10818"/>
    <cellStyle name="Normal 6 9" xfId="6388"/>
    <cellStyle name="Normal 6 9 2" xfId="6389"/>
    <cellStyle name="Normal 6 9 3" xfId="10819"/>
    <cellStyle name="Normal 6_inv-en-1.5.0-02 trame_fiche-emissions" xfId="6420"/>
    <cellStyle name="Normal 60" xfId="6390"/>
    <cellStyle name="Normal 60 2" xfId="6391"/>
    <cellStyle name="Normal 60 2 2" xfId="6392"/>
    <cellStyle name="Normal 60 2 3" xfId="10821"/>
    <cellStyle name="Normal 60 3" xfId="6393"/>
    <cellStyle name="Normal 60 4" xfId="10820"/>
    <cellStyle name="Normal 61" xfId="6394"/>
    <cellStyle name="Normal 61 2" xfId="6395"/>
    <cellStyle name="Normal 61 2 2" xfId="6396"/>
    <cellStyle name="Normal 61 2 2 2" xfId="6397"/>
    <cellStyle name="Normal 61 2 2 3" xfId="10824"/>
    <cellStyle name="Normal 61 2 3" xfId="6398"/>
    <cellStyle name="Normal 61 2 4" xfId="10823"/>
    <cellStyle name="Normal 61 3" xfId="6399"/>
    <cellStyle name="Normal 61 4" xfId="10822"/>
    <cellStyle name="Normal 62" xfId="6400"/>
    <cellStyle name="Normal 62 2" xfId="6401"/>
    <cellStyle name="Normal 62 3" xfId="10825"/>
    <cellStyle name="Normal 63" xfId="6402"/>
    <cellStyle name="Normal 63 2" xfId="6403"/>
    <cellStyle name="Normal 63 3" xfId="10826"/>
    <cellStyle name="Normal 64" xfId="6404"/>
    <cellStyle name="Normal 64 2" xfId="6405"/>
    <cellStyle name="Normal 64 2 2" xfId="6406"/>
    <cellStyle name="Normal 64 2 3" xfId="10828"/>
    <cellStyle name="Normal 64 3" xfId="6407"/>
    <cellStyle name="Normal 64 4" xfId="10827"/>
    <cellStyle name="Normal 65" xfId="6408"/>
    <cellStyle name="Normal 65 2" xfId="6409"/>
    <cellStyle name="Normal 65 3" xfId="10829"/>
    <cellStyle name="Normal 66" xfId="6410"/>
    <cellStyle name="Normal 66 2" xfId="6411"/>
    <cellStyle name="Normal 66 3" xfId="10830"/>
    <cellStyle name="Normal 67" xfId="6412"/>
    <cellStyle name="Normal 67 2" xfId="6413"/>
    <cellStyle name="Normal 67 3" xfId="10831"/>
    <cellStyle name="Normal 68" xfId="6414"/>
    <cellStyle name="Normal 68 2" xfId="6415"/>
    <cellStyle name="Normal 68 2 2" xfId="6416"/>
    <cellStyle name="Normal 68 2 3" xfId="10833"/>
    <cellStyle name="Normal 68 3" xfId="6417"/>
    <cellStyle name="Normal 68 4" xfId="10832"/>
    <cellStyle name="Normal 69" xfId="6418"/>
    <cellStyle name="Normal 69 2" xfId="6419"/>
    <cellStyle name="Normal 69 3" xfId="10834"/>
    <cellStyle name="Normal 7" xfId="6421"/>
    <cellStyle name="Normal 7 10" xfId="6422"/>
    <cellStyle name="Normal 7 10 2" xfId="6423"/>
    <cellStyle name="Normal 7 10 3" xfId="10835"/>
    <cellStyle name="Normal 7 11" xfId="6424"/>
    <cellStyle name="Normal 7 11 2" xfId="6425"/>
    <cellStyle name="Normal 7 11 3" xfId="10836"/>
    <cellStyle name="Normal 7 12" xfId="6426"/>
    <cellStyle name="Normal 7 12 2" xfId="6427"/>
    <cellStyle name="Normal 7 12 3" xfId="10837"/>
    <cellStyle name="Normal 7 13" xfId="6428"/>
    <cellStyle name="Normal 7 13 2" xfId="6429"/>
    <cellStyle name="Normal 7 13 3" xfId="10838"/>
    <cellStyle name="Normal 7 14" xfId="6430"/>
    <cellStyle name="Normal 7 14 2" xfId="6431"/>
    <cellStyle name="Normal 7 14 3" xfId="10839"/>
    <cellStyle name="Normal 7 15" xfId="6432"/>
    <cellStyle name="Normal 7 16" xfId="7805"/>
    <cellStyle name="Normal 7 2" xfId="6433"/>
    <cellStyle name="Normal 7 2 2" xfId="6434"/>
    <cellStyle name="Normal 7 2 2 2" xfId="6435"/>
    <cellStyle name="Normal 7 2 2 2 2" xfId="6436"/>
    <cellStyle name="Normal 7 2 2 2 3" xfId="10840"/>
    <cellStyle name="Normal 7 2 2 3" xfId="6437"/>
    <cellStyle name="Normal 7 2 2 4" xfId="8128"/>
    <cellStyle name="Normal 7 2 3" xfId="6438"/>
    <cellStyle name="Normal 7 2 3 2" xfId="6439"/>
    <cellStyle name="Normal 7 2 3 3" xfId="10841"/>
    <cellStyle name="Normal 7 2 4" xfId="6440"/>
    <cellStyle name="Normal 7 2 5" xfId="8127"/>
    <cellStyle name="Normal 7 3" xfId="6441"/>
    <cellStyle name="Normal 7 3 2" xfId="6442"/>
    <cellStyle name="Normal 7 3 2 2" xfId="6443"/>
    <cellStyle name="Normal 7 3 2 3" xfId="10842"/>
    <cellStyle name="Normal 7 3 3" xfId="6444"/>
    <cellStyle name="Normal 7 3 4" xfId="8129"/>
    <cellStyle name="Normal 7 4" xfId="6445"/>
    <cellStyle name="Normal 7 4 2" xfId="6446"/>
    <cellStyle name="Normal 7 4 3" xfId="10843"/>
    <cellStyle name="Normal 7 5" xfId="6447"/>
    <cellStyle name="Normal 7 5 2" xfId="6448"/>
    <cellStyle name="Normal 7 5 3" xfId="10844"/>
    <cellStyle name="Normal 7 6" xfId="6449"/>
    <cellStyle name="Normal 7 6 2" xfId="6450"/>
    <cellStyle name="Normal 7 6 3" xfId="10845"/>
    <cellStyle name="Normal 7 7" xfId="6451"/>
    <cellStyle name="Normal 7 7 2" xfId="6452"/>
    <cellStyle name="Normal 7 7 3" xfId="10846"/>
    <cellStyle name="Normal 7 8" xfId="6453"/>
    <cellStyle name="Normal 7 8 2" xfId="6454"/>
    <cellStyle name="Normal 7 8 3" xfId="10847"/>
    <cellStyle name="Normal 7 9" xfId="6455"/>
    <cellStyle name="Normal 7 9 2" xfId="6456"/>
    <cellStyle name="Normal 7 9 3" xfId="10848"/>
    <cellStyle name="Normal 7_inv-en-1.5.0-02 trame_fiche-emissions" xfId="6496"/>
    <cellStyle name="Normal 70" xfId="6457"/>
    <cellStyle name="Normal 70 2" xfId="6458"/>
    <cellStyle name="Normal 70 2 2" xfId="6459"/>
    <cellStyle name="Normal 70 2 3" xfId="10850"/>
    <cellStyle name="Normal 70 3" xfId="6460"/>
    <cellStyle name="Normal 70 4" xfId="10849"/>
    <cellStyle name="Normal 71" xfId="6461"/>
    <cellStyle name="Normal 71 2" xfId="6462"/>
    <cellStyle name="Normal 71 2 2" xfId="6463"/>
    <cellStyle name="Normal 71 2 3" xfId="10852"/>
    <cellStyle name="Normal 71 3" xfId="6464"/>
    <cellStyle name="Normal 71 4" xfId="6465"/>
    <cellStyle name="Normal 71 5" xfId="10851"/>
    <cellStyle name="Normal 72" xfId="6466"/>
    <cellStyle name="Normal 72 2" xfId="6467"/>
    <cellStyle name="Normal 72 3" xfId="6468"/>
    <cellStyle name="Normal 72 4" xfId="10853"/>
    <cellStyle name="Normal 73" xfId="6469"/>
    <cellStyle name="Normal 73 2" xfId="6470"/>
    <cellStyle name="Normal 73 3" xfId="6471"/>
    <cellStyle name="Normal 73 4" xfId="10854"/>
    <cellStyle name="Normal 74" xfId="6472"/>
    <cellStyle name="Normal 74 2" xfId="6473"/>
    <cellStyle name="Normal 74 2 2" xfId="6474"/>
    <cellStyle name="Normal 74 2 3" xfId="10856"/>
    <cellStyle name="Normal 74 3" xfId="6475"/>
    <cellStyle name="Normal 74 4" xfId="10855"/>
    <cellStyle name="Normal 75" xfId="6476"/>
    <cellStyle name="Normal 75 2" xfId="6477"/>
    <cellStyle name="Normal 75 2 2" xfId="6478"/>
    <cellStyle name="Normal 75 2 3" xfId="10858"/>
    <cellStyle name="Normal 75 3" xfId="6479"/>
    <cellStyle name="Normal 75 4" xfId="10857"/>
    <cellStyle name="Normal 76" xfId="6480"/>
    <cellStyle name="Normal 76 2" xfId="6481"/>
    <cellStyle name="Normal 76 2 2" xfId="6482"/>
    <cellStyle name="Normal 76 2 3" xfId="10860"/>
    <cellStyle name="Normal 76 3" xfId="6483"/>
    <cellStyle name="Normal 76 4" xfId="10859"/>
    <cellStyle name="Normal 77" xfId="6484"/>
    <cellStyle name="Normal 77 2" xfId="6485"/>
    <cellStyle name="Normal 77 2 2" xfId="6486"/>
    <cellStyle name="Normal 77 2 3" xfId="10862"/>
    <cellStyle name="Normal 77 3" xfId="6487"/>
    <cellStyle name="Normal 77 4" xfId="10861"/>
    <cellStyle name="Normal 78" xfId="6488"/>
    <cellStyle name="Normal 78 2" xfId="6489"/>
    <cellStyle name="Normal 78 2 2" xfId="6490"/>
    <cellStyle name="Normal 78 2 3" xfId="10864"/>
    <cellStyle name="Normal 78 3" xfId="6491"/>
    <cellStyle name="Normal 78 4" xfId="10863"/>
    <cellStyle name="Normal 79" xfId="6492"/>
    <cellStyle name="Normal 79 2" xfId="6493"/>
    <cellStyle name="Normal 79 2 2" xfId="6494"/>
    <cellStyle name="Normal 79 2 3" xfId="10866"/>
    <cellStyle name="Normal 79 3" xfId="6495"/>
    <cellStyle name="Normal 79 4" xfId="10865"/>
    <cellStyle name="Normal 8" xfId="6497"/>
    <cellStyle name="Normal 8 10" xfId="6498"/>
    <cellStyle name="Normal 8 10 2" xfId="6499"/>
    <cellStyle name="Normal 8 10 3" xfId="10867"/>
    <cellStyle name="Normal 8 11" xfId="6500"/>
    <cellStyle name="Normal 8 11 2" xfId="6501"/>
    <cellStyle name="Normal 8 11 3" xfId="10868"/>
    <cellStyle name="Normal 8 12" xfId="6502"/>
    <cellStyle name="Normal 8 12 2" xfId="6503"/>
    <cellStyle name="Normal 8 12 3" xfId="10869"/>
    <cellStyle name="Normal 8 13" xfId="6504"/>
    <cellStyle name="Normal 8 13 2" xfId="6505"/>
    <cellStyle name="Normal 8 13 3" xfId="10870"/>
    <cellStyle name="Normal 8 14" xfId="6506"/>
    <cellStyle name="Normal 8 14 2" xfId="6507"/>
    <cellStyle name="Normal 8 14 3" xfId="10871"/>
    <cellStyle name="Normal 8 15" xfId="6508"/>
    <cellStyle name="Normal 8 16" xfId="7806"/>
    <cellStyle name="Normal 8 2" xfId="6509"/>
    <cellStyle name="Normal 8 2 2" xfId="6510"/>
    <cellStyle name="Normal 8 2 2 2" xfId="6511"/>
    <cellStyle name="Normal 8 2 2 2 2" xfId="6512"/>
    <cellStyle name="Normal 8 2 2 2 3" xfId="10872"/>
    <cellStyle name="Normal 8 2 2 3" xfId="6513"/>
    <cellStyle name="Normal 8 2 2 4" xfId="8131"/>
    <cellStyle name="Normal 8 2 3" xfId="6514"/>
    <cellStyle name="Normal 8 2 3 2" xfId="6515"/>
    <cellStyle name="Normal 8 2 3 3" xfId="10873"/>
    <cellStyle name="Normal 8 2 4" xfId="6516"/>
    <cellStyle name="Normal 8 2 5" xfId="8130"/>
    <cellStyle name="Normal 8 3" xfId="6517"/>
    <cellStyle name="Normal 8 3 2" xfId="6518"/>
    <cellStyle name="Normal 8 3 2 2" xfId="6519"/>
    <cellStyle name="Normal 8 3 2 3" xfId="10874"/>
    <cellStyle name="Normal 8 3 3" xfId="6520"/>
    <cellStyle name="Normal 8 3 4" xfId="8132"/>
    <cellStyle name="Normal 8 4" xfId="6521"/>
    <cellStyle name="Normal 8 4 2" xfId="6522"/>
    <cellStyle name="Normal 8 4 3" xfId="10875"/>
    <cellStyle name="Normal 8 5" xfId="6523"/>
    <cellStyle name="Normal 8 5 2" xfId="6524"/>
    <cellStyle name="Normal 8 5 3" xfId="10876"/>
    <cellStyle name="Normal 8 6" xfId="6525"/>
    <cellStyle name="Normal 8 6 2" xfId="6526"/>
    <cellStyle name="Normal 8 6 3" xfId="10877"/>
    <cellStyle name="Normal 8 7" xfId="6527"/>
    <cellStyle name="Normal 8 7 2" xfId="6528"/>
    <cellStyle name="Normal 8 7 3" xfId="10878"/>
    <cellStyle name="Normal 8 8" xfId="6529"/>
    <cellStyle name="Normal 8 8 2" xfId="6530"/>
    <cellStyle name="Normal 8 8 3" xfId="10879"/>
    <cellStyle name="Normal 8 9" xfId="6531"/>
    <cellStyle name="Normal 8 9 2" xfId="6532"/>
    <cellStyle name="Normal 8 9 3" xfId="10880"/>
    <cellStyle name="Normal 8_inv-en-1.5.0-02 trame_fiche-emissions" xfId="6573"/>
    <cellStyle name="Normal 80" xfId="6533"/>
    <cellStyle name="Normal 80 2" xfId="6534"/>
    <cellStyle name="Normal 80 2 2" xfId="6535"/>
    <cellStyle name="Normal 80 2 3" xfId="10882"/>
    <cellStyle name="Normal 80 3" xfId="6536"/>
    <cellStyle name="Normal 80 4" xfId="10881"/>
    <cellStyle name="Normal 81" xfId="6537"/>
    <cellStyle name="Normal 81 2" xfId="6538"/>
    <cellStyle name="Normal 81 2 2" xfId="6539"/>
    <cellStyle name="Normal 81 2 3" xfId="10884"/>
    <cellStyle name="Normal 81 3" xfId="6540"/>
    <cellStyle name="Normal 81 4" xfId="10883"/>
    <cellStyle name="Normal 82" xfId="6541"/>
    <cellStyle name="Normal 82 2" xfId="6542"/>
    <cellStyle name="Normal 82 2 2" xfId="6543"/>
    <cellStyle name="Normal 82 2 3" xfId="10886"/>
    <cellStyle name="Normal 82 3" xfId="6544"/>
    <cellStyle name="Normal 82 4" xfId="10885"/>
    <cellStyle name="Normal 83" xfId="6545"/>
    <cellStyle name="Normal 83 2" xfId="6546"/>
    <cellStyle name="Normal 83 2 2" xfId="6547"/>
    <cellStyle name="Normal 83 2 3" xfId="10888"/>
    <cellStyle name="Normal 83 3" xfId="6548"/>
    <cellStyle name="Normal 83 4" xfId="10887"/>
    <cellStyle name="Normal 84" xfId="6549"/>
    <cellStyle name="Normal 84 2" xfId="6550"/>
    <cellStyle name="Normal 84 2 2" xfId="6551"/>
    <cellStyle name="Normal 84 2 3" xfId="10890"/>
    <cellStyle name="Normal 84 3" xfId="6552"/>
    <cellStyle name="Normal 84 4" xfId="10889"/>
    <cellStyle name="Normal 85" xfId="6553"/>
    <cellStyle name="Normal 85 2" xfId="6554"/>
    <cellStyle name="Normal 85 2 2" xfId="6555"/>
    <cellStyle name="Normal 85 2 3" xfId="10892"/>
    <cellStyle name="Normal 85 3" xfId="6556"/>
    <cellStyle name="Normal 85 4" xfId="10891"/>
    <cellStyle name="Normal 86" xfId="6557"/>
    <cellStyle name="Normal 86 2" xfId="6558"/>
    <cellStyle name="Normal 86 2 2" xfId="6559"/>
    <cellStyle name="Normal 86 2 3" xfId="10894"/>
    <cellStyle name="Normal 86 3" xfId="6560"/>
    <cellStyle name="Normal 86 4" xfId="10893"/>
    <cellStyle name="Normal 87" xfId="6561"/>
    <cellStyle name="Normal 87 2" xfId="6562"/>
    <cellStyle name="Normal 87 2 2" xfId="6563"/>
    <cellStyle name="Normal 87 2 3" xfId="10896"/>
    <cellStyle name="Normal 87 3" xfId="6564"/>
    <cellStyle name="Normal 87 4" xfId="10895"/>
    <cellStyle name="Normal 88" xfId="6565"/>
    <cellStyle name="Normal 88 2" xfId="6566"/>
    <cellStyle name="Normal 88 2 2" xfId="6567"/>
    <cellStyle name="Normal 88 2 3" xfId="10898"/>
    <cellStyle name="Normal 88 3" xfId="6568"/>
    <cellStyle name="Normal 88 4" xfId="10897"/>
    <cellStyle name="Normal 89" xfId="6569"/>
    <cellStyle name="Normal 89 2" xfId="6570"/>
    <cellStyle name="Normal 89 2 2" xfId="6571"/>
    <cellStyle name="Normal 89 2 3" xfId="10900"/>
    <cellStyle name="Normal 89 3" xfId="6572"/>
    <cellStyle name="Normal 89 4" xfId="10899"/>
    <cellStyle name="Normal 9" xfId="6574"/>
    <cellStyle name="Normal 9 10" xfId="6575"/>
    <cellStyle name="Normal 9 10 2" xfId="6576"/>
    <cellStyle name="Normal 9 10 2 2" xfId="12100"/>
    <cellStyle name="Normal 9 10 3" xfId="10901"/>
    <cellStyle name="Normal 9 11" xfId="6577"/>
    <cellStyle name="Normal 9 11 2" xfId="6578"/>
    <cellStyle name="Normal 9 11 2 2" xfId="12101"/>
    <cellStyle name="Normal 9 11 3" xfId="10902"/>
    <cellStyle name="Normal 9 12" xfId="6579"/>
    <cellStyle name="Normal 9 12 2" xfId="6580"/>
    <cellStyle name="Normal 9 12 2 2" xfId="12102"/>
    <cellStyle name="Normal 9 12 3" xfId="10903"/>
    <cellStyle name="Normal 9 13" xfId="6581"/>
    <cellStyle name="Normal 9 13 2" xfId="6582"/>
    <cellStyle name="Normal 9 13 3" xfId="10904"/>
    <cellStyle name="Normal 9 14" xfId="6583"/>
    <cellStyle name="Normal 9 14 2" xfId="6584"/>
    <cellStyle name="Normal 9 14 2 2" xfId="11611"/>
    <cellStyle name="Normal 9 14 3" xfId="8133"/>
    <cellStyle name="Normal 9 15" xfId="6585"/>
    <cellStyle name="Normal 9 16" xfId="7807"/>
    <cellStyle name="Normal 9 2" xfId="6586"/>
    <cellStyle name="Normal 9 2 2" xfId="6587"/>
    <cellStyle name="Normal 9 2 2 2" xfId="6588"/>
    <cellStyle name="Normal 9 2 2 2 2" xfId="6589"/>
    <cellStyle name="Normal 9 2 2 2 3" xfId="10906"/>
    <cellStyle name="Normal 9 2 2 3" xfId="6590"/>
    <cellStyle name="Normal 9 2 2 3 2" xfId="6591"/>
    <cellStyle name="Normal 9 2 2 3 2 2" xfId="12103"/>
    <cellStyle name="Normal 9 2 2 3 3" xfId="10907"/>
    <cellStyle name="Normal 9 2 2 4" xfId="6592"/>
    <cellStyle name="Normal 9 2 2 5" xfId="10905"/>
    <cellStyle name="Normal 9 2 3" xfId="6593"/>
    <cellStyle name="Normal 9 2 3 2" xfId="6594"/>
    <cellStyle name="Normal 9 2 3 3" xfId="10908"/>
    <cellStyle name="Normal 9 2 4" xfId="6595"/>
    <cellStyle name="Normal 9 2 4 2" xfId="11612"/>
    <cellStyle name="Normal 9 2 5" xfId="8134"/>
    <cellStyle name="Normal 9 3" xfId="6596"/>
    <cellStyle name="Normal 9 3 2" xfId="6597"/>
    <cellStyle name="Normal 9 3 2 2" xfId="12104"/>
    <cellStyle name="Normal 9 3 3" xfId="10909"/>
    <cellStyle name="Normal 9 4" xfId="6598"/>
    <cellStyle name="Normal 9 4 2" xfId="6599"/>
    <cellStyle name="Normal 9 4 2 2" xfId="12105"/>
    <cellStyle name="Normal 9 4 3" xfId="10910"/>
    <cellStyle name="Normal 9 5" xfId="6600"/>
    <cellStyle name="Normal 9 5 2" xfId="6601"/>
    <cellStyle name="Normal 9 5 2 2" xfId="12106"/>
    <cellStyle name="Normal 9 5 3" xfId="10911"/>
    <cellStyle name="Normal 9 6" xfId="6602"/>
    <cellStyle name="Normal 9 6 2" xfId="6603"/>
    <cellStyle name="Normal 9 6 2 2" xfId="12107"/>
    <cellStyle name="Normal 9 6 3" xfId="10912"/>
    <cellStyle name="Normal 9 7" xfId="6604"/>
    <cellStyle name="Normal 9 7 2" xfId="6605"/>
    <cellStyle name="Normal 9 7 2 2" xfId="12108"/>
    <cellStyle name="Normal 9 7 3" xfId="10913"/>
    <cellStyle name="Normal 9 8" xfId="6606"/>
    <cellStyle name="Normal 9 8 2" xfId="6607"/>
    <cellStyle name="Normal 9 8 2 2" xfId="12109"/>
    <cellStyle name="Normal 9 8 3" xfId="10914"/>
    <cellStyle name="Normal 9 9" xfId="6608"/>
    <cellStyle name="Normal 9 9 2" xfId="6609"/>
    <cellStyle name="Normal 9 9 2 2" xfId="12110"/>
    <cellStyle name="Normal 9 9 3" xfId="10915"/>
    <cellStyle name="Normal 9_inv-en-1.5.0-02 trame_fiche-emissions" xfId="6653"/>
    <cellStyle name="Normal 90" xfId="6610"/>
    <cellStyle name="Normal 90 2" xfId="6611"/>
    <cellStyle name="Normal 90 2 2" xfId="6612"/>
    <cellStyle name="Normal 90 2 3" xfId="10917"/>
    <cellStyle name="Normal 90 3" xfId="6613"/>
    <cellStyle name="Normal 90 3 2" xfId="6614"/>
    <cellStyle name="Normal 90 3 3" xfId="10918"/>
    <cellStyle name="Normal 90 4" xfId="6615"/>
    <cellStyle name="Normal 90 5" xfId="10916"/>
    <cellStyle name="Normal 91" xfId="6616"/>
    <cellStyle name="Normal 91 2" xfId="6617"/>
    <cellStyle name="Normal 91 2 2" xfId="6618"/>
    <cellStyle name="Normal 91 2 3" xfId="6619"/>
    <cellStyle name="Normal 91 2 4" xfId="10920"/>
    <cellStyle name="Normal 91 3" xfId="6620"/>
    <cellStyle name="Normal 91 4" xfId="10919"/>
    <cellStyle name="Normal 92" xfId="6621"/>
    <cellStyle name="Normal 92 2" xfId="6622"/>
    <cellStyle name="Normal 92 2 2" xfId="6623"/>
    <cellStyle name="Normal 92 2 3" xfId="10922"/>
    <cellStyle name="Normal 92 3" xfId="6624"/>
    <cellStyle name="Normal 92 4" xfId="10921"/>
    <cellStyle name="Normal 93" xfId="6625"/>
    <cellStyle name="Normal 93 2" xfId="6626"/>
    <cellStyle name="Normal 93 2 2" xfId="6627"/>
    <cellStyle name="Normal 93 2 3" xfId="10924"/>
    <cellStyle name="Normal 93 3" xfId="6628"/>
    <cellStyle name="Normal 93 4" xfId="10923"/>
    <cellStyle name="Normal 94" xfId="6629"/>
    <cellStyle name="Normal 94 2" xfId="6630"/>
    <cellStyle name="Normal 94 2 2" xfId="6631"/>
    <cellStyle name="Normal 94 2 3" xfId="10926"/>
    <cellStyle name="Normal 94 3" xfId="6632"/>
    <cellStyle name="Normal 94 4" xfId="10925"/>
    <cellStyle name="Normal 95" xfId="6633"/>
    <cellStyle name="Normal 95 2" xfId="6634"/>
    <cellStyle name="Normal 95 2 2" xfId="6635"/>
    <cellStyle name="Normal 95 2 3" xfId="10928"/>
    <cellStyle name="Normal 95 3" xfId="6636"/>
    <cellStyle name="Normal 95 4" xfId="10927"/>
    <cellStyle name="Normal 96" xfId="6637"/>
    <cellStyle name="Normal 96 2" xfId="6638"/>
    <cellStyle name="Normal 96 2 2" xfId="6639"/>
    <cellStyle name="Normal 96 2 3" xfId="10930"/>
    <cellStyle name="Normal 96 3" xfId="6640"/>
    <cellStyle name="Normal 96 4" xfId="10929"/>
    <cellStyle name="Normal 97" xfId="6641"/>
    <cellStyle name="Normal 97 2" xfId="6642"/>
    <cellStyle name="Normal 97 2 2" xfId="6643"/>
    <cellStyle name="Normal 97 2 3" xfId="10932"/>
    <cellStyle name="Normal 97 3" xfId="6644"/>
    <cellStyle name="Normal 97 4" xfId="10931"/>
    <cellStyle name="Normal 98" xfId="6645"/>
    <cellStyle name="Normal 98 2" xfId="6646"/>
    <cellStyle name="Normal 98 2 2" xfId="6647"/>
    <cellStyle name="Normal 98 2 3" xfId="10934"/>
    <cellStyle name="Normal 98 3" xfId="6648"/>
    <cellStyle name="Normal 98 4" xfId="10933"/>
    <cellStyle name="Normal 99" xfId="6649"/>
    <cellStyle name="Normal 99 2" xfId="6650"/>
    <cellStyle name="Normal 99 2 2" xfId="6651"/>
    <cellStyle name="Normal 99 2 3" xfId="10936"/>
    <cellStyle name="Normal 99 3" xfId="6652"/>
    <cellStyle name="Normal 99 4" xfId="10935"/>
    <cellStyle name="Normal GHG Numbers (0.00)" xfId="6654"/>
    <cellStyle name="Normal GHG Numbers (0.00) 2" xfId="6655"/>
    <cellStyle name="Normal GHG Numbers (0.00) 3" xfId="8135"/>
    <cellStyle name="Normal GHG Textfiels Bold" xfId="6656"/>
    <cellStyle name="Normal GHG Textfiels Bold 2" xfId="6657"/>
    <cellStyle name="Normal GHG Textfiels Bold 3" xfId="10937"/>
    <cellStyle name="Normal GHG whole table" xfId="6658"/>
    <cellStyle name="Normal GHG whole table 2" xfId="6659"/>
    <cellStyle name="Normal GHG whole table 3" xfId="10938"/>
    <cellStyle name="Normal GHG-Shade" xfId="6660"/>
    <cellStyle name="Normal GHG-Shade 10" xfId="6661"/>
    <cellStyle name="Normal GHG-Shade 10 2" xfId="6662"/>
    <cellStyle name="Normal GHG-Shade 10 3" xfId="10939"/>
    <cellStyle name="Normal GHG-Shade 11" xfId="6663"/>
    <cellStyle name="Normal GHG-Shade 11 2" xfId="6664"/>
    <cellStyle name="Normal GHG-Shade 11 3" xfId="10940"/>
    <cellStyle name="Normal GHG-Shade 12" xfId="6665"/>
    <cellStyle name="Normal GHG-Shade 12 2" xfId="6666"/>
    <cellStyle name="Normal GHG-Shade 12 3" xfId="10941"/>
    <cellStyle name="Normal GHG-Shade 13" xfId="6667"/>
    <cellStyle name="Normal GHG-Shade 13 2" xfId="6668"/>
    <cellStyle name="Normal GHG-Shade 13 3" xfId="10942"/>
    <cellStyle name="Normal GHG-Shade 14" xfId="6669"/>
    <cellStyle name="Normal GHG-Shade 14 2" xfId="6670"/>
    <cellStyle name="Normal GHG-Shade 14 3" xfId="10943"/>
    <cellStyle name="Normal GHG-Shade 15" xfId="6671"/>
    <cellStyle name="Normal GHG-Shade 15 2" xfId="6672"/>
    <cellStyle name="Normal GHG-Shade 15 3" xfId="10944"/>
    <cellStyle name="Normal GHG-Shade 16" xfId="6673"/>
    <cellStyle name="Normal GHG-Shade 16 2" xfId="6674"/>
    <cellStyle name="Normal GHG-Shade 16 3" xfId="10945"/>
    <cellStyle name="Normal GHG-Shade 17" xfId="6675"/>
    <cellStyle name="Normal GHG-Shade 18" xfId="8136"/>
    <cellStyle name="Normal GHG-Shade 2" xfId="6676"/>
    <cellStyle name="Normal GHG-Shade 2 2" xfId="6677"/>
    <cellStyle name="Normal GHG-Shade 2 2 2" xfId="6678"/>
    <cellStyle name="Normal GHG-Shade 2 2 3" xfId="10947"/>
    <cellStyle name="Normal GHG-Shade 2 3" xfId="6679"/>
    <cellStyle name="Normal GHG-Shade 2 4" xfId="10946"/>
    <cellStyle name="Normal GHG-Shade 3" xfId="6680"/>
    <cellStyle name="Normal GHG-Shade 3 2" xfId="6681"/>
    <cellStyle name="Normal GHG-Shade 3 3" xfId="10948"/>
    <cellStyle name="Normal GHG-Shade 4" xfId="6682"/>
    <cellStyle name="Normal GHG-Shade 4 2" xfId="6683"/>
    <cellStyle name="Normal GHG-Shade 4 3" xfId="10949"/>
    <cellStyle name="Normal GHG-Shade 5" xfId="6684"/>
    <cellStyle name="Normal GHG-Shade 5 2" xfId="6685"/>
    <cellStyle name="Normal GHG-Shade 5 3" xfId="10950"/>
    <cellStyle name="Normal GHG-Shade 6" xfId="6686"/>
    <cellStyle name="Normal GHG-Shade 6 2" xfId="6687"/>
    <cellStyle name="Normal GHG-Shade 6 3" xfId="10951"/>
    <cellStyle name="Normal GHG-Shade 7" xfId="6688"/>
    <cellStyle name="Normal GHG-Shade 7 2" xfId="6689"/>
    <cellStyle name="Normal GHG-Shade 7 3" xfId="10952"/>
    <cellStyle name="Normal GHG-Shade 8" xfId="6690"/>
    <cellStyle name="Normal GHG-Shade 8 2" xfId="6691"/>
    <cellStyle name="Normal GHG-Shade 8 3" xfId="10953"/>
    <cellStyle name="Normal GHG-Shade 9" xfId="6692"/>
    <cellStyle name="Normal GHG-Shade 9 2" xfId="6693"/>
    <cellStyle name="Normal GHG-Shade 9 3" xfId="10954"/>
    <cellStyle name="Normal_Annexes C_exII_2_v0" xfId="12131"/>
    <cellStyle name="Normál_Munka1" xfId="6696"/>
    <cellStyle name="Normale" xfId="6694"/>
    <cellStyle name="Normale 2" xfId="6695"/>
    <cellStyle name="Normale 3" xfId="10955"/>
    <cellStyle name="OS0023" xfId="6697"/>
    <cellStyle name="OS0023 2" xfId="6698"/>
    <cellStyle name="OS0023 3" xfId="10956"/>
    <cellStyle name="Pattern" xfId="6699"/>
    <cellStyle name="Pattern 2" xfId="6700"/>
    <cellStyle name="Pattern 3" xfId="8137"/>
    <cellStyle name="Pourcentage" xfId="2" builtinId="5"/>
    <cellStyle name="Pourcentage 10" xfId="6701"/>
    <cellStyle name="Pourcentage 10 2" xfId="6702"/>
    <cellStyle name="Pourcentage 10 2 2" xfId="6703"/>
    <cellStyle name="Pourcentage 10 2 2 2" xfId="12111"/>
    <cellStyle name="Pourcentage 10 2 3" xfId="10958"/>
    <cellStyle name="Pourcentage 10 3" xfId="6704"/>
    <cellStyle name="Pourcentage 10 3 2" xfId="6705"/>
    <cellStyle name="Pourcentage 10 3 2 2" xfId="12112"/>
    <cellStyle name="Pourcentage 10 3 3" xfId="10959"/>
    <cellStyle name="Pourcentage 10 4" xfId="6706"/>
    <cellStyle name="Pourcentage 10 5" xfId="10957"/>
    <cellStyle name="Pourcentage 11" xfId="6707"/>
    <cellStyle name="Pourcentage 11 2" xfId="6708"/>
    <cellStyle name="Pourcentage 11 2 2" xfId="6709"/>
    <cellStyle name="Pourcentage 11 2 2 2" xfId="12113"/>
    <cellStyle name="Pourcentage 11 2 3" xfId="10961"/>
    <cellStyle name="Pourcentage 11 3" xfId="6710"/>
    <cellStyle name="Pourcentage 11 4" xfId="10960"/>
    <cellStyle name="Pourcentage 12" xfId="6711"/>
    <cellStyle name="Pourcentage 12 2" xfId="6712"/>
    <cellStyle name="Pourcentage 12 2 2" xfId="6713"/>
    <cellStyle name="Pourcentage 12 2 3" xfId="10963"/>
    <cellStyle name="Pourcentage 12 3" xfId="6714"/>
    <cellStyle name="Pourcentage 12 4" xfId="10962"/>
    <cellStyle name="Pourcentage 13" xfId="6715"/>
    <cellStyle name="Pourcentage 13 2" xfId="6716"/>
    <cellStyle name="Pourcentage 13 2 2" xfId="6717"/>
    <cellStyle name="Pourcentage 13 2 2 2" xfId="12115"/>
    <cellStyle name="Pourcentage 13 2 3" xfId="10965"/>
    <cellStyle name="Pourcentage 13 3" xfId="6718"/>
    <cellStyle name="Pourcentage 13 3 2" xfId="12114"/>
    <cellStyle name="Pourcentage 13 4" xfId="10964"/>
    <cellStyle name="Pourcentage 14" xfId="6719"/>
    <cellStyle name="Pourcentage 14 2" xfId="6720"/>
    <cellStyle name="Pourcentage 14 3" xfId="10966"/>
    <cellStyle name="Pourcentage 15" xfId="6721"/>
    <cellStyle name="Pourcentage 15 2" xfId="6722"/>
    <cellStyle name="Pourcentage 15 3" xfId="11462"/>
    <cellStyle name="Pourcentage 16" xfId="6723"/>
    <cellStyle name="Pourcentage 17" xfId="6724"/>
    <cellStyle name="Pourcentage 18" xfId="7809"/>
    <cellStyle name="Pourcentage 2" xfId="6725"/>
    <cellStyle name="Pourcentage 2 10" xfId="6726"/>
    <cellStyle name="Pourcentage 2 10 2" xfId="6727"/>
    <cellStyle name="Pourcentage 2 10 3" xfId="10967"/>
    <cellStyle name="Pourcentage 2 11" xfId="6728"/>
    <cellStyle name="Pourcentage 2 11 2" xfId="6729"/>
    <cellStyle name="Pourcentage 2 11 3" xfId="10968"/>
    <cellStyle name="Pourcentage 2 12" xfId="6730"/>
    <cellStyle name="Pourcentage 2 12 2" xfId="6731"/>
    <cellStyle name="Pourcentage 2 12 3" xfId="10969"/>
    <cellStyle name="Pourcentage 2 13" xfId="6732"/>
    <cellStyle name="Pourcentage 2 13 2" xfId="6733"/>
    <cellStyle name="Pourcentage 2 13 3" xfId="10970"/>
    <cellStyle name="Pourcentage 2 14" xfId="6734"/>
    <cellStyle name="Pourcentage 2 14 2" xfId="6735"/>
    <cellStyle name="Pourcentage 2 14 2 2" xfId="6736"/>
    <cellStyle name="Pourcentage 2 14 2 2 2" xfId="12117"/>
    <cellStyle name="Pourcentage 2 14 2 3" xfId="10972"/>
    <cellStyle name="Pourcentage 2 14 3" xfId="6737"/>
    <cellStyle name="Pourcentage 2 14 3 2" xfId="12116"/>
    <cellStyle name="Pourcentage 2 14 4" xfId="10971"/>
    <cellStyle name="Pourcentage 2 15" xfId="6738"/>
    <cellStyle name="Pourcentage 2 15 2" xfId="6739"/>
    <cellStyle name="Pourcentage 2 15 3" xfId="10973"/>
    <cellStyle name="Pourcentage 2 16" xfId="6740"/>
    <cellStyle name="Pourcentage 2 16 2" xfId="6741"/>
    <cellStyle name="Pourcentage 2 16 3" xfId="10974"/>
    <cellStyle name="Pourcentage 2 17" xfId="6742"/>
    <cellStyle name="Pourcentage 2 18" xfId="8138"/>
    <cellStyle name="Pourcentage 2 2" xfId="6743"/>
    <cellStyle name="Pourcentage 2 2 2" xfId="6744"/>
    <cellStyle name="Pourcentage 2 2 2 2" xfId="6745"/>
    <cellStyle name="Pourcentage 2 2 2 2 2" xfId="6746"/>
    <cellStyle name="Pourcentage 2 2 2 2 2 2" xfId="12118"/>
    <cellStyle name="Pourcentage 2 2 2 2 3" xfId="10976"/>
    <cellStyle name="Pourcentage 2 2 2 3" xfId="6747"/>
    <cellStyle name="Pourcentage 2 2 2 4" xfId="10975"/>
    <cellStyle name="Pourcentage 2 2 3" xfId="6748"/>
    <cellStyle name="Pourcentage 2 2 4" xfId="8139"/>
    <cellStyle name="Pourcentage 2 3" xfId="6749"/>
    <cellStyle name="Pourcentage 2 3 2" xfId="6750"/>
    <cellStyle name="Pourcentage 2 3 3" xfId="10977"/>
    <cellStyle name="Pourcentage 2 4" xfId="6751"/>
    <cellStyle name="Pourcentage 2 4 2" xfId="6752"/>
    <cellStyle name="Pourcentage 2 4 3" xfId="10978"/>
    <cellStyle name="Pourcentage 2 5" xfId="6753"/>
    <cellStyle name="Pourcentage 2 5 2" xfId="6754"/>
    <cellStyle name="Pourcentage 2 5 3" xfId="10979"/>
    <cellStyle name="Pourcentage 2 6" xfId="6755"/>
    <cellStyle name="Pourcentage 2 6 2" xfId="6756"/>
    <cellStyle name="Pourcentage 2 6 3" xfId="10980"/>
    <cellStyle name="Pourcentage 2 7" xfId="6757"/>
    <cellStyle name="Pourcentage 2 7 2" xfId="6758"/>
    <cellStyle name="Pourcentage 2 7 3" xfId="10981"/>
    <cellStyle name="Pourcentage 2 8" xfId="6759"/>
    <cellStyle name="Pourcentage 2 8 2" xfId="6760"/>
    <cellStyle name="Pourcentage 2 8 3" xfId="10982"/>
    <cellStyle name="Pourcentage 2 9" xfId="6761"/>
    <cellStyle name="Pourcentage 2 9 2" xfId="6762"/>
    <cellStyle name="Pourcentage 2 9 3" xfId="10983"/>
    <cellStyle name="Pourcentage 3" xfId="6763"/>
    <cellStyle name="Pourcentage 3 10" xfId="6764"/>
    <cellStyle name="Pourcentage 3 10 2" xfId="6765"/>
    <cellStyle name="Pourcentage 3 10 3" xfId="10984"/>
    <cellStyle name="Pourcentage 3 11" xfId="6766"/>
    <cellStyle name="Pourcentage 3 11 2" xfId="6767"/>
    <cellStyle name="Pourcentage 3 11 3" xfId="10985"/>
    <cellStyle name="Pourcentage 3 12" xfId="6768"/>
    <cellStyle name="Pourcentage 3 12 2" xfId="6769"/>
    <cellStyle name="Pourcentage 3 12 3" xfId="10986"/>
    <cellStyle name="Pourcentage 3 13" xfId="6770"/>
    <cellStyle name="Pourcentage 3 13 2" xfId="6771"/>
    <cellStyle name="Pourcentage 3 13 3" xfId="10987"/>
    <cellStyle name="Pourcentage 3 14" xfId="6772"/>
    <cellStyle name="Pourcentage 3 15" xfId="8140"/>
    <cellStyle name="Pourcentage 3 2" xfId="6773"/>
    <cellStyle name="Pourcentage 3 2 2" xfId="6774"/>
    <cellStyle name="Pourcentage 3 2 2 2" xfId="6775"/>
    <cellStyle name="Pourcentage 3 2 2 3" xfId="10988"/>
    <cellStyle name="Pourcentage 3 2 3" xfId="6776"/>
    <cellStyle name="Pourcentage 3 2 4" xfId="8141"/>
    <cellStyle name="Pourcentage 3 3" xfId="6777"/>
    <cellStyle name="Pourcentage 3 3 2" xfId="6778"/>
    <cellStyle name="Pourcentage 3 3 3" xfId="10989"/>
    <cellStyle name="Pourcentage 3 4" xfId="6779"/>
    <cellStyle name="Pourcentage 3 4 2" xfId="6780"/>
    <cellStyle name="Pourcentage 3 4 3" xfId="10990"/>
    <cellStyle name="Pourcentage 3 5" xfId="6781"/>
    <cellStyle name="Pourcentage 3 5 2" xfId="6782"/>
    <cellStyle name="Pourcentage 3 5 3" xfId="10991"/>
    <cellStyle name="Pourcentage 3 6" xfId="6783"/>
    <cellStyle name="Pourcentage 3 6 2" xfId="6784"/>
    <cellStyle name="Pourcentage 3 6 3" xfId="10992"/>
    <cellStyle name="Pourcentage 3 7" xfId="6785"/>
    <cellStyle name="Pourcentage 3 7 2" xfId="6786"/>
    <cellStyle name="Pourcentage 3 7 3" xfId="10993"/>
    <cellStyle name="Pourcentage 3 8" xfId="6787"/>
    <cellStyle name="Pourcentage 3 8 2" xfId="6788"/>
    <cellStyle name="Pourcentage 3 8 3" xfId="10994"/>
    <cellStyle name="Pourcentage 3 9" xfId="6789"/>
    <cellStyle name="Pourcentage 3 9 2" xfId="6790"/>
    <cellStyle name="Pourcentage 3 9 3" xfId="10995"/>
    <cellStyle name="Pourcentage 4" xfId="6791"/>
    <cellStyle name="Pourcentage 4 10" xfId="6792"/>
    <cellStyle name="Pourcentage 4 10 2" xfId="6793"/>
    <cellStyle name="Pourcentage 4 10 3" xfId="10996"/>
    <cellStyle name="Pourcentage 4 11" xfId="6794"/>
    <cellStyle name="Pourcentage 4 11 2" xfId="6795"/>
    <cellStyle name="Pourcentage 4 11 3" xfId="10997"/>
    <cellStyle name="Pourcentage 4 12" xfId="6796"/>
    <cellStyle name="Pourcentage 4 12 2" xfId="6797"/>
    <cellStyle name="Pourcentage 4 12 3" xfId="10998"/>
    <cellStyle name="Pourcentage 4 13" xfId="6798"/>
    <cellStyle name="Pourcentage 4 13 2" xfId="6799"/>
    <cellStyle name="Pourcentage 4 13 3" xfId="10999"/>
    <cellStyle name="Pourcentage 4 14" xfId="6800"/>
    <cellStyle name="Pourcentage 4 15" xfId="8142"/>
    <cellStyle name="Pourcentage 4 2" xfId="6801"/>
    <cellStyle name="Pourcentage 4 2 2" xfId="6802"/>
    <cellStyle name="Pourcentage 4 2 2 2" xfId="6803"/>
    <cellStyle name="Pourcentage 4 2 2 3" xfId="11000"/>
    <cellStyle name="Pourcentage 4 2 3" xfId="6804"/>
    <cellStyle name="Pourcentage 4 2 4" xfId="8143"/>
    <cellStyle name="Pourcentage 4 3" xfId="6805"/>
    <cellStyle name="Pourcentage 4 3 2" xfId="6806"/>
    <cellStyle name="Pourcentage 4 3 3" xfId="11001"/>
    <cellStyle name="Pourcentage 4 4" xfId="6807"/>
    <cellStyle name="Pourcentage 4 4 2" xfId="6808"/>
    <cellStyle name="Pourcentage 4 4 3" xfId="11002"/>
    <cellStyle name="Pourcentage 4 5" xfId="6809"/>
    <cellStyle name="Pourcentage 4 5 2" xfId="6810"/>
    <cellStyle name="Pourcentage 4 5 3" xfId="11003"/>
    <cellStyle name="Pourcentage 4 6" xfId="6811"/>
    <cellStyle name="Pourcentage 4 6 2" xfId="6812"/>
    <cellStyle name="Pourcentage 4 6 3" xfId="11004"/>
    <cellStyle name="Pourcentage 4 7" xfId="6813"/>
    <cellStyle name="Pourcentage 4 7 2" xfId="6814"/>
    <cellStyle name="Pourcentage 4 7 3" xfId="11005"/>
    <cellStyle name="Pourcentage 4 8" xfId="6815"/>
    <cellStyle name="Pourcentage 4 8 2" xfId="6816"/>
    <cellStyle name="Pourcentage 4 8 3" xfId="11006"/>
    <cellStyle name="Pourcentage 4 9" xfId="6817"/>
    <cellStyle name="Pourcentage 4 9 2" xfId="6818"/>
    <cellStyle name="Pourcentage 4 9 3" xfId="11007"/>
    <cellStyle name="Pourcentage 5" xfId="6819"/>
    <cellStyle name="Pourcentage 5 10" xfId="6820"/>
    <cellStyle name="Pourcentage 5 10 2" xfId="6821"/>
    <cellStyle name="Pourcentage 5 10 3" xfId="11008"/>
    <cellStyle name="Pourcentage 5 11" xfId="6822"/>
    <cellStyle name="Pourcentage 5 11 2" xfId="6823"/>
    <cellStyle name="Pourcentage 5 11 3" xfId="11009"/>
    <cellStyle name="Pourcentage 5 12" xfId="6824"/>
    <cellStyle name="Pourcentage 5 12 2" xfId="6825"/>
    <cellStyle name="Pourcentage 5 12 3" xfId="11010"/>
    <cellStyle name="Pourcentage 5 13" xfId="6826"/>
    <cellStyle name="Pourcentage 5 13 2" xfId="6827"/>
    <cellStyle name="Pourcentage 5 13 3" xfId="11011"/>
    <cellStyle name="Pourcentage 5 14" xfId="6828"/>
    <cellStyle name="Pourcentage 5 15" xfId="8144"/>
    <cellStyle name="Pourcentage 5 2" xfId="6829"/>
    <cellStyle name="Pourcentage 5 2 2" xfId="6830"/>
    <cellStyle name="Pourcentage 5 2 2 2" xfId="6831"/>
    <cellStyle name="Pourcentage 5 2 2 3" xfId="11012"/>
    <cellStyle name="Pourcentage 5 2 3" xfId="6832"/>
    <cellStyle name="Pourcentage 5 2 4" xfId="8145"/>
    <cellStyle name="Pourcentage 5 3" xfId="6833"/>
    <cellStyle name="Pourcentage 5 3 2" xfId="6834"/>
    <cellStyle name="Pourcentage 5 3 3" xfId="11013"/>
    <cellStyle name="Pourcentage 5 4" xfId="6835"/>
    <cellStyle name="Pourcentage 5 4 2" xfId="6836"/>
    <cellStyle name="Pourcentage 5 4 3" xfId="11014"/>
    <cellStyle name="Pourcentage 5 5" xfId="6837"/>
    <cellStyle name="Pourcentage 5 5 2" xfId="6838"/>
    <cellStyle name="Pourcentage 5 5 3" xfId="11015"/>
    <cellStyle name="Pourcentage 5 6" xfId="6839"/>
    <cellStyle name="Pourcentage 5 6 2" xfId="6840"/>
    <cellStyle name="Pourcentage 5 6 3" xfId="11016"/>
    <cellStyle name="Pourcentage 5 7" xfId="6841"/>
    <cellStyle name="Pourcentage 5 7 2" xfId="6842"/>
    <cellStyle name="Pourcentage 5 7 3" xfId="11017"/>
    <cellStyle name="Pourcentage 5 8" xfId="6843"/>
    <cellStyle name="Pourcentage 5 8 2" xfId="6844"/>
    <cellStyle name="Pourcentage 5 8 3" xfId="11018"/>
    <cellStyle name="Pourcentage 5 9" xfId="6845"/>
    <cellStyle name="Pourcentage 5 9 2" xfId="6846"/>
    <cellStyle name="Pourcentage 5 9 3" xfId="11019"/>
    <cellStyle name="Pourcentage 6" xfId="6847"/>
    <cellStyle name="Pourcentage 6 10" xfId="6848"/>
    <cellStyle name="Pourcentage 6 10 2" xfId="6849"/>
    <cellStyle name="Pourcentage 6 10 3" xfId="11020"/>
    <cellStyle name="Pourcentage 6 11" xfId="6850"/>
    <cellStyle name="Pourcentage 6 11 2" xfId="6851"/>
    <cellStyle name="Pourcentage 6 11 3" xfId="11021"/>
    <cellStyle name="Pourcentage 6 12" xfId="6852"/>
    <cellStyle name="Pourcentage 6 12 2" xfId="6853"/>
    <cellStyle name="Pourcentage 6 12 3" xfId="11022"/>
    <cellStyle name="Pourcentage 6 13" xfId="6854"/>
    <cellStyle name="Pourcentage 6 13 2" xfId="6855"/>
    <cellStyle name="Pourcentage 6 13 3" xfId="11023"/>
    <cellStyle name="Pourcentage 6 14" xfId="6856"/>
    <cellStyle name="Pourcentage 6 15" xfId="8146"/>
    <cellStyle name="Pourcentage 6 2" xfId="6857"/>
    <cellStyle name="Pourcentage 6 2 2" xfId="6858"/>
    <cellStyle name="Pourcentage 6 2 2 2" xfId="6859"/>
    <cellStyle name="Pourcentage 6 2 2 3" xfId="11024"/>
    <cellStyle name="Pourcentage 6 2 3" xfId="6860"/>
    <cellStyle name="Pourcentage 6 2 4" xfId="8147"/>
    <cellStyle name="Pourcentage 6 3" xfId="6861"/>
    <cellStyle name="Pourcentage 6 3 2" xfId="6862"/>
    <cellStyle name="Pourcentage 6 3 3" xfId="11025"/>
    <cellStyle name="Pourcentage 6 4" xfId="6863"/>
    <cellStyle name="Pourcentage 6 4 2" xfId="6864"/>
    <cellStyle name="Pourcentage 6 4 3" xfId="11026"/>
    <cellStyle name="Pourcentage 6 5" xfId="6865"/>
    <cellStyle name="Pourcentage 6 5 2" xfId="6866"/>
    <cellStyle name="Pourcentage 6 5 3" xfId="11027"/>
    <cellStyle name="Pourcentage 6 6" xfId="6867"/>
    <cellStyle name="Pourcentage 6 6 2" xfId="6868"/>
    <cellStyle name="Pourcentage 6 6 3" xfId="11028"/>
    <cellStyle name="Pourcentage 6 7" xfId="6869"/>
    <cellStyle name="Pourcentage 6 7 2" xfId="6870"/>
    <cellStyle name="Pourcentage 6 7 3" xfId="11029"/>
    <cellStyle name="Pourcentage 6 8" xfId="6871"/>
    <cellStyle name="Pourcentage 6 8 2" xfId="6872"/>
    <cellStyle name="Pourcentage 6 8 3" xfId="11030"/>
    <cellStyle name="Pourcentage 6 9" xfId="6873"/>
    <cellStyle name="Pourcentage 6 9 2" xfId="6874"/>
    <cellStyle name="Pourcentage 6 9 3" xfId="11031"/>
    <cellStyle name="Pourcentage 7" xfId="6875"/>
    <cellStyle name="Pourcentage 7 2" xfId="6876"/>
    <cellStyle name="Pourcentage 7 2 2" xfId="6877"/>
    <cellStyle name="Pourcentage 7 2 2 2" xfId="6878"/>
    <cellStyle name="Pourcentage 7 2 2 3" xfId="11033"/>
    <cellStyle name="Pourcentage 7 2 3" xfId="6879"/>
    <cellStyle name="Pourcentage 7 2 3 2" xfId="6880"/>
    <cellStyle name="Pourcentage 7 2 3 2 2" xfId="12120"/>
    <cellStyle name="Pourcentage 7 2 3 3" xfId="11034"/>
    <cellStyle name="Pourcentage 7 2 4" xfId="6881"/>
    <cellStyle name="Pourcentage 7 2 4 2" xfId="12119"/>
    <cellStyle name="Pourcentage 7 2 5" xfId="11032"/>
    <cellStyle name="Pourcentage 7 3" xfId="6882"/>
    <cellStyle name="Pourcentage 7 3 2" xfId="6883"/>
    <cellStyle name="Pourcentage 7 3 2 2" xfId="6884"/>
    <cellStyle name="Pourcentage 7 3 2 2 2" xfId="12122"/>
    <cellStyle name="Pourcentage 7 3 2 3" xfId="11036"/>
    <cellStyle name="Pourcentage 7 3 3" xfId="6885"/>
    <cellStyle name="Pourcentage 7 3 3 2" xfId="6886"/>
    <cellStyle name="Pourcentage 7 3 3 3" xfId="11037"/>
    <cellStyle name="Pourcentage 7 3 4" xfId="6887"/>
    <cellStyle name="Pourcentage 7 3 4 2" xfId="12121"/>
    <cellStyle name="Pourcentage 7 3 5" xfId="11035"/>
    <cellStyle name="Pourcentage 7 4" xfId="6888"/>
    <cellStyle name="Pourcentage 7 4 2" xfId="6889"/>
    <cellStyle name="Pourcentage 7 4 2 2" xfId="6890"/>
    <cellStyle name="Pourcentage 7 4 2 3" xfId="11039"/>
    <cellStyle name="Pourcentage 7 4 3" xfId="6891"/>
    <cellStyle name="Pourcentage 7 4 3 2" xfId="12123"/>
    <cellStyle name="Pourcentage 7 4 4" xfId="11038"/>
    <cellStyle name="Pourcentage 7 5" xfId="6892"/>
    <cellStyle name="Pourcentage 7 5 2" xfId="6893"/>
    <cellStyle name="Pourcentage 7 5 3" xfId="11040"/>
    <cellStyle name="Pourcentage 7 6" xfId="6894"/>
    <cellStyle name="Pourcentage 7 6 2" xfId="6895"/>
    <cellStyle name="Pourcentage 7 6 3" xfId="11507"/>
    <cellStyle name="Pourcentage 7 7" xfId="6896"/>
    <cellStyle name="Pourcentage 7 8" xfId="8148"/>
    <cellStyle name="Pourcentage 8" xfId="6897"/>
    <cellStyle name="Pourcentage 8 2" xfId="6898"/>
    <cellStyle name="Pourcentage 8 2 2" xfId="6899"/>
    <cellStyle name="Pourcentage 8 2 2 2" xfId="6900"/>
    <cellStyle name="Pourcentage 8 2 2 2 2" xfId="12125"/>
    <cellStyle name="Pourcentage 8 2 2 3" xfId="11043"/>
    <cellStyle name="Pourcentage 8 2 3" xfId="6901"/>
    <cellStyle name="Pourcentage 8 2 4" xfId="11042"/>
    <cellStyle name="Pourcentage 8 3" xfId="6902"/>
    <cellStyle name="Pourcentage 8 3 2" xfId="6903"/>
    <cellStyle name="Pourcentage 8 3 2 2" xfId="6904"/>
    <cellStyle name="Pourcentage 8 3 2 3" xfId="11045"/>
    <cellStyle name="Pourcentage 8 3 3" xfId="6905"/>
    <cellStyle name="Pourcentage 8 3 3 2" xfId="12126"/>
    <cellStyle name="Pourcentage 8 3 4" xfId="11044"/>
    <cellStyle name="Pourcentage 8 4" xfId="6906"/>
    <cellStyle name="Pourcentage 8 4 2" xfId="6907"/>
    <cellStyle name="Pourcentage 8 4 3" xfId="11046"/>
    <cellStyle name="Pourcentage 8 5" xfId="6908"/>
    <cellStyle name="Pourcentage 8 5 2" xfId="12124"/>
    <cellStyle name="Pourcentage 8 6" xfId="11041"/>
    <cellStyle name="Pourcentage 9" xfId="6909"/>
    <cellStyle name="Pourcentage 9 2" xfId="6910"/>
    <cellStyle name="Pourcentage 9 2 2" xfId="6911"/>
    <cellStyle name="Pourcentage 9 2 3" xfId="11048"/>
    <cellStyle name="Pourcentage 9 3" xfId="6912"/>
    <cellStyle name="Pourcentage 9 3 2" xfId="6913"/>
    <cellStyle name="Pourcentage 9 3 3" xfId="11049"/>
    <cellStyle name="Pourcentage 9 4" xfId="6914"/>
    <cellStyle name="Pourcentage 9 4 2" xfId="6915"/>
    <cellStyle name="Pourcentage 9 4 2 2" xfId="12127"/>
    <cellStyle name="Pourcentage 9 4 3" xfId="11050"/>
    <cellStyle name="Pourcentage 9 5" xfId="6916"/>
    <cellStyle name="Pourcentage 9 5 2" xfId="6917"/>
    <cellStyle name="Pourcentage 9 5 2 2" xfId="12128"/>
    <cellStyle name="Pourcentage 9 5 3" xfId="11051"/>
    <cellStyle name="Pourcentage 9 6" xfId="6918"/>
    <cellStyle name="Pourcentage 9 7" xfId="11047"/>
    <cellStyle name="Proposal_niv1" xfId="6919"/>
    <cellStyle name="SAPBEXaggData" xfId="6920"/>
    <cellStyle name="SAPBEXaggData 2" xfId="6921"/>
    <cellStyle name="SAPBEXaggData 3" xfId="11052"/>
    <cellStyle name="SAPBEXaggDataEmph" xfId="6922"/>
    <cellStyle name="SAPBEXaggDataEmph 2" xfId="6923"/>
    <cellStyle name="SAPBEXaggDataEmph 3" xfId="11053"/>
    <cellStyle name="SAPBEXaggItem" xfId="6924"/>
    <cellStyle name="SAPBEXaggItem 2" xfId="6925"/>
    <cellStyle name="SAPBEXaggItem 3" xfId="11054"/>
    <cellStyle name="SAPBEXaggItemX" xfId="6926"/>
    <cellStyle name="SAPBEXaggItemX 2" xfId="6927"/>
    <cellStyle name="SAPBEXaggItemX 3" xfId="11055"/>
    <cellStyle name="SAPBEXchaText" xfId="6928"/>
    <cellStyle name="SAPBEXchaText 2" xfId="6929"/>
    <cellStyle name="SAPBEXchaText 3" xfId="11056"/>
    <cellStyle name="SAPBEXexcBad7" xfId="6930"/>
    <cellStyle name="SAPBEXexcBad7 2" xfId="6931"/>
    <cellStyle name="SAPBEXexcBad7 3" xfId="11057"/>
    <cellStyle name="SAPBEXexcBad8" xfId="6932"/>
    <cellStyle name="SAPBEXexcBad8 2" xfId="6933"/>
    <cellStyle name="SAPBEXexcBad8 3" xfId="11058"/>
    <cellStyle name="SAPBEXexcBad9" xfId="6934"/>
    <cellStyle name="SAPBEXexcBad9 2" xfId="6935"/>
    <cellStyle name="SAPBEXexcBad9 3" xfId="11059"/>
    <cellStyle name="SAPBEXexcCritical4" xfId="6936"/>
    <cellStyle name="SAPBEXexcCritical4 2" xfId="6937"/>
    <cellStyle name="SAPBEXexcCritical4 3" xfId="11060"/>
    <cellStyle name="SAPBEXexcCritical5" xfId="6938"/>
    <cellStyle name="SAPBEXexcCritical5 2" xfId="6939"/>
    <cellStyle name="SAPBEXexcCritical5 3" xfId="11061"/>
    <cellStyle name="SAPBEXexcCritical6" xfId="6940"/>
    <cellStyle name="SAPBEXexcCritical6 2" xfId="6941"/>
    <cellStyle name="SAPBEXexcCritical6 3" xfId="11062"/>
    <cellStyle name="SAPBEXexcGood1" xfId="6942"/>
    <cellStyle name="SAPBEXexcGood1 2" xfId="6943"/>
    <cellStyle name="SAPBEXexcGood1 3" xfId="11063"/>
    <cellStyle name="SAPBEXexcGood2" xfId="6944"/>
    <cellStyle name="SAPBEXexcGood2 2" xfId="6945"/>
    <cellStyle name="SAPBEXexcGood2 3" xfId="11064"/>
    <cellStyle name="SAPBEXexcGood3" xfId="6946"/>
    <cellStyle name="SAPBEXexcGood3 2" xfId="6947"/>
    <cellStyle name="SAPBEXexcGood3 3" xfId="11065"/>
    <cellStyle name="SAPBEXfilterDrill" xfId="6948"/>
    <cellStyle name="SAPBEXfilterDrill 2" xfId="6949"/>
    <cellStyle name="SAPBEXfilterDrill 3" xfId="11066"/>
    <cellStyle name="SAPBEXfilterItem" xfId="6950"/>
    <cellStyle name="SAPBEXfilterItem 2" xfId="6951"/>
    <cellStyle name="SAPBEXfilterItem 3" xfId="11067"/>
    <cellStyle name="SAPBEXfilterText" xfId="6952"/>
    <cellStyle name="SAPBEXfilterText 2" xfId="6953"/>
    <cellStyle name="SAPBEXfilterText 3" xfId="11068"/>
    <cellStyle name="SAPBEXformats" xfId="6954"/>
    <cellStyle name="SAPBEXformats 2" xfId="6955"/>
    <cellStyle name="SAPBEXformats 3" xfId="11069"/>
    <cellStyle name="SAPBEXheaderItem" xfId="6956"/>
    <cellStyle name="SAPBEXheaderItem 2" xfId="6957"/>
    <cellStyle name="SAPBEXheaderItem 3" xfId="11070"/>
    <cellStyle name="SAPBEXheaderText" xfId="6958"/>
    <cellStyle name="SAPBEXheaderText 2" xfId="6959"/>
    <cellStyle name="SAPBEXheaderText 3" xfId="11071"/>
    <cellStyle name="SAPBEXHLevel0" xfId="6960"/>
    <cellStyle name="SAPBEXHLevel0 2" xfId="6961"/>
    <cellStyle name="SAPBEXHLevel0 3" xfId="11072"/>
    <cellStyle name="SAPBEXHLevel0X" xfId="6962"/>
    <cellStyle name="SAPBEXHLevel0X 2" xfId="6963"/>
    <cellStyle name="SAPBEXHLevel0X 3" xfId="11073"/>
    <cellStyle name="SAPBEXHLevel1" xfId="6964"/>
    <cellStyle name="SAPBEXHLevel1 2" xfId="6965"/>
    <cellStyle name="SAPBEXHLevel1 3" xfId="11074"/>
    <cellStyle name="SAPBEXHLevel1X" xfId="6966"/>
    <cellStyle name="SAPBEXHLevel1X 2" xfId="6967"/>
    <cellStyle name="SAPBEXHLevel1X 3" xfId="11075"/>
    <cellStyle name="SAPBEXHLevel2" xfId="6968"/>
    <cellStyle name="SAPBEXHLevel2 2" xfId="6969"/>
    <cellStyle name="SAPBEXHLevel2 3" xfId="11076"/>
    <cellStyle name="SAPBEXHLevel2X" xfId="6970"/>
    <cellStyle name="SAPBEXHLevel2X 2" xfId="6971"/>
    <cellStyle name="SAPBEXHLevel2X 3" xfId="11077"/>
    <cellStyle name="SAPBEXHLevel3" xfId="6972"/>
    <cellStyle name="SAPBEXHLevel3 2" xfId="6973"/>
    <cellStyle name="SAPBEXHLevel3 3" xfId="11078"/>
    <cellStyle name="SAPBEXHLevel3X" xfId="6974"/>
    <cellStyle name="SAPBEXHLevel3X 2" xfId="6975"/>
    <cellStyle name="SAPBEXHLevel3X 3" xfId="11079"/>
    <cellStyle name="SAPBEXresData" xfId="6976"/>
    <cellStyle name="SAPBEXresData 2" xfId="6977"/>
    <cellStyle name="SAPBEXresData 3" xfId="11080"/>
    <cellStyle name="SAPBEXresDataEmph" xfId="6978"/>
    <cellStyle name="SAPBEXresDataEmph 2" xfId="6979"/>
    <cellStyle name="SAPBEXresDataEmph 3" xfId="11081"/>
    <cellStyle name="SAPBEXresItem" xfId="6980"/>
    <cellStyle name="SAPBEXresItem 2" xfId="6981"/>
    <cellStyle name="SAPBEXresItem 3" xfId="11082"/>
    <cellStyle name="SAPBEXresItemX" xfId="6982"/>
    <cellStyle name="SAPBEXresItemX 2" xfId="6983"/>
    <cellStyle name="SAPBEXresItemX 3" xfId="11083"/>
    <cellStyle name="SAPBEXstdData" xfId="6984"/>
    <cellStyle name="SAPBEXstdData 2" xfId="6985"/>
    <cellStyle name="SAPBEXstdData 3" xfId="11084"/>
    <cellStyle name="SAPBEXstdDataEmph" xfId="6986"/>
    <cellStyle name="SAPBEXstdDataEmph 2" xfId="6987"/>
    <cellStyle name="SAPBEXstdDataEmph 3" xfId="11085"/>
    <cellStyle name="SAPBEXstdItem" xfId="6988"/>
    <cellStyle name="SAPBEXstdItem 2" xfId="6989"/>
    <cellStyle name="SAPBEXstdItem 3" xfId="11086"/>
    <cellStyle name="SAPBEXstdItemX" xfId="6990"/>
    <cellStyle name="SAPBEXstdItemX 2" xfId="6991"/>
    <cellStyle name="SAPBEXstdItemX 3" xfId="11087"/>
    <cellStyle name="SAPBEXtitle" xfId="6992"/>
    <cellStyle name="SAPBEXtitle 2" xfId="6993"/>
    <cellStyle name="SAPBEXtitle 3" xfId="11088"/>
    <cellStyle name="SAPBEXundefined" xfId="6994"/>
    <cellStyle name="SAPBEXundefined 2" xfId="6995"/>
    <cellStyle name="SAPBEXundefined 3" xfId="11089"/>
    <cellStyle name="Satisfaisant 10" xfId="6996"/>
    <cellStyle name="Satisfaisant 10 2" xfId="6997"/>
    <cellStyle name="Satisfaisant 10 3" xfId="11090"/>
    <cellStyle name="Satisfaisant 11" xfId="6998"/>
    <cellStyle name="Satisfaisant 11 2" xfId="6999"/>
    <cellStyle name="Satisfaisant 11 2 2" xfId="7000"/>
    <cellStyle name="Satisfaisant 11 2 3" xfId="11092"/>
    <cellStyle name="Satisfaisant 11 3" xfId="7001"/>
    <cellStyle name="Satisfaisant 11 3 2" xfId="7002"/>
    <cellStyle name="Satisfaisant 11 3 3" xfId="11093"/>
    <cellStyle name="Satisfaisant 11 4" xfId="7003"/>
    <cellStyle name="Satisfaisant 11 4 2" xfId="7004"/>
    <cellStyle name="Satisfaisant 11 4 3" xfId="11094"/>
    <cellStyle name="Satisfaisant 11 5" xfId="7005"/>
    <cellStyle name="Satisfaisant 11 6" xfId="11091"/>
    <cellStyle name="Satisfaisant 12" xfId="7006"/>
    <cellStyle name="Satisfaisant 12 2" xfId="7007"/>
    <cellStyle name="Satisfaisant 12 2 2" xfId="7008"/>
    <cellStyle name="Satisfaisant 12 2 3" xfId="11096"/>
    <cellStyle name="Satisfaisant 12 3" xfId="7009"/>
    <cellStyle name="Satisfaisant 12 3 2" xfId="7010"/>
    <cellStyle name="Satisfaisant 12 3 3" xfId="11097"/>
    <cellStyle name="Satisfaisant 12 4" xfId="7011"/>
    <cellStyle name="Satisfaisant 12 5" xfId="11095"/>
    <cellStyle name="Satisfaisant 13" xfId="7012"/>
    <cellStyle name="Satisfaisant 13 2" xfId="7013"/>
    <cellStyle name="Satisfaisant 13 3" xfId="11098"/>
    <cellStyle name="Satisfaisant 14" xfId="7014"/>
    <cellStyle name="Satisfaisant 14 2" xfId="7015"/>
    <cellStyle name="Satisfaisant 14 3" xfId="11099"/>
    <cellStyle name="Satisfaisant 15" xfId="7016"/>
    <cellStyle name="Satisfaisant 15 2" xfId="7017"/>
    <cellStyle name="Satisfaisant 15 3" xfId="11100"/>
    <cellStyle name="Satisfaisant 2" xfId="7018"/>
    <cellStyle name="Satisfaisant 2 2" xfId="7019"/>
    <cellStyle name="Satisfaisant 2 2 2" xfId="7020"/>
    <cellStyle name="Satisfaisant 2 2 3" xfId="11101"/>
    <cellStyle name="Satisfaisant 2 3" xfId="7021"/>
    <cellStyle name="Satisfaisant 2 3 2" xfId="7022"/>
    <cellStyle name="Satisfaisant 2 3 3" xfId="11102"/>
    <cellStyle name="Satisfaisant 2 4" xfId="7023"/>
    <cellStyle name="Satisfaisant 2 4 2" xfId="7024"/>
    <cellStyle name="Satisfaisant 2 4 3" xfId="11103"/>
    <cellStyle name="Satisfaisant 2 5" xfId="7025"/>
    <cellStyle name="Satisfaisant 2 6" xfId="8149"/>
    <cellStyle name="Satisfaisant 3" xfId="7026"/>
    <cellStyle name="Satisfaisant 3 2" xfId="7027"/>
    <cellStyle name="Satisfaisant 3 2 2" xfId="7028"/>
    <cellStyle name="Satisfaisant 3 2 3" xfId="11104"/>
    <cellStyle name="Satisfaisant 3 3" xfId="7029"/>
    <cellStyle name="Satisfaisant 3 3 2" xfId="7030"/>
    <cellStyle name="Satisfaisant 3 3 3" xfId="11105"/>
    <cellStyle name="Satisfaisant 3 4" xfId="7031"/>
    <cellStyle name="Satisfaisant 3 4 2" xfId="7032"/>
    <cellStyle name="Satisfaisant 3 4 3" xfId="11106"/>
    <cellStyle name="Satisfaisant 3 5" xfId="7033"/>
    <cellStyle name="Satisfaisant 3 6" xfId="8150"/>
    <cellStyle name="Satisfaisant 4" xfId="7034"/>
    <cellStyle name="Satisfaisant 4 2" xfId="7035"/>
    <cellStyle name="Satisfaisant 4 2 2" xfId="7036"/>
    <cellStyle name="Satisfaisant 4 2 3" xfId="11107"/>
    <cellStyle name="Satisfaisant 4 3" xfId="7037"/>
    <cellStyle name="Satisfaisant 4 3 2" xfId="7038"/>
    <cellStyle name="Satisfaisant 4 3 3" xfId="11108"/>
    <cellStyle name="Satisfaisant 4 4" xfId="7039"/>
    <cellStyle name="Satisfaisant 4 4 2" xfId="7040"/>
    <cellStyle name="Satisfaisant 4 4 3" xfId="11109"/>
    <cellStyle name="Satisfaisant 4 5" xfId="7041"/>
    <cellStyle name="Satisfaisant 4 6" xfId="8151"/>
    <cellStyle name="Satisfaisant 5" xfId="7042"/>
    <cellStyle name="Satisfaisant 5 2" xfId="7043"/>
    <cellStyle name="Satisfaisant 5 2 2" xfId="7044"/>
    <cellStyle name="Satisfaisant 5 2 3" xfId="11110"/>
    <cellStyle name="Satisfaisant 5 3" xfId="7045"/>
    <cellStyle name="Satisfaisant 5 4" xfId="8152"/>
    <cellStyle name="Satisfaisant 6" xfId="7046"/>
    <cellStyle name="Satisfaisant 6 2" xfId="7047"/>
    <cellStyle name="Satisfaisant 6 2 2" xfId="7048"/>
    <cellStyle name="Satisfaisant 6 2 3" xfId="11112"/>
    <cellStyle name="Satisfaisant 6 3" xfId="7049"/>
    <cellStyle name="Satisfaisant 6 4" xfId="11111"/>
    <cellStyle name="Satisfaisant 7" xfId="7050"/>
    <cellStyle name="Satisfaisant 7 2" xfId="7051"/>
    <cellStyle name="Satisfaisant 7 3" xfId="11113"/>
    <cellStyle name="Satisfaisant 8" xfId="7052"/>
    <cellStyle name="Satisfaisant 8 2" xfId="7053"/>
    <cellStyle name="Satisfaisant 8 3" xfId="11114"/>
    <cellStyle name="Satisfaisant 9" xfId="7054"/>
    <cellStyle name="Satisfaisant 9 2" xfId="7055"/>
    <cellStyle name="Satisfaisant 9 3" xfId="11115"/>
    <cellStyle name="Scenario" xfId="7056"/>
    <cellStyle name="Scenario 2" xfId="7057"/>
    <cellStyle name="Scenario 3" xfId="11116"/>
    <cellStyle name="Shade" xfId="7058"/>
    <cellStyle name="Shade 2" xfId="7059"/>
    <cellStyle name="Shade 3" xfId="11117"/>
    <cellStyle name="Sortie 10" xfId="7060"/>
    <cellStyle name="Sortie 10 2" xfId="7061"/>
    <cellStyle name="Sortie 10 3" xfId="11118"/>
    <cellStyle name="Sortie 11" xfId="7062"/>
    <cellStyle name="Sortie 11 2" xfId="7063"/>
    <cellStyle name="Sortie 11 2 2" xfId="7064"/>
    <cellStyle name="Sortie 11 2 3" xfId="11120"/>
    <cellStyle name="Sortie 11 3" xfId="7065"/>
    <cellStyle name="Sortie 11 3 2" xfId="7066"/>
    <cellStyle name="Sortie 11 3 3" xfId="11121"/>
    <cellStyle name="Sortie 11 4" xfId="7067"/>
    <cellStyle name="Sortie 11 4 2" xfId="7068"/>
    <cellStyle name="Sortie 11 4 3" xfId="11122"/>
    <cellStyle name="Sortie 11 5" xfId="7069"/>
    <cellStyle name="Sortie 11 6" xfId="11119"/>
    <cellStyle name="Sortie 12" xfId="7070"/>
    <cellStyle name="Sortie 12 2" xfId="7071"/>
    <cellStyle name="Sortie 12 2 2" xfId="7072"/>
    <cellStyle name="Sortie 12 2 3" xfId="11124"/>
    <cellStyle name="Sortie 12 3" xfId="7073"/>
    <cellStyle name="Sortie 12 3 2" xfId="7074"/>
    <cellStyle name="Sortie 12 3 3" xfId="11125"/>
    <cellStyle name="Sortie 12 4" xfId="7075"/>
    <cellStyle name="Sortie 12 5" xfId="11123"/>
    <cellStyle name="Sortie 13" xfId="7076"/>
    <cellStyle name="Sortie 13 2" xfId="7077"/>
    <cellStyle name="Sortie 13 3" xfId="11126"/>
    <cellStyle name="Sortie 14" xfId="7078"/>
    <cellStyle name="Sortie 14 2" xfId="7079"/>
    <cellStyle name="Sortie 14 3" xfId="11127"/>
    <cellStyle name="Sortie 15" xfId="7080"/>
    <cellStyle name="Sortie 15 2" xfId="7081"/>
    <cellStyle name="Sortie 15 3" xfId="11128"/>
    <cellStyle name="Sortie 2" xfId="7082"/>
    <cellStyle name="Sortie 2 2" xfId="7083"/>
    <cellStyle name="Sortie 2 2 2" xfId="7084"/>
    <cellStyle name="Sortie 2 2 3" xfId="11129"/>
    <cellStyle name="Sortie 2 3" xfId="7085"/>
    <cellStyle name="Sortie 2 3 2" xfId="7086"/>
    <cellStyle name="Sortie 2 3 3" xfId="11130"/>
    <cellStyle name="Sortie 2 4" xfId="7087"/>
    <cellStyle name="Sortie 2 4 2" xfId="7088"/>
    <cellStyle name="Sortie 2 4 3" xfId="11131"/>
    <cellStyle name="Sortie 2 5" xfId="7089"/>
    <cellStyle name="Sortie 2 6" xfId="8153"/>
    <cellStyle name="Sortie 3" xfId="7090"/>
    <cellStyle name="Sortie 3 2" xfId="7091"/>
    <cellStyle name="Sortie 3 2 2" xfId="7092"/>
    <cellStyle name="Sortie 3 2 3" xfId="11132"/>
    <cellStyle name="Sortie 3 3" xfId="7093"/>
    <cellStyle name="Sortie 3 3 2" xfId="7094"/>
    <cellStyle name="Sortie 3 3 3" xfId="11133"/>
    <cellStyle name="Sortie 3 4" xfId="7095"/>
    <cellStyle name="Sortie 3 4 2" xfId="7096"/>
    <cellStyle name="Sortie 3 4 3" xfId="11134"/>
    <cellStyle name="Sortie 3 5" xfId="7097"/>
    <cellStyle name="Sortie 3 6" xfId="8154"/>
    <cellStyle name="Sortie 4" xfId="7098"/>
    <cellStyle name="Sortie 4 2" xfId="7099"/>
    <cellStyle name="Sortie 4 2 2" xfId="7100"/>
    <cellStyle name="Sortie 4 2 3" xfId="11135"/>
    <cellStyle name="Sortie 4 3" xfId="7101"/>
    <cellStyle name="Sortie 4 3 2" xfId="7102"/>
    <cellStyle name="Sortie 4 3 3" xfId="11136"/>
    <cellStyle name="Sortie 4 4" xfId="7103"/>
    <cellStyle name="Sortie 4 4 2" xfId="7104"/>
    <cellStyle name="Sortie 4 4 3" xfId="11137"/>
    <cellStyle name="Sortie 4 5" xfId="7105"/>
    <cellStyle name="Sortie 4 6" xfId="8155"/>
    <cellStyle name="Sortie 5" xfId="7106"/>
    <cellStyle name="Sortie 5 2" xfId="7107"/>
    <cellStyle name="Sortie 5 2 2" xfId="7108"/>
    <cellStyle name="Sortie 5 2 3" xfId="11138"/>
    <cellStyle name="Sortie 5 3" xfId="7109"/>
    <cellStyle name="Sortie 5 4" xfId="8156"/>
    <cellStyle name="Sortie 6" xfId="7110"/>
    <cellStyle name="Sortie 6 2" xfId="7111"/>
    <cellStyle name="Sortie 6 3" xfId="11139"/>
    <cellStyle name="Sortie 7" xfId="7112"/>
    <cellStyle name="Sortie 7 2" xfId="7113"/>
    <cellStyle name="Sortie 7 3" xfId="11140"/>
    <cellStyle name="Sortie 8" xfId="7114"/>
    <cellStyle name="Sortie 8 2" xfId="7115"/>
    <cellStyle name="Sortie 8 3" xfId="11141"/>
    <cellStyle name="Sortie 9" xfId="7116"/>
    <cellStyle name="Sortie 9 2" xfId="7117"/>
    <cellStyle name="Sortie 9 3" xfId="11142"/>
    <cellStyle name="Standaard_System" xfId="7118"/>
    <cellStyle name="Standard 2" xfId="7119"/>
    <cellStyle name="Standard 2 2" xfId="7120"/>
    <cellStyle name="Standard 2 3" xfId="11143"/>
    <cellStyle name="Standard 3" xfId="7121"/>
    <cellStyle name="Standard 3 10" xfId="7122"/>
    <cellStyle name="Standard 3 10 2" xfId="7123"/>
    <cellStyle name="Standard 3 10 3" xfId="11145"/>
    <cellStyle name="Standard 3 11" xfId="7124"/>
    <cellStyle name="Standard 3 11 2" xfId="7125"/>
    <cellStyle name="Standard 3 11 3" xfId="11146"/>
    <cellStyle name="Standard 3 12" xfId="7126"/>
    <cellStyle name="Standard 3 12 2" xfId="7127"/>
    <cellStyle name="Standard 3 12 3" xfId="11147"/>
    <cellStyle name="Standard 3 13" xfId="7128"/>
    <cellStyle name="Standard 3 13 2" xfId="7129"/>
    <cellStyle name="Standard 3 13 3" xfId="11148"/>
    <cellStyle name="Standard 3 14" xfId="7130"/>
    <cellStyle name="Standard 3 15" xfId="11144"/>
    <cellStyle name="Standard 3 2" xfId="7131"/>
    <cellStyle name="Standard 3 2 2" xfId="7132"/>
    <cellStyle name="Standard 3 2 3" xfId="11149"/>
    <cellStyle name="Standard 3 3" xfId="7133"/>
    <cellStyle name="Standard 3 3 2" xfId="7134"/>
    <cellStyle name="Standard 3 3 3" xfId="11150"/>
    <cellStyle name="Standard 3 4" xfId="7135"/>
    <cellStyle name="Standard 3 4 2" xfId="7136"/>
    <cellStyle name="Standard 3 4 3" xfId="11151"/>
    <cellStyle name="Standard 3 5" xfId="7137"/>
    <cellStyle name="Standard 3 5 2" xfId="7138"/>
    <cellStyle name="Standard 3 5 3" xfId="11152"/>
    <cellStyle name="Standard 3 6" xfId="7139"/>
    <cellStyle name="Standard 3 6 2" xfId="7140"/>
    <cellStyle name="Standard 3 6 3" xfId="11153"/>
    <cellStyle name="Standard 3 7" xfId="7141"/>
    <cellStyle name="Standard 3 7 2" xfId="7142"/>
    <cellStyle name="Standard 3 7 3" xfId="11154"/>
    <cellStyle name="Standard 3 8" xfId="7143"/>
    <cellStyle name="Standard 3 8 2" xfId="7144"/>
    <cellStyle name="Standard 3 8 3" xfId="11155"/>
    <cellStyle name="Standard 3 9" xfId="7145"/>
    <cellStyle name="Standard 3 9 2" xfId="7146"/>
    <cellStyle name="Standard 3 9 3" xfId="11156"/>
    <cellStyle name="Standard_Budget 2006 WWW_new" xfId="7147"/>
    <cellStyle name="TableHead" xfId="7148"/>
    <cellStyle name="TableHead 2" xfId="7149"/>
    <cellStyle name="TableHead 3" xfId="11157"/>
    <cellStyle name="Texte explicatif 10" xfId="7150"/>
    <cellStyle name="Texte explicatif 10 2" xfId="7151"/>
    <cellStyle name="Texte explicatif 10 3" xfId="11158"/>
    <cellStyle name="Texte explicatif 11" xfId="7152"/>
    <cellStyle name="Texte explicatif 11 2" xfId="7153"/>
    <cellStyle name="Texte explicatif 11 2 2" xfId="7154"/>
    <cellStyle name="Texte explicatif 11 2 3" xfId="11160"/>
    <cellStyle name="Texte explicatif 11 3" xfId="7155"/>
    <cellStyle name="Texte explicatif 11 4" xfId="11159"/>
    <cellStyle name="Texte explicatif 12" xfId="7156"/>
    <cellStyle name="Texte explicatif 12 2" xfId="7157"/>
    <cellStyle name="Texte explicatif 12 3" xfId="11161"/>
    <cellStyle name="Texte explicatif 13" xfId="7158"/>
    <cellStyle name="Texte explicatif 13 2" xfId="7159"/>
    <cellStyle name="Texte explicatif 13 3" xfId="11162"/>
    <cellStyle name="Texte explicatif 2" xfId="7160"/>
    <cellStyle name="Texte explicatif 2 2" xfId="7161"/>
    <cellStyle name="Texte explicatif 2 2 2" xfId="7162"/>
    <cellStyle name="Texte explicatif 2 2 3" xfId="11163"/>
    <cellStyle name="Texte explicatif 2 3" xfId="7163"/>
    <cellStyle name="Texte explicatif 2 3 2" xfId="7164"/>
    <cellStyle name="Texte explicatif 2 3 3" xfId="11164"/>
    <cellStyle name="Texte explicatif 2 4" xfId="7165"/>
    <cellStyle name="Texte explicatif 2 4 2" xfId="7166"/>
    <cellStyle name="Texte explicatif 2 4 3" xfId="11165"/>
    <cellStyle name="Texte explicatif 2 5" xfId="7167"/>
    <cellStyle name="Texte explicatif 2 6" xfId="8157"/>
    <cellStyle name="Texte explicatif 3" xfId="7168"/>
    <cellStyle name="Texte explicatif 3 2" xfId="7169"/>
    <cellStyle name="Texte explicatif 3 2 2" xfId="7170"/>
    <cellStyle name="Texte explicatif 3 2 3" xfId="11166"/>
    <cellStyle name="Texte explicatif 3 3" xfId="7171"/>
    <cellStyle name="Texte explicatif 3 3 2" xfId="7172"/>
    <cellStyle name="Texte explicatif 3 3 3" xfId="11167"/>
    <cellStyle name="Texte explicatif 3 4" xfId="7173"/>
    <cellStyle name="Texte explicatif 3 4 2" xfId="7174"/>
    <cellStyle name="Texte explicatif 3 4 3" xfId="11168"/>
    <cellStyle name="Texte explicatif 3 5" xfId="7175"/>
    <cellStyle name="Texte explicatif 3 6" xfId="8158"/>
    <cellStyle name="Texte explicatif 4" xfId="7176"/>
    <cellStyle name="Texte explicatif 4 2" xfId="7177"/>
    <cellStyle name="Texte explicatif 4 2 2" xfId="7178"/>
    <cellStyle name="Texte explicatif 4 2 3" xfId="11169"/>
    <cellStyle name="Texte explicatif 4 3" xfId="7179"/>
    <cellStyle name="Texte explicatif 4 3 2" xfId="7180"/>
    <cellStyle name="Texte explicatif 4 3 3" xfId="11170"/>
    <cellStyle name="Texte explicatif 4 4" xfId="7181"/>
    <cellStyle name="Texte explicatif 4 4 2" xfId="7182"/>
    <cellStyle name="Texte explicatif 4 4 3" xfId="11171"/>
    <cellStyle name="Texte explicatif 4 5" xfId="7183"/>
    <cellStyle name="Texte explicatif 4 6" xfId="8159"/>
    <cellStyle name="Texte explicatif 5" xfId="7184"/>
    <cellStyle name="Texte explicatif 5 2" xfId="7185"/>
    <cellStyle name="Texte explicatif 5 2 2" xfId="7186"/>
    <cellStyle name="Texte explicatif 5 2 3" xfId="11172"/>
    <cellStyle name="Texte explicatif 5 3" xfId="7187"/>
    <cellStyle name="Texte explicatif 5 4" xfId="8160"/>
    <cellStyle name="Texte explicatif 6" xfId="7188"/>
    <cellStyle name="Texte explicatif 6 2" xfId="7189"/>
    <cellStyle name="Texte explicatif 6 3" xfId="11173"/>
    <cellStyle name="Texte explicatif 7" xfId="7190"/>
    <cellStyle name="Texte explicatif 7 2" xfId="7191"/>
    <cellStyle name="Texte explicatif 7 3" xfId="11174"/>
    <cellStyle name="Texte explicatif 8" xfId="7192"/>
    <cellStyle name="Texte explicatif 8 2" xfId="7193"/>
    <cellStyle name="Texte explicatif 8 3" xfId="11175"/>
    <cellStyle name="Texte explicatif 9" xfId="7194"/>
    <cellStyle name="Texte explicatif 9 2" xfId="7195"/>
    <cellStyle name="Texte explicatif 9 3" xfId="11176"/>
    <cellStyle name="Title" xfId="7196"/>
    <cellStyle name="Title 2" xfId="7197"/>
    <cellStyle name="Title 3" xfId="11177"/>
    <cellStyle name="Titre 1" xfId="7198"/>
    <cellStyle name="Titre 1 2" xfId="7199"/>
    <cellStyle name="Titre 1 3" xfId="11178"/>
    <cellStyle name="Titre 10" xfId="7200"/>
    <cellStyle name="Titre 10 2" xfId="7201"/>
    <cellStyle name="Titre 10 3" xfId="11179"/>
    <cellStyle name="Titre 11" xfId="7202"/>
    <cellStyle name="Titre 11 2" xfId="7203"/>
    <cellStyle name="Titre 11 2 2" xfId="7204"/>
    <cellStyle name="Titre 11 2 3" xfId="11181"/>
    <cellStyle name="Titre 11 3" xfId="7205"/>
    <cellStyle name="Titre 11 3 2" xfId="7206"/>
    <cellStyle name="Titre 11 3 3" xfId="11182"/>
    <cellStyle name="Titre 11 4" xfId="7207"/>
    <cellStyle name="Titre 11 4 2" xfId="7208"/>
    <cellStyle name="Titre 11 4 3" xfId="11183"/>
    <cellStyle name="Titre 11 5" xfId="7209"/>
    <cellStyle name="Titre 11 6" xfId="11180"/>
    <cellStyle name="Titre 12" xfId="7210"/>
    <cellStyle name="Titre 12 2" xfId="7211"/>
    <cellStyle name="Titre 12 2 2" xfId="7212"/>
    <cellStyle name="Titre 12 2 3" xfId="11185"/>
    <cellStyle name="Titre 12 3" xfId="7213"/>
    <cellStyle name="Titre 12 3 2" xfId="7214"/>
    <cellStyle name="Titre 12 3 3" xfId="11186"/>
    <cellStyle name="Titre 12 4" xfId="7215"/>
    <cellStyle name="Titre 12 5" xfId="11184"/>
    <cellStyle name="Titre 13" xfId="7216"/>
    <cellStyle name="Titre 13 2" xfId="7217"/>
    <cellStyle name="Titre 13 3" xfId="11187"/>
    <cellStyle name="Titre 14" xfId="7218"/>
    <cellStyle name="Titre 14 2" xfId="7219"/>
    <cellStyle name="Titre 14 3" xfId="11188"/>
    <cellStyle name="Titre 15" xfId="7220"/>
    <cellStyle name="Titre 15 2" xfId="7221"/>
    <cellStyle name="Titre 15 3" xfId="11189"/>
    <cellStyle name="Titre 2" xfId="7222"/>
    <cellStyle name="Titre 2 2" xfId="7223"/>
    <cellStyle name="Titre 2 2 2" xfId="7224"/>
    <cellStyle name="Titre 2 2 3" xfId="11190"/>
    <cellStyle name="Titre 2 3" xfId="7225"/>
    <cellStyle name="Titre 2 3 2" xfId="7226"/>
    <cellStyle name="Titre 2 3 3" xfId="11191"/>
    <cellStyle name="Titre 2 4" xfId="7227"/>
    <cellStyle name="Titre 2 4 2" xfId="7228"/>
    <cellStyle name="Titre 2 4 3" xfId="11192"/>
    <cellStyle name="Titre 2 5" xfId="7229"/>
    <cellStyle name="Titre 2 6" xfId="8161"/>
    <cellStyle name="Titre 3" xfId="7230"/>
    <cellStyle name="Titre 3 2" xfId="7231"/>
    <cellStyle name="Titre 3 2 2" xfId="7232"/>
    <cellStyle name="Titre 3 2 3" xfId="11193"/>
    <cellStyle name="Titre 3 3" xfId="7233"/>
    <cellStyle name="Titre 3 3 2" xfId="7234"/>
    <cellStyle name="Titre 3 3 3" xfId="11194"/>
    <cellStyle name="Titre 3 4" xfId="7235"/>
    <cellStyle name="Titre 3 4 2" xfId="7236"/>
    <cellStyle name="Titre 3 4 3" xfId="11195"/>
    <cellStyle name="Titre 3 5" xfId="7237"/>
    <cellStyle name="Titre 3 6" xfId="8162"/>
    <cellStyle name="Titre 4" xfId="7238"/>
    <cellStyle name="Titre 4 2" xfId="7239"/>
    <cellStyle name="Titre 4 2 2" xfId="7240"/>
    <cellStyle name="Titre 4 2 3" xfId="11196"/>
    <cellStyle name="Titre 4 3" xfId="7241"/>
    <cellStyle name="Titre 4 3 2" xfId="7242"/>
    <cellStyle name="Titre 4 3 3" xfId="11197"/>
    <cellStyle name="Titre 4 4" xfId="7243"/>
    <cellStyle name="Titre 4 4 2" xfId="7244"/>
    <cellStyle name="Titre 4 4 3" xfId="11198"/>
    <cellStyle name="Titre 4 5" xfId="7245"/>
    <cellStyle name="Titre 4 6" xfId="8163"/>
    <cellStyle name="Titre 5" xfId="7246"/>
    <cellStyle name="Titre 5 2" xfId="7247"/>
    <cellStyle name="Titre 5 2 2" xfId="7248"/>
    <cellStyle name="Titre 5 2 3" xfId="11199"/>
    <cellStyle name="Titre 5 3" xfId="7249"/>
    <cellStyle name="Titre 5 4" xfId="8164"/>
    <cellStyle name="Titre 6" xfId="7250"/>
    <cellStyle name="Titre 6 2" xfId="7251"/>
    <cellStyle name="Titre 6 3" xfId="11200"/>
    <cellStyle name="Titre 7" xfId="7252"/>
    <cellStyle name="Titre 7 2" xfId="7253"/>
    <cellStyle name="Titre 7 3" xfId="11201"/>
    <cellStyle name="Titre 8" xfId="7254"/>
    <cellStyle name="Titre 8 2" xfId="7255"/>
    <cellStyle name="Titre 8 3" xfId="11202"/>
    <cellStyle name="Titre 9" xfId="7256"/>
    <cellStyle name="Titre 9 2" xfId="7257"/>
    <cellStyle name="Titre 9 3" xfId="11203"/>
    <cellStyle name="Titre de la feuille" xfId="7258"/>
    <cellStyle name="Titre de la feuille 2" xfId="7259"/>
    <cellStyle name="Titre de la feuille 3" xfId="11204"/>
    <cellStyle name="Titre 1 10" xfId="7260"/>
    <cellStyle name="Titre 1 10 2" xfId="7261"/>
    <cellStyle name="Titre 1 10 3" xfId="11205"/>
    <cellStyle name="Titre 1 11" xfId="7262"/>
    <cellStyle name="Titre 1 11 2" xfId="7263"/>
    <cellStyle name="Titre 1 11 2 2" xfId="7264"/>
    <cellStyle name="Titre 1 11 2 3" xfId="11207"/>
    <cellStyle name="Titre 1 11 3" xfId="7265"/>
    <cellStyle name="Titre 1 11 3 2" xfId="7266"/>
    <cellStyle name="Titre 1 11 3 3" xfId="11208"/>
    <cellStyle name="Titre 1 11 4" xfId="7267"/>
    <cellStyle name="Titre 1 11 4 2" xfId="7268"/>
    <cellStyle name="Titre 1 11 4 3" xfId="11209"/>
    <cellStyle name="Titre 1 11 5" xfId="7269"/>
    <cellStyle name="Titre 1 11 6" xfId="11206"/>
    <cellStyle name="Titre 1 12" xfId="7270"/>
    <cellStyle name="Titre 1 12 2" xfId="7271"/>
    <cellStyle name="Titre 1 12 2 2" xfId="7272"/>
    <cellStyle name="Titre 1 12 2 3" xfId="11211"/>
    <cellStyle name="Titre 1 12 3" xfId="7273"/>
    <cellStyle name="Titre 1 12 3 2" xfId="7274"/>
    <cellStyle name="Titre 1 12 3 3" xfId="11212"/>
    <cellStyle name="Titre 1 12 4" xfId="7275"/>
    <cellStyle name="Titre 1 12 5" xfId="11210"/>
    <cellStyle name="Titre 1 13" xfId="7276"/>
    <cellStyle name="Titre 1 13 2" xfId="7277"/>
    <cellStyle name="Titre 1 13 3" xfId="11213"/>
    <cellStyle name="Titre 1 14" xfId="7278"/>
    <cellStyle name="Titre 1 14 2" xfId="7279"/>
    <cellStyle name="Titre 1 14 3" xfId="11214"/>
    <cellStyle name="Titre 1 15" xfId="7280"/>
    <cellStyle name="Titre 1 15 2" xfId="7281"/>
    <cellStyle name="Titre 1 15 3" xfId="11215"/>
    <cellStyle name="Titre 1 2" xfId="7282"/>
    <cellStyle name="Titre 1 2 2" xfId="7283"/>
    <cellStyle name="Titre 1 2 2 2" xfId="7284"/>
    <cellStyle name="Titre 1 2 2 3" xfId="11216"/>
    <cellStyle name="Titre 1 2 3" xfId="7285"/>
    <cellStyle name="Titre 1 2 3 2" xfId="7286"/>
    <cellStyle name="Titre 1 2 3 3" xfId="11217"/>
    <cellStyle name="Titre 1 2 4" xfId="7287"/>
    <cellStyle name="Titre 1 2 4 2" xfId="7288"/>
    <cellStyle name="Titre 1 2 4 3" xfId="11218"/>
    <cellStyle name="Titre 1 2 5" xfId="7289"/>
    <cellStyle name="Titre 1 2 6" xfId="8165"/>
    <cellStyle name="Titre 1 3" xfId="7290"/>
    <cellStyle name="Titre 1 3 2" xfId="7291"/>
    <cellStyle name="Titre 1 3 2 2" xfId="7292"/>
    <cellStyle name="Titre 1 3 2 3" xfId="11219"/>
    <cellStyle name="Titre 1 3 3" xfId="7293"/>
    <cellStyle name="Titre 1 3 3 2" xfId="7294"/>
    <cellStyle name="Titre 1 3 3 3" xfId="11220"/>
    <cellStyle name="Titre 1 3 4" xfId="7295"/>
    <cellStyle name="Titre 1 3 4 2" xfId="7296"/>
    <cellStyle name="Titre 1 3 4 3" xfId="11221"/>
    <cellStyle name="Titre 1 3 5" xfId="7297"/>
    <cellStyle name="Titre 1 3 6" xfId="8166"/>
    <cellStyle name="Titre 1 4" xfId="7298"/>
    <cellStyle name="Titre 1 4 2" xfId="7299"/>
    <cellStyle name="Titre 1 4 2 2" xfId="7300"/>
    <cellStyle name="Titre 1 4 2 3" xfId="11222"/>
    <cellStyle name="Titre 1 4 3" xfId="7301"/>
    <cellStyle name="Titre 1 4 3 2" xfId="7302"/>
    <cellStyle name="Titre 1 4 3 3" xfId="11223"/>
    <cellStyle name="Titre 1 4 4" xfId="7303"/>
    <cellStyle name="Titre 1 4 4 2" xfId="7304"/>
    <cellStyle name="Titre 1 4 4 3" xfId="11224"/>
    <cellStyle name="Titre 1 4 5" xfId="7305"/>
    <cellStyle name="Titre 1 4 6" xfId="8167"/>
    <cellStyle name="Titre 1 5" xfId="7306"/>
    <cellStyle name="Titre 1 5 2" xfId="7307"/>
    <cellStyle name="Titre 1 5 2 2" xfId="7308"/>
    <cellStyle name="Titre 1 5 2 3" xfId="11225"/>
    <cellStyle name="Titre 1 5 3" xfId="7309"/>
    <cellStyle name="Titre 1 5 4" xfId="8168"/>
    <cellStyle name="Titre 1 6" xfId="7310"/>
    <cellStyle name="Titre 1 6 2" xfId="7311"/>
    <cellStyle name="Titre 1 6 2 2" xfId="7312"/>
    <cellStyle name="Titre 1 6 2 3" xfId="11227"/>
    <cellStyle name="Titre 1 6 3" xfId="7313"/>
    <cellStyle name="Titre 1 6 4" xfId="11226"/>
    <cellStyle name="Titre 1 7" xfId="7314"/>
    <cellStyle name="Titre 1 7 2" xfId="7315"/>
    <cellStyle name="Titre 1 7 3" xfId="11228"/>
    <cellStyle name="Titre 1 8" xfId="7316"/>
    <cellStyle name="Titre 1 8 2" xfId="7317"/>
    <cellStyle name="Titre 1 8 3" xfId="11229"/>
    <cellStyle name="Titre 1 9" xfId="7318"/>
    <cellStyle name="Titre 1 9 2" xfId="7319"/>
    <cellStyle name="Titre 1 9 3" xfId="11230"/>
    <cellStyle name="Titre 2 10" xfId="7320"/>
    <cellStyle name="Titre 2 10 2" xfId="7321"/>
    <cellStyle name="Titre 2 10 3" xfId="11231"/>
    <cellStyle name="Titre 2 11" xfId="7322"/>
    <cellStyle name="Titre 2 11 2" xfId="7323"/>
    <cellStyle name="Titre 2 11 2 2" xfId="7324"/>
    <cellStyle name="Titre 2 11 2 3" xfId="11233"/>
    <cellStyle name="Titre 2 11 3" xfId="7325"/>
    <cellStyle name="Titre 2 11 3 2" xfId="7326"/>
    <cellStyle name="Titre 2 11 3 3" xfId="11234"/>
    <cellStyle name="Titre 2 11 4" xfId="7327"/>
    <cellStyle name="Titre 2 11 4 2" xfId="7328"/>
    <cellStyle name="Titre 2 11 4 3" xfId="11235"/>
    <cellStyle name="Titre 2 11 5" xfId="7329"/>
    <cellStyle name="Titre 2 11 6" xfId="11232"/>
    <cellStyle name="Titre 2 12" xfId="7330"/>
    <cellStyle name="Titre 2 12 2" xfId="7331"/>
    <cellStyle name="Titre 2 12 2 2" xfId="7332"/>
    <cellStyle name="Titre 2 12 2 3" xfId="11237"/>
    <cellStyle name="Titre 2 12 3" xfId="7333"/>
    <cellStyle name="Titre 2 12 3 2" xfId="7334"/>
    <cellStyle name="Titre 2 12 3 3" xfId="11238"/>
    <cellStyle name="Titre 2 12 4" xfId="7335"/>
    <cellStyle name="Titre 2 12 5" xfId="11236"/>
    <cellStyle name="Titre 2 13" xfId="7336"/>
    <cellStyle name="Titre 2 13 2" xfId="7337"/>
    <cellStyle name="Titre 2 13 3" xfId="11239"/>
    <cellStyle name="Titre 2 14" xfId="7338"/>
    <cellStyle name="Titre 2 14 2" xfId="7339"/>
    <cellStyle name="Titre 2 14 3" xfId="11240"/>
    <cellStyle name="Titre 2 15" xfId="7340"/>
    <cellStyle name="Titre 2 15 2" xfId="7341"/>
    <cellStyle name="Titre 2 15 3" xfId="11241"/>
    <cellStyle name="Titre 2 2" xfId="7342"/>
    <cellStyle name="Titre 2 2 2" xfId="7343"/>
    <cellStyle name="Titre 2 2 2 2" xfId="7344"/>
    <cellStyle name="Titre 2 2 2 3" xfId="11242"/>
    <cellStyle name="Titre 2 2 3" xfId="7345"/>
    <cellStyle name="Titre 2 2 3 2" xfId="7346"/>
    <cellStyle name="Titre 2 2 3 3" xfId="11243"/>
    <cellStyle name="Titre 2 2 4" xfId="7347"/>
    <cellStyle name="Titre 2 2 4 2" xfId="7348"/>
    <cellStyle name="Titre 2 2 4 3" xfId="11244"/>
    <cellStyle name="Titre 2 2 5" xfId="7349"/>
    <cellStyle name="Titre 2 2 6" xfId="8169"/>
    <cellStyle name="Titre 2 3" xfId="7350"/>
    <cellStyle name="Titre 2 3 2" xfId="7351"/>
    <cellStyle name="Titre 2 3 2 2" xfId="7352"/>
    <cellStyle name="Titre 2 3 2 3" xfId="11245"/>
    <cellStyle name="Titre 2 3 3" xfId="7353"/>
    <cellStyle name="Titre 2 3 3 2" xfId="7354"/>
    <cellStyle name="Titre 2 3 3 3" xfId="11246"/>
    <cellStyle name="Titre 2 3 4" xfId="7355"/>
    <cellStyle name="Titre 2 3 4 2" xfId="7356"/>
    <cellStyle name="Titre 2 3 4 3" xfId="11247"/>
    <cellStyle name="Titre 2 3 5" xfId="7357"/>
    <cellStyle name="Titre 2 3 6" xfId="8170"/>
    <cellStyle name="Titre 2 4" xfId="7358"/>
    <cellStyle name="Titre 2 4 2" xfId="7359"/>
    <cellStyle name="Titre 2 4 2 2" xfId="7360"/>
    <cellStyle name="Titre 2 4 2 3" xfId="11248"/>
    <cellStyle name="Titre 2 4 3" xfId="7361"/>
    <cellStyle name="Titre 2 4 3 2" xfId="7362"/>
    <cellStyle name="Titre 2 4 3 3" xfId="11249"/>
    <cellStyle name="Titre 2 4 4" xfId="7363"/>
    <cellStyle name="Titre 2 4 4 2" xfId="7364"/>
    <cellStyle name="Titre 2 4 4 3" xfId="11250"/>
    <cellStyle name="Titre 2 4 5" xfId="7365"/>
    <cellStyle name="Titre 2 4 6" xfId="8171"/>
    <cellStyle name="Titre 2 5" xfId="7366"/>
    <cellStyle name="Titre 2 5 2" xfId="7367"/>
    <cellStyle name="Titre 2 5 2 2" xfId="7368"/>
    <cellStyle name="Titre 2 5 2 3" xfId="11251"/>
    <cellStyle name="Titre 2 5 3" xfId="7369"/>
    <cellStyle name="Titre 2 5 4" xfId="8172"/>
    <cellStyle name="Titre 2 6" xfId="7370"/>
    <cellStyle name="Titre 2 6 2" xfId="7371"/>
    <cellStyle name="Titre 2 6 2 2" xfId="7372"/>
    <cellStyle name="Titre 2 6 2 3" xfId="11253"/>
    <cellStyle name="Titre 2 6 3" xfId="7373"/>
    <cellStyle name="Titre 2 6 4" xfId="11252"/>
    <cellStyle name="Titre 2 7" xfId="7374"/>
    <cellStyle name="Titre 2 7 2" xfId="7375"/>
    <cellStyle name="Titre 2 7 3" xfId="11254"/>
    <cellStyle name="Titre 2 8" xfId="7376"/>
    <cellStyle name="Titre 2 8 2" xfId="7377"/>
    <cellStyle name="Titre 2 8 3" xfId="11255"/>
    <cellStyle name="Titre 2 9" xfId="7378"/>
    <cellStyle name="Titre 2 9 2" xfId="7379"/>
    <cellStyle name="Titre 2 9 3" xfId="11256"/>
    <cellStyle name="Titre 3 10" xfId="7380"/>
    <cellStyle name="Titre 3 10 2" xfId="7381"/>
    <cellStyle name="Titre 3 10 3" xfId="11257"/>
    <cellStyle name="Titre 3 11" xfId="7382"/>
    <cellStyle name="Titre 3 11 2" xfId="7383"/>
    <cellStyle name="Titre 3 11 2 2" xfId="7384"/>
    <cellStyle name="Titre 3 11 2 3" xfId="11259"/>
    <cellStyle name="Titre 3 11 3" xfId="7385"/>
    <cellStyle name="Titre 3 11 3 2" xfId="7386"/>
    <cellStyle name="Titre 3 11 3 3" xfId="11260"/>
    <cellStyle name="Titre 3 11 4" xfId="7387"/>
    <cellStyle name="Titre 3 11 4 2" xfId="7388"/>
    <cellStyle name="Titre 3 11 4 3" xfId="11261"/>
    <cellStyle name="Titre 3 11 5" xfId="7389"/>
    <cellStyle name="Titre 3 11 6" xfId="11258"/>
    <cellStyle name="Titre 3 12" xfId="7390"/>
    <cellStyle name="Titre 3 12 2" xfId="7391"/>
    <cellStyle name="Titre 3 12 2 2" xfId="7392"/>
    <cellStyle name="Titre 3 12 2 3" xfId="11263"/>
    <cellStyle name="Titre 3 12 3" xfId="7393"/>
    <cellStyle name="Titre 3 12 3 2" xfId="7394"/>
    <cellStyle name="Titre 3 12 3 3" xfId="11264"/>
    <cellStyle name="Titre 3 12 4" xfId="7395"/>
    <cellStyle name="Titre 3 12 5" xfId="11262"/>
    <cellStyle name="Titre 3 13" xfId="7396"/>
    <cellStyle name="Titre 3 13 2" xfId="7397"/>
    <cellStyle name="Titre 3 13 3" xfId="11265"/>
    <cellStyle name="Titre 3 14" xfId="7398"/>
    <cellStyle name="Titre 3 14 2" xfId="7399"/>
    <cellStyle name="Titre 3 14 3" xfId="11266"/>
    <cellStyle name="Titre 3 15" xfId="7400"/>
    <cellStyle name="Titre 3 15 2" xfId="7401"/>
    <cellStyle name="Titre 3 15 3" xfId="11267"/>
    <cellStyle name="Titre 3 2" xfId="7402"/>
    <cellStyle name="Titre 3 2 2" xfId="7403"/>
    <cellStyle name="Titre 3 2 2 2" xfId="7404"/>
    <cellStyle name="Titre 3 2 2 3" xfId="11268"/>
    <cellStyle name="Titre 3 2 3" xfId="7405"/>
    <cellStyle name="Titre 3 2 3 2" xfId="7406"/>
    <cellStyle name="Titre 3 2 3 3" xfId="11269"/>
    <cellStyle name="Titre 3 2 4" xfId="7407"/>
    <cellStyle name="Titre 3 2 4 2" xfId="7408"/>
    <cellStyle name="Titre 3 2 4 3" xfId="11270"/>
    <cellStyle name="Titre 3 2 5" xfId="7409"/>
    <cellStyle name="Titre 3 2 6" xfId="8173"/>
    <cellStyle name="Titre 3 3" xfId="7410"/>
    <cellStyle name="Titre 3 3 2" xfId="7411"/>
    <cellStyle name="Titre 3 3 2 2" xfId="7412"/>
    <cellStyle name="Titre 3 3 2 3" xfId="11271"/>
    <cellStyle name="Titre 3 3 3" xfId="7413"/>
    <cellStyle name="Titre 3 3 3 2" xfId="7414"/>
    <cellStyle name="Titre 3 3 3 3" xfId="11272"/>
    <cellStyle name="Titre 3 3 4" xfId="7415"/>
    <cellStyle name="Titre 3 3 4 2" xfId="7416"/>
    <cellStyle name="Titre 3 3 4 3" xfId="11273"/>
    <cellStyle name="Titre 3 3 5" xfId="7417"/>
    <cellStyle name="Titre 3 3 6" xfId="8174"/>
    <cellStyle name="Titre 3 4" xfId="7418"/>
    <cellStyle name="Titre 3 4 2" xfId="7419"/>
    <cellStyle name="Titre 3 4 2 2" xfId="7420"/>
    <cellStyle name="Titre 3 4 2 3" xfId="11274"/>
    <cellStyle name="Titre 3 4 3" xfId="7421"/>
    <cellStyle name="Titre 3 4 3 2" xfId="7422"/>
    <cellStyle name="Titre 3 4 3 3" xfId="11275"/>
    <cellStyle name="Titre 3 4 4" xfId="7423"/>
    <cellStyle name="Titre 3 4 4 2" xfId="7424"/>
    <cellStyle name="Titre 3 4 4 3" xfId="11276"/>
    <cellStyle name="Titre 3 4 5" xfId="7425"/>
    <cellStyle name="Titre 3 4 6" xfId="8175"/>
    <cellStyle name="Titre 3 5" xfId="7426"/>
    <cellStyle name="Titre 3 5 2" xfId="7427"/>
    <cellStyle name="Titre 3 5 2 2" xfId="7428"/>
    <cellStyle name="Titre 3 5 2 3" xfId="11277"/>
    <cellStyle name="Titre 3 5 3" xfId="7429"/>
    <cellStyle name="Titre 3 5 4" xfId="8176"/>
    <cellStyle name="Titre 3 6" xfId="7430"/>
    <cellStyle name="Titre 3 6 2" xfId="7431"/>
    <cellStyle name="Titre 3 6 2 2" xfId="7432"/>
    <cellStyle name="Titre 3 6 2 3" xfId="11279"/>
    <cellStyle name="Titre 3 6 3" xfId="7433"/>
    <cellStyle name="Titre 3 6 4" xfId="11278"/>
    <cellStyle name="Titre 3 7" xfId="7434"/>
    <cellStyle name="Titre 3 7 2" xfId="7435"/>
    <cellStyle name="Titre 3 7 3" xfId="11280"/>
    <cellStyle name="Titre 3 8" xfId="7436"/>
    <cellStyle name="Titre 3 8 2" xfId="7437"/>
    <cellStyle name="Titre 3 8 3" xfId="11281"/>
    <cellStyle name="Titre 3 9" xfId="7438"/>
    <cellStyle name="Titre 3 9 2" xfId="7439"/>
    <cellStyle name="Titre 3 9 3" xfId="11282"/>
    <cellStyle name="Titre 4 10" xfId="7440"/>
    <cellStyle name="Titre 4 10 2" xfId="7441"/>
    <cellStyle name="Titre 4 10 3" xfId="11283"/>
    <cellStyle name="Titre 4 11" xfId="7442"/>
    <cellStyle name="Titre 4 11 2" xfId="7443"/>
    <cellStyle name="Titre 4 11 2 2" xfId="7444"/>
    <cellStyle name="Titre 4 11 2 3" xfId="11285"/>
    <cellStyle name="Titre 4 11 3" xfId="7445"/>
    <cellStyle name="Titre 4 11 3 2" xfId="7446"/>
    <cellStyle name="Titre 4 11 3 3" xfId="11286"/>
    <cellStyle name="Titre 4 11 4" xfId="7447"/>
    <cellStyle name="Titre 4 11 4 2" xfId="7448"/>
    <cellStyle name="Titre 4 11 4 3" xfId="11287"/>
    <cellStyle name="Titre 4 11 5" xfId="7449"/>
    <cellStyle name="Titre 4 11 6" xfId="11284"/>
    <cellStyle name="Titre 4 12" xfId="7450"/>
    <cellStyle name="Titre 4 12 2" xfId="7451"/>
    <cellStyle name="Titre 4 12 2 2" xfId="7452"/>
    <cellStyle name="Titre 4 12 2 3" xfId="11289"/>
    <cellStyle name="Titre 4 12 3" xfId="7453"/>
    <cellStyle name="Titre 4 12 3 2" xfId="7454"/>
    <cellStyle name="Titre 4 12 3 3" xfId="11290"/>
    <cellStyle name="Titre 4 12 4" xfId="7455"/>
    <cellStyle name="Titre 4 12 5" xfId="11288"/>
    <cellStyle name="Titre 4 13" xfId="7456"/>
    <cellStyle name="Titre 4 13 2" xfId="7457"/>
    <cellStyle name="Titre 4 13 3" xfId="11291"/>
    <cellStyle name="Titre 4 14" xfId="7458"/>
    <cellStyle name="Titre 4 14 2" xfId="7459"/>
    <cellStyle name="Titre 4 14 3" xfId="11292"/>
    <cellStyle name="Titre 4 15" xfId="7460"/>
    <cellStyle name="Titre 4 15 2" xfId="7461"/>
    <cellStyle name="Titre 4 15 3" xfId="11293"/>
    <cellStyle name="Titre 4 2" xfId="7462"/>
    <cellStyle name="Titre 4 2 2" xfId="7463"/>
    <cellStyle name="Titre 4 2 2 2" xfId="7464"/>
    <cellStyle name="Titre 4 2 2 3" xfId="11294"/>
    <cellStyle name="Titre 4 2 3" xfId="7465"/>
    <cellStyle name="Titre 4 2 3 2" xfId="7466"/>
    <cellStyle name="Titre 4 2 3 3" xfId="11295"/>
    <cellStyle name="Titre 4 2 4" xfId="7467"/>
    <cellStyle name="Titre 4 2 4 2" xfId="7468"/>
    <cellStyle name="Titre 4 2 4 3" xfId="11296"/>
    <cellStyle name="Titre 4 2 5" xfId="7469"/>
    <cellStyle name="Titre 4 2 6" xfId="8177"/>
    <cellStyle name="Titre 4 3" xfId="7470"/>
    <cellStyle name="Titre 4 3 2" xfId="7471"/>
    <cellStyle name="Titre 4 3 2 2" xfId="7472"/>
    <cellStyle name="Titre 4 3 2 3" xfId="11297"/>
    <cellStyle name="Titre 4 3 3" xfId="7473"/>
    <cellStyle name="Titre 4 3 3 2" xfId="7474"/>
    <cellStyle name="Titre 4 3 3 3" xfId="11298"/>
    <cellStyle name="Titre 4 3 4" xfId="7475"/>
    <cellStyle name="Titre 4 3 4 2" xfId="7476"/>
    <cellStyle name="Titre 4 3 4 3" xfId="11299"/>
    <cellStyle name="Titre 4 3 5" xfId="7477"/>
    <cellStyle name="Titre 4 3 6" xfId="8178"/>
    <cellStyle name="Titre 4 4" xfId="7478"/>
    <cellStyle name="Titre 4 4 2" xfId="7479"/>
    <cellStyle name="Titre 4 4 2 2" xfId="7480"/>
    <cellStyle name="Titre 4 4 2 3" xfId="11300"/>
    <cellStyle name="Titre 4 4 3" xfId="7481"/>
    <cellStyle name="Titre 4 4 3 2" xfId="7482"/>
    <cellStyle name="Titre 4 4 3 3" xfId="11301"/>
    <cellStyle name="Titre 4 4 4" xfId="7483"/>
    <cellStyle name="Titre 4 4 4 2" xfId="7484"/>
    <cellStyle name="Titre 4 4 4 3" xfId="11302"/>
    <cellStyle name="Titre 4 4 5" xfId="7485"/>
    <cellStyle name="Titre 4 4 6" xfId="8179"/>
    <cellStyle name="Titre 4 5" xfId="7486"/>
    <cellStyle name="Titre 4 5 2" xfId="7487"/>
    <cellStyle name="Titre 4 5 2 2" xfId="7488"/>
    <cellStyle name="Titre 4 5 2 3" xfId="11303"/>
    <cellStyle name="Titre 4 5 3" xfId="7489"/>
    <cellStyle name="Titre 4 5 4" xfId="8180"/>
    <cellStyle name="Titre 4 6" xfId="7490"/>
    <cellStyle name="Titre 4 6 2" xfId="7491"/>
    <cellStyle name="Titre 4 6 3" xfId="11304"/>
    <cellStyle name="Titre 4 7" xfId="7492"/>
    <cellStyle name="Titre 4 7 2" xfId="7493"/>
    <cellStyle name="Titre 4 7 3" xfId="11305"/>
    <cellStyle name="Titre 4 8" xfId="7494"/>
    <cellStyle name="Titre 4 8 2" xfId="7495"/>
    <cellStyle name="Titre 4 8 3" xfId="11306"/>
    <cellStyle name="Titre 4 9" xfId="7496"/>
    <cellStyle name="Titre 4 9 2" xfId="7497"/>
    <cellStyle name="Titre 4 9 3" xfId="11307"/>
    <cellStyle name="Total 10" xfId="7498"/>
    <cellStyle name="Total 10 2" xfId="7499"/>
    <cellStyle name="Total 10 2 2" xfId="7500"/>
    <cellStyle name="Total 10 2 3" xfId="11309"/>
    <cellStyle name="Total 10 3" xfId="7501"/>
    <cellStyle name="Total 10 4" xfId="11308"/>
    <cellStyle name="Total 11" xfId="7502"/>
    <cellStyle name="Total 11 2" xfId="7503"/>
    <cellStyle name="Total 11 2 2" xfId="7504"/>
    <cellStyle name="Total 11 2 2 2" xfId="7505"/>
    <cellStyle name="Total 11 2 2 3" xfId="11312"/>
    <cellStyle name="Total 11 2 3" xfId="7506"/>
    <cellStyle name="Total 11 2 4" xfId="11311"/>
    <cellStyle name="Total 11 3" xfId="7507"/>
    <cellStyle name="Total 11 3 2" xfId="7508"/>
    <cellStyle name="Total 11 3 3" xfId="11313"/>
    <cellStyle name="Total 11 4" xfId="7509"/>
    <cellStyle name="Total 11 4 2" xfId="7510"/>
    <cellStyle name="Total 11 4 3" xfId="11314"/>
    <cellStyle name="Total 11 5" xfId="7511"/>
    <cellStyle name="Total 11 6" xfId="11310"/>
    <cellStyle name="Total 12" xfId="7512"/>
    <cellStyle name="Total 12 2" xfId="7513"/>
    <cellStyle name="Total 12 2 2" xfId="7514"/>
    <cellStyle name="Total 12 2 2 2" xfId="7515"/>
    <cellStyle name="Total 12 2 2 3" xfId="11317"/>
    <cellStyle name="Total 12 2 3" xfId="7516"/>
    <cellStyle name="Total 12 2 4" xfId="11316"/>
    <cellStyle name="Total 12 3" xfId="7517"/>
    <cellStyle name="Total 12 3 2" xfId="7518"/>
    <cellStyle name="Total 12 3 3" xfId="11318"/>
    <cellStyle name="Total 12 4" xfId="7519"/>
    <cellStyle name="Total 12 5" xfId="11315"/>
    <cellStyle name="Total 13" xfId="7520"/>
    <cellStyle name="Total 13 2" xfId="7521"/>
    <cellStyle name="Total 13 2 2" xfId="7522"/>
    <cellStyle name="Total 13 2 3" xfId="11320"/>
    <cellStyle name="Total 13 3" xfId="7523"/>
    <cellStyle name="Total 13 4" xfId="11319"/>
    <cellStyle name="Total 14" xfId="7524"/>
    <cellStyle name="Total 14 2" xfId="7525"/>
    <cellStyle name="Total 14 2 2" xfId="7526"/>
    <cellStyle name="Total 14 2 3" xfId="11322"/>
    <cellStyle name="Total 14 3" xfId="7527"/>
    <cellStyle name="Total 14 4" xfId="11321"/>
    <cellStyle name="Total 15" xfId="7528"/>
    <cellStyle name="Total 15 2" xfId="7529"/>
    <cellStyle name="Total 15 2 2" xfId="7530"/>
    <cellStyle name="Total 15 2 3" xfId="11324"/>
    <cellStyle name="Total 15 3" xfId="7531"/>
    <cellStyle name="Total 15 4" xfId="11323"/>
    <cellStyle name="Total 16" xfId="7532"/>
    <cellStyle name="Total 16 2" xfId="7533"/>
    <cellStyle name="Total 16 2 2" xfId="7534"/>
    <cellStyle name="Total 16 2 3" xfId="11325"/>
    <cellStyle name="Total 16 3" xfId="7535"/>
    <cellStyle name="Total 16 4" xfId="8181"/>
    <cellStyle name="Total 17 2" xfId="7536"/>
    <cellStyle name="Total 17 2 2" xfId="7537"/>
    <cellStyle name="Total 17 2 3" xfId="11326"/>
    <cellStyle name="Total 18 2" xfId="7538"/>
    <cellStyle name="Total 18 2 2" xfId="7539"/>
    <cellStyle name="Total 18 2 3" xfId="11327"/>
    <cellStyle name="Total 19 2" xfId="7540"/>
    <cellStyle name="Total 19 2 2" xfId="7541"/>
    <cellStyle name="Total 19 2 3" xfId="11328"/>
    <cellStyle name="Total 2" xfId="7542"/>
    <cellStyle name="Total 2 2" xfId="7543"/>
    <cellStyle name="Total 2 2 2" xfId="7544"/>
    <cellStyle name="Total 2 2 3" xfId="8183"/>
    <cellStyle name="Total 2 3" xfId="7545"/>
    <cellStyle name="Total 2 3 2" xfId="7546"/>
    <cellStyle name="Total 2 3 3" xfId="11329"/>
    <cellStyle name="Total 2 4" xfId="7547"/>
    <cellStyle name="Total 2 5" xfId="8182"/>
    <cellStyle name="Total 20 2" xfId="7548"/>
    <cellStyle name="Total 20 2 2" xfId="7549"/>
    <cellStyle name="Total 20 2 3" xfId="11330"/>
    <cellStyle name="Total 21 2" xfId="7550"/>
    <cellStyle name="Total 21 2 2" xfId="7551"/>
    <cellStyle name="Total 21 2 3" xfId="11331"/>
    <cellStyle name="Total 22 2" xfId="7552"/>
    <cellStyle name="Total 22 2 2" xfId="7553"/>
    <cellStyle name="Total 22 2 3" xfId="11332"/>
    <cellStyle name="Total 23 2" xfId="7554"/>
    <cellStyle name="Total 23 2 2" xfId="7555"/>
    <cellStyle name="Total 23 2 3" xfId="11333"/>
    <cellStyle name="Total 24 2" xfId="7556"/>
    <cellStyle name="Total 24 2 2" xfId="7557"/>
    <cellStyle name="Total 24 2 3" xfId="11334"/>
    <cellStyle name="Total 25 2" xfId="7558"/>
    <cellStyle name="Total 25 2 2" xfId="7559"/>
    <cellStyle name="Total 25 2 3" xfId="11335"/>
    <cellStyle name="Total 26 2" xfId="7560"/>
    <cellStyle name="Total 26 2 2" xfId="7561"/>
    <cellStyle name="Total 26 2 3" xfId="11336"/>
    <cellStyle name="Total 27 2" xfId="7562"/>
    <cellStyle name="Total 27 2 2" xfId="7563"/>
    <cellStyle name="Total 27 2 3" xfId="11337"/>
    <cellStyle name="Total 28 2" xfId="7564"/>
    <cellStyle name="Total 28 2 2" xfId="7565"/>
    <cellStyle name="Total 28 2 3" xfId="11338"/>
    <cellStyle name="Total 29 2" xfId="7566"/>
    <cellStyle name="Total 29 2 2" xfId="7567"/>
    <cellStyle name="Total 29 2 3" xfId="11339"/>
    <cellStyle name="Total 3" xfId="7568"/>
    <cellStyle name="Total 3 2" xfId="7569"/>
    <cellStyle name="Total 3 2 2" xfId="7570"/>
    <cellStyle name="Total 3 2 2 2" xfId="7571"/>
    <cellStyle name="Total 3 2 2 3" xfId="11341"/>
    <cellStyle name="Total 3 2 3" xfId="7572"/>
    <cellStyle name="Total 3 2 4" xfId="11340"/>
    <cellStyle name="Total 3 3" xfId="7573"/>
    <cellStyle name="Total 3 3 2" xfId="7574"/>
    <cellStyle name="Total 3 3 3" xfId="11342"/>
    <cellStyle name="Total 3 4" xfId="7575"/>
    <cellStyle name="Total 3 5" xfId="8184"/>
    <cellStyle name="Total 30 2" xfId="7576"/>
    <cellStyle name="Total 30 2 2" xfId="7577"/>
    <cellStyle name="Total 30 2 3" xfId="11343"/>
    <cellStyle name="Total 31 2" xfId="7578"/>
    <cellStyle name="Total 31 2 2" xfId="7579"/>
    <cellStyle name="Total 31 2 3" xfId="11344"/>
    <cellStyle name="Total 32 2" xfId="7580"/>
    <cellStyle name="Total 32 2 2" xfId="7581"/>
    <cellStyle name="Total 32 2 3" xfId="11345"/>
    <cellStyle name="Total 33 2" xfId="7582"/>
    <cellStyle name="Total 33 2 2" xfId="7583"/>
    <cellStyle name="Total 33 2 3" xfId="11346"/>
    <cellStyle name="Total 34 2" xfId="7584"/>
    <cellStyle name="Total 34 2 2" xfId="7585"/>
    <cellStyle name="Total 34 2 3" xfId="11347"/>
    <cellStyle name="Total 35 2" xfId="7586"/>
    <cellStyle name="Total 35 2 2" xfId="7587"/>
    <cellStyle name="Total 35 2 3" xfId="11348"/>
    <cellStyle name="Total 36 2" xfId="7588"/>
    <cellStyle name="Total 36 2 2" xfId="7589"/>
    <cellStyle name="Total 36 2 3" xfId="11349"/>
    <cellStyle name="Total 37 2" xfId="7590"/>
    <cellStyle name="Total 37 2 2" xfId="7591"/>
    <cellStyle name="Total 37 2 3" xfId="11350"/>
    <cellStyle name="Total 38 2" xfId="7592"/>
    <cellStyle name="Total 38 2 2" xfId="7593"/>
    <cellStyle name="Total 38 2 3" xfId="11351"/>
    <cellStyle name="Total 39 2" xfId="7594"/>
    <cellStyle name="Total 39 2 2" xfId="7595"/>
    <cellStyle name="Total 39 2 3" xfId="11352"/>
    <cellStyle name="Total 4" xfId="7596"/>
    <cellStyle name="Total 4 2" xfId="7597"/>
    <cellStyle name="Total 4 2 2" xfId="7598"/>
    <cellStyle name="Total 4 2 2 2" xfId="7599"/>
    <cellStyle name="Total 4 2 2 3" xfId="11354"/>
    <cellStyle name="Total 4 2 3" xfId="7600"/>
    <cellStyle name="Total 4 2 4" xfId="11353"/>
    <cellStyle name="Total 4 3" xfId="7601"/>
    <cellStyle name="Total 4 3 2" xfId="7602"/>
    <cellStyle name="Total 4 3 3" xfId="11355"/>
    <cellStyle name="Total 4 4" xfId="7603"/>
    <cellStyle name="Total 4 5" xfId="8185"/>
    <cellStyle name="Total 40 2" xfId="7604"/>
    <cellStyle name="Total 40 2 2" xfId="7605"/>
    <cellStyle name="Total 40 2 3" xfId="11356"/>
    <cellStyle name="Total 41 2" xfId="7606"/>
    <cellStyle name="Total 41 2 2" xfId="7607"/>
    <cellStyle name="Total 41 2 3" xfId="11357"/>
    <cellStyle name="Total 42" xfId="7608"/>
    <cellStyle name="Total 42 2" xfId="7609"/>
    <cellStyle name="Total 42 3" xfId="11358"/>
    <cellStyle name="Total 43" xfId="7610"/>
    <cellStyle name="Total 43 2" xfId="7611"/>
    <cellStyle name="Total 43 3" xfId="11359"/>
    <cellStyle name="Total 5" xfId="7612"/>
    <cellStyle name="Total 5 2" xfId="7613"/>
    <cellStyle name="Total 5 2 2" xfId="7614"/>
    <cellStyle name="Total 5 2 2 2" xfId="7615"/>
    <cellStyle name="Total 5 2 2 3" xfId="11361"/>
    <cellStyle name="Total 5 2 3" xfId="7616"/>
    <cellStyle name="Total 5 2 4" xfId="11360"/>
    <cellStyle name="Total 5 3" xfId="7617"/>
    <cellStyle name="Total 5 3 2" xfId="7618"/>
    <cellStyle name="Total 5 3 3" xfId="11362"/>
    <cellStyle name="Total 5 4" xfId="7619"/>
    <cellStyle name="Total 5 4 2" xfId="7620"/>
    <cellStyle name="Total 5 4 3" xfId="11363"/>
    <cellStyle name="Total 5 5" xfId="7621"/>
    <cellStyle name="Total 5 6" xfId="8186"/>
    <cellStyle name="Total 6" xfId="7622"/>
    <cellStyle name="Total 6 2" xfId="7623"/>
    <cellStyle name="Total 6 2 2" xfId="7624"/>
    <cellStyle name="Total 6 2 2 2" xfId="7625"/>
    <cellStyle name="Total 6 2 2 3" xfId="11365"/>
    <cellStyle name="Total 6 2 3" xfId="7626"/>
    <cellStyle name="Total 6 2 4" xfId="11364"/>
    <cellStyle name="Total 6 3" xfId="7627"/>
    <cellStyle name="Total 6 3 2" xfId="7628"/>
    <cellStyle name="Total 6 3 3" xfId="11366"/>
    <cellStyle name="Total 6 4" xfId="7629"/>
    <cellStyle name="Total 6 5" xfId="8187"/>
    <cellStyle name="Total 7" xfId="7630"/>
    <cellStyle name="Total 7 2" xfId="7631"/>
    <cellStyle name="Total 7 2 2" xfId="7632"/>
    <cellStyle name="Total 7 2 3" xfId="11368"/>
    <cellStyle name="Total 7 3" xfId="7633"/>
    <cellStyle name="Total 7 3 2" xfId="7634"/>
    <cellStyle name="Total 7 3 3" xfId="11369"/>
    <cellStyle name="Total 7 4" xfId="7635"/>
    <cellStyle name="Total 7 5" xfId="11367"/>
    <cellStyle name="Total 8" xfId="7636"/>
    <cellStyle name="Total 8 2" xfId="7637"/>
    <cellStyle name="Total 8 2 2" xfId="7638"/>
    <cellStyle name="Total 8 2 3" xfId="11371"/>
    <cellStyle name="Total 8 3" xfId="7639"/>
    <cellStyle name="Total 8 4" xfId="11370"/>
    <cellStyle name="Total 9" xfId="7640"/>
    <cellStyle name="Total 9 2" xfId="7641"/>
    <cellStyle name="Total 9 2 2" xfId="7642"/>
    <cellStyle name="Total 9 2 3" xfId="11373"/>
    <cellStyle name="Total 9 3" xfId="7643"/>
    <cellStyle name="Total 9 4" xfId="11372"/>
    <cellStyle name="Vérification 10" xfId="7722"/>
    <cellStyle name="Vérification 10 2" xfId="7723"/>
    <cellStyle name="Vérification 10 3" xfId="11374"/>
    <cellStyle name="Vérification 11" xfId="7724"/>
    <cellStyle name="Vérification 11 2" xfId="7725"/>
    <cellStyle name="Vérification 11 2 2" xfId="7726"/>
    <cellStyle name="Vérification 11 2 3" xfId="11376"/>
    <cellStyle name="Vérification 11 3" xfId="7727"/>
    <cellStyle name="Vérification 11 4" xfId="11375"/>
    <cellStyle name="Vérification 12" xfId="7728"/>
    <cellStyle name="Vérification 12 2" xfId="7729"/>
    <cellStyle name="Vérification 12 3" xfId="11377"/>
    <cellStyle name="Vérification 13" xfId="7730"/>
    <cellStyle name="Vérification 13 2" xfId="7731"/>
    <cellStyle name="Vérification 13 3" xfId="11378"/>
    <cellStyle name="Vérification 2" xfId="7732"/>
    <cellStyle name="Vérification 2 2" xfId="7733"/>
    <cellStyle name="Vérification 2 2 2" xfId="7734"/>
    <cellStyle name="Vérification 2 2 3" xfId="11379"/>
    <cellStyle name="Vérification 2 3" xfId="7735"/>
    <cellStyle name="Vérification 2 3 2" xfId="7736"/>
    <cellStyle name="Vérification 2 3 3" xfId="11380"/>
    <cellStyle name="Vérification 2 4" xfId="7737"/>
    <cellStyle name="Vérification 2 4 2" xfId="7738"/>
    <cellStyle name="Vérification 2 4 3" xfId="11381"/>
    <cellStyle name="Vérification 2 5" xfId="7739"/>
    <cellStyle name="Vérification 2 6" xfId="8188"/>
    <cellStyle name="Vérification 3" xfId="7740"/>
    <cellStyle name="Vérification 3 2" xfId="7741"/>
    <cellStyle name="Vérification 3 2 2" xfId="7742"/>
    <cellStyle name="Vérification 3 2 3" xfId="11382"/>
    <cellStyle name="Vérification 3 3" xfId="7743"/>
    <cellStyle name="Vérification 3 3 2" xfId="7744"/>
    <cellStyle name="Vérification 3 3 3" xfId="11383"/>
    <cellStyle name="Vérification 3 4" xfId="7745"/>
    <cellStyle name="Vérification 3 4 2" xfId="7746"/>
    <cellStyle name="Vérification 3 4 3" xfId="11384"/>
    <cellStyle name="Vérification 3 5" xfId="7747"/>
    <cellStyle name="Vérification 3 6" xfId="8189"/>
    <cellStyle name="Vérification 4" xfId="7748"/>
    <cellStyle name="Vérification 4 2" xfId="7749"/>
    <cellStyle name="Vérification 4 2 2" xfId="7750"/>
    <cellStyle name="Vérification 4 2 3" xfId="11385"/>
    <cellStyle name="Vérification 4 3" xfId="7751"/>
    <cellStyle name="Vérification 4 3 2" xfId="7752"/>
    <cellStyle name="Vérification 4 3 3" xfId="11386"/>
    <cellStyle name="Vérification 4 4" xfId="7753"/>
    <cellStyle name="Vérification 4 4 2" xfId="7754"/>
    <cellStyle name="Vérification 4 4 3" xfId="11387"/>
    <cellStyle name="Vérification 4 5" xfId="7755"/>
    <cellStyle name="Vérification 4 6" xfId="8190"/>
    <cellStyle name="Vérification 5" xfId="7756"/>
    <cellStyle name="Vérification 5 2" xfId="7757"/>
    <cellStyle name="Vérification 5 2 2" xfId="7758"/>
    <cellStyle name="Vérification 5 2 3" xfId="11388"/>
    <cellStyle name="Vérification 5 3" xfId="7759"/>
    <cellStyle name="Vérification 5 4" xfId="8191"/>
    <cellStyle name="Vérification 6" xfId="7760"/>
    <cellStyle name="Vérification 6 2" xfId="7761"/>
    <cellStyle name="Vérification 6 3" xfId="11389"/>
    <cellStyle name="Vérification 7" xfId="7762"/>
    <cellStyle name="Vérification 7 2" xfId="7763"/>
    <cellStyle name="Vérification 7 3" xfId="11390"/>
    <cellStyle name="Vérification 8" xfId="7764"/>
    <cellStyle name="Vérification 8 2" xfId="7765"/>
    <cellStyle name="Vérification 8 3" xfId="11391"/>
    <cellStyle name="Vérification 9" xfId="7766"/>
    <cellStyle name="Vérification 9 2" xfId="7767"/>
    <cellStyle name="Vérification 9 3" xfId="11392"/>
    <cellStyle name="Virgule fixe" xfId="7644"/>
    <cellStyle name="Virgule fixe 10" xfId="7645"/>
    <cellStyle name="Virgule fixe 10 2" xfId="7646"/>
    <cellStyle name="Virgule fixe 10 3" xfId="11393"/>
    <cellStyle name="Virgule fixe 11" xfId="7647"/>
    <cellStyle name="Virgule fixe 11 2" xfId="7648"/>
    <cellStyle name="Virgule fixe 11 3" xfId="11394"/>
    <cellStyle name="Virgule fixe 12" xfId="7649"/>
    <cellStyle name="Virgule fixe 12 2" xfId="7650"/>
    <cellStyle name="Virgule fixe 12 3" xfId="11395"/>
    <cellStyle name="Virgule fixe 13" xfId="7651"/>
    <cellStyle name="Virgule fixe 13 2" xfId="7652"/>
    <cellStyle name="Virgule fixe 13 3" xfId="11396"/>
    <cellStyle name="Virgule fixe 14" xfId="7653"/>
    <cellStyle name="Virgule fixe 14 2" xfId="7654"/>
    <cellStyle name="Virgule fixe 14 3" xfId="11397"/>
    <cellStyle name="Virgule fixe 15" xfId="7655"/>
    <cellStyle name="Virgule fixe 15 2" xfId="7656"/>
    <cellStyle name="Virgule fixe 15 3" xfId="11398"/>
    <cellStyle name="Virgule fixe 16" xfId="7657"/>
    <cellStyle name="Virgule fixe 16 2" xfId="7658"/>
    <cellStyle name="Virgule fixe 16 3" xfId="11399"/>
    <cellStyle name="Virgule fixe 17" xfId="7659"/>
    <cellStyle name="Virgule fixe 17 2" xfId="7660"/>
    <cellStyle name="Virgule fixe 17 3" xfId="11400"/>
    <cellStyle name="Virgule fixe 18" xfId="7661"/>
    <cellStyle name="Virgule fixe 18 2" xfId="7662"/>
    <cellStyle name="Virgule fixe 18 3" xfId="11401"/>
    <cellStyle name="Virgule fixe 19" xfId="7663"/>
    <cellStyle name="Virgule fixe 19 2" xfId="7664"/>
    <cellStyle name="Virgule fixe 19 3" xfId="11402"/>
    <cellStyle name="Virgule fixe 2" xfId="7665"/>
    <cellStyle name="Virgule fixe 2 2" xfId="7666"/>
    <cellStyle name="Virgule fixe 2 2 2" xfId="7667"/>
    <cellStyle name="Virgule fixe 2 2 3" xfId="11404"/>
    <cellStyle name="Virgule fixe 2 3" xfId="7668"/>
    <cellStyle name="Virgule fixe 2 4" xfId="11403"/>
    <cellStyle name="Virgule fixe 20" xfId="7669"/>
    <cellStyle name="Virgule fixe 20 2" xfId="7670"/>
    <cellStyle name="Virgule fixe 20 3" xfId="11405"/>
    <cellStyle name="Virgule fixe 21" xfId="7671"/>
    <cellStyle name="Virgule fixe 21 2" xfId="7672"/>
    <cellStyle name="Virgule fixe 21 3" xfId="11406"/>
    <cellStyle name="Virgule fixe 22" xfId="7673"/>
    <cellStyle name="Virgule fixe 22 2" xfId="7674"/>
    <cellStyle name="Virgule fixe 22 3" xfId="11407"/>
    <cellStyle name="Virgule fixe 23" xfId="7675"/>
    <cellStyle name="Virgule fixe 23 2" xfId="7676"/>
    <cellStyle name="Virgule fixe 23 3" xfId="11408"/>
    <cellStyle name="Virgule fixe 24" xfId="7677"/>
    <cellStyle name="Virgule fixe 24 2" xfId="7678"/>
    <cellStyle name="Virgule fixe 24 3" xfId="11409"/>
    <cellStyle name="Virgule fixe 25" xfId="7679"/>
    <cellStyle name="Virgule fixe 25 2" xfId="7680"/>
    <cellStyle name="Virgule fixe 25 3" xfId="11410"/>
    <cellStyle name="Virgule fixe 26" xfId="7681"/>
    <cellStyle name="Virgule fixe 26 2" xfId="7682"/>
    <cellStyle name="Virgule fixe 26 3" xfId="11411"/>
    <cellStyle name="Virgule fixe 27" xfId="7683"/>
    <cellStyle name="Virgule fixe 27 2" xfId="7684"/>
    <cellStyle name="Virgule fixe 27 3" xfId="11412"/>
    <cellStyle name="Virgule fixe 28" xfId="7685"/>
    <cellStyle name="Virgule fixe 28 2" xfId="7686"/>
    <cellStyle name="Virgule fixe 28 3" xfId="11413"/>
    <cellStyle name="Virgule fixe 29" xfId="7687"/>
    <cellStyle name="Virgule fixe 29 2" xfId="7688"/>
    <cellStyle name="Virgule fixe 29 3" xfId="11414"/>
    <cellStyle name="Virgule fixe 3" xfId="7689"/>
    <cellStyle name="Virgule fixe 3 2" xfId="7690"/>
    <cellStyle name="Virgule fixe 3 3" xfId="11415"/>
    <cellStyle name="Virgule fixe 30" xfId="7691"/>
    <cellStyle name="Virgule fixe 30 2" xfId="7692"/>
    <cellStyle name="Virgule fixe 30 3" xfId="11416"/>
    <cellStyle name="Virgule fixe 31" xfId="7693"/>
    <cellStyle name="Virgule fixe 31 2" xfId="7694"/>
    <cellStyle name="Virgule fixe 31 3" xfId="11417"/>
    <cellStyle name="Virgule fixe 32" xfId="7695"/>
    <cellStyle name="Virgule fixe 32 2" xfId="7696"/>
    <cellStyle name="Virgule fixe 32 3" xfId="11418"/>
    <cellStyle name="Virgule fixe 33" xfId="7697"/>
    <cellStyle name="Virgule fixe 33 2" xfId="7698"/>
    <cellStyle name="Virgule fixe 33 3" xfId="11419"/>
    <cellStyle name="Virgule fixe 34" xfId="7699"/>
    <cellStyle name="Virgule fixe 34 2" xfId="7700"/>
    <cellStyle name="Virgule fixe 34 3" xfId="11420"/>
    <cellStyle name="Virgule fixe 35" xfId="7701"/>
    <cellStyle name="Virgule fixe 35 2" xfId="7702"/>
    <cellStyle name="Virgule fixe 35 3" xfId="11421"/>
    <cellStyle name="Virgule fixe 36" xfId="7703"/>
    <cellStyle name="Virgule fixe 36 2" xfId="7704"/>
    <cellStyle name="Virgule fixe 36 3" xfId="11422"/>
    <cellStyle name="Virgule fixe 37" xfId="7705"/>
    <cellStyle name="Virgule fixe 37 2" xfId="7706"/>
    <cellStyle name="Virgule fixe 37 3" xfId="11423"/>
    <cellStyle name="Virgule fixe 38" xfId="7707"/>
    <cellStyle name="Virgule fixe 38 2" xfId="7708"/>
    <cellStyle name="Virgule fixe 38 3" xfId="11424"/>
    <cellStyle name="Virgule fixe 39" xfId="7709"/>
    <cellStyle name="Virgule fixe 4" xfId="7710"/>
    <cellStyle name="Virgule fixe 4 2" xfId="7711"/>
    <cellStyle name="Virgule fixe 4 3" xfId="11425"/>
    <cellStyle name="Virgule fixe 40" xfId="7808"/>
    <cellStyle name="Virgule fixe 5" xfId="7712"/>
    <cellStyle name="Virgule fixe 5 2" xfId="7713"/>
    <cellStyle name="Virgule fixe 5 3" xfId="11426"/>
    <cellStyle name="Virgule fixe 6" xfId="7714"/>
    <cellStyle name="Virgule fixe 6 2" xfId="7715"/>
    <cellStyle name="Virgule fixe 6 3" xfId="11427"/>
    <cellStyle name="Virgule fixe 7" xfId="7716"/>
    <cellStyle name="Virgule fixe 7 2" xfId="7717"/>
    <cellStyle name="Virgule fixe 7 3" xfId="11428"/>
    <cellStyle name="Virgule fixe 8" xfId="7718"/>
    <cellStyle name="Virgule fixe 8 2" xfId="7719"/>
    <cellStyle name="Virgule fixe 8 3" xfId="11429"/>
    <cellStyle name="Virgule fixe 9" xfId="7720"/>
    <cellStyle name="Virgule fixe 9 2" xfId="7721"/>
    <cellStyle name="Virgule fixe 9 3" xfId="11430"/>
    <cellStyle name="Währung [0]_Abweichung WCR__" xfId="7768"/>
    <cellStyle name="Währung_Abweichung WCR__" xfId="7769"/>
    <cellStyle name="XL3 Blue" xfId="7770"/>
    <cellStyle name="XL3 Blue 2" xfId="7771"/>
    <cellStyle name="XL3 Blue 3" xfId="11431"/>
    <cellStyle name="XL3 Green" xfId="7772"/>
    <cellStyle name="XL3 Green 2" xfId="7773"/>
    <cellStyle name="XL3 Green 3" xfId="11432"/>
    <cellStyle name="XL3 Orange" xfId="7774"/>
    <cellStyle name="XL3 Orange 2" xfId="7775"/>
    <cellStyle name="XL3 Orange 3" xfId="11433"/>
    <cellStyle name="XL3 Red" xfId="7776"/>
    <cellStyle name="XL3 Red 2" xfId="7777"/>
    <cellStyle name="XL3 Red 3" xfId="11434"/>
    <cellStyle name="XL3 Yellow" xfId="7778"/>
    <cellStyle name="XL3 Yellow 2" xfId="7779"/>
    <cellStyle name="XL3 Yellow 3" xfId="11435"/>
    <cellStyle name="Гиперссылка" xfId="7780"/>
    <cellStyle name="Гиперссылка 2" xfId="7781"/>
    <cellStyle name="Гиперссылка 3" xfId="11436"/>
    <cellStyle name="Обычный_2++" xfId="7782"/>
    <cellStyle name="╟쵕ꜩ輲秛녜殝鱽푣㳳ﮧ৫䶈䐀ꌈӣъ辦疒촡骸ࠄ⛃⍍힢怡【挚옔愀奴ᆄ◛ㆶ鸥圊쬧钁藅ǩꓸ滜執忯叙㷄硾ꁤ좮ৡᙚ칏✏觡ᗴ춹ﭴ?쿣濛띯嶚師ኳ㉀簃퇴ᓖỉ雀㷎㎭䕻쭒嬉∑鋕︔쵢볟?禿讟䦚ꬕ榏瘃獰Ɫ䳐ꛘ䮥椱㑥⎒ᤈဗ瘿䀂죻玘ﳿ譨ꬵ麰애賗첁䑼荛鄽ꎍ⩎㨚镍㲼҅⌆ᝳ浪縲軄渪ↆ퀆" xfId="7783"/>
    <cellStyle name="╟쵕ꜩ輲秛녜殝鱽푣㳳ﮧ৫䶈䐀ꌈӣъ辦疒촡骸ࠄ⛃⍍힢怡【挚옔愀奴ᆄ◛ㆶ鸥圊쬧钁藅ǩꓸ滜執忯叙㷄硾ꁤ좮ৡᙚ칏✏觡ᗴ춹ﭴ﷣쿣濛띯嶚師ኳ㉀簃퇴ᓖỉ雀㷎㎭䕻쭒嬉∑鋕︔쵢볟_xdc88_禿讟䦚ꬕ榏瘃獰Ɫ䳐ꛘ䮥椱㑥⎒ᤈဗ瘿䀂죻玘ﳿ譨ꬵ麰애賗첁䑼荛鄽ꎍ⩎㨚镍㲼҅⌆ᝳ浪縲軄渪ↆ퀆" xfId="11437"/>
  </cellStyles>
  <dxfs count="819"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8CBAD"/>
      <rgbColor rgb="FFBDD7EE"/>
      <rgbColor rgb="FFFF8000"/>
      <rgbColor rgb="FFA7A6A8"/>
      <rgbColor rgb="FFE7E6E6"/>
      <rgbColor rgb="FF7F7F5A"/>
      <rgbColor rgb="FF840045"/>
      <rgbColor rgb="FF0070C0"/>
      <rgbColor rgb="FFC0C0C0"/>
      <rgbColor rgb="FF808080"/>
      <rgbColor rgb="FF9999FF"/>
      <rgbColor rgb="FF7F7F7F"/>
      <rgbColor rgb="FFFFFFCC"/>
      <rgbColor rgb="FFCCFFFF"/>
      <rgbColor rgb="FF393396"/>
      <rgbColor rgb="FFFF8080"/>
      <rgbColor rgb="FF0066CA"/>
      <rgbColor rgb="FFCCCCFF"/>
      <rgbColor rgb="FFF2F2F2"/>
      <rgbColor rgb="FFD8D7D7"/>
      <rgbColor rgb="FFFFC000"/>
      <rgbColor rgb="FFBFBFBF"/>
      <rgbColor rgb="FFD9D9DB"/>
      <rgbColor rgb="FFD6E3B4"/>
      <rgbColor rgb="FF309B80"/>
      <rgbColor rgb="FFDBE4F3"/>
      <rgbColor rgb="FF00B9F8"/>
      <rgbColor rgb="FFDDEAF7"/>
      <rgbColor rgb="FFCCFFCC"/>
      <rgbColor rgb="FFFFFF99"/>
      <rgbColor rgb="FF98CCFF"/>
      <rgbColor rgb="FFFF99CC"/>
      <rgbColor rgb="FFCC99FF"/>
      <rgbColor rgb="FFFFCC99"/>
      <rgbColor rgb="FF497BCA"/>
      <rgbColor rgb="FF33CCCC"/>
      <rgbColor rgb="FFA1B86B"/>
      <rgbColor rgb="FFFFCC00"/>
      <rgbColor rgb="FFFF9900"/>
      <rgbColor rgb="FFFF6600"/>
      <rgbColor rgb="FF666695"/>
      <rgbColor rgb="FF969696"/>
      <rgbColor rgb="FF003366"/>
      <rgbColor rgb="FF2A9A65"/>
      <rgbColor rgb="FF10523D"/>
      <rgbColor rgb="FF3F3F3F"/>
      <rgbColor rgb="FFED7D31"/>
      <rgbColor rgb="FF6666FF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Mix</a:t>
            </a:r>
            <a:r>
              <a:rPr lang="fr-FR" baseline="0"/>
              <a:t> électrique en 2020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48-4153-A6D1-9A35FE67E4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48-4153-A6D1-9A35FE67E4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48-4153-A6D1-9A35FE67E4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048-4153-A6D1-9A35FE67E46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048-4153-A6D1-9A35FE67E46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048-4153-A6D1-9A35FE67E46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048-4153-A6D1-9A35FE67E46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048-4153-A6D1-9A35FE67E46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048-4153-A6D1-9A35FE67E46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048-4153-A6D1-9A35FE67E4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5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>
                  <a:noFill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'Prod Energie'!$A$31:$A$41</c15:sqref>
                  </c15:fullRef>
                </c:ext>
              </c:extLst>
              <c:f>'Prod Energie'!$A$32:$A$41</c:f>
              <c:strCache>
                <c:ptCount val="10"/>
                <c:pt idx="0">
                  <c:v>Charbon</c:v>
                </c:pt>
                <c:pt idx="1">
                  <c:v>Produits pétroliers raffinés</c:v>
                </c:pt>
                <c:pt idx="2">
                  <c:v>Photovoltaïque</c:v>
                </c:pt>
                <c:pt idx="3">
                  <c:v>Géothermie</c:v>
                </c:pt>
                <c:pt idx="4">
                  <c:v>Déchets</c:v>
                </c:pt>
                <c:pt idx="5">
                  <c:v>Biocarburants</c:v>
                </c:pt>
                <c:pt idx="6">
                  <c:v>Biomasse solide</c:v>
                </c:pt>
                <c:pt idx="7">
                  <c:v>Eolien</c:v>
                </c:pt>
                <c:pt idx="8">
                  <c:v>Hydraulique</c:v>
                </c:pt>
                <c:pt idx="9">
                  <c:v>Gaz Renouvelable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'Prod Energie'!$C$31:$C$41</c15:sqref>
                  </c15:fullRef>
                </c:ext>
              </c:extLst>
              <c:f>'Prod Energie'!$C$32:$C$41</c:f>
              <c:numCache>
                <c:formatCode>0\ %</c:formatCode>
                <c:ptCount val="10"/>
                <c:pt idx="0">
                  <c:v>0</c:v>
                </c:pt>
                <c:pt idx="1">
                  <c:v>0.96099999999999997</c:v>
                </c:pt>
                <c:pt idx="2">
                  <c:v>4.0000000000000001E-3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3.5000000000000003E-2</c:v>
                </c:pt>
                <c:pt idx="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4-3048-4153-A6D1-9A35FE67E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r>
              <a:rPr lang="fr-FR" sz="1000"/>
              <a:t>1990</a:t>
            </a:r>
          </a:p>
        </c:rich>
      </c:tx>
      <c:layout>
        <c:manualLayout>
          <c:xMode val="edge"/>
          <c:yMode val="edge"/>
          <c:x val="0.41214352752647893"/>
          <c:y val="0.4829843712717728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22129647901693"/>
          <c:y val="0.13468025320364366"/>
          <c:w val="0.79335455761561979"/>
          <c:h val="0.82040026246719155"/>
        </c:manualLayout>
      </c:layout>
      <c:doughnutChart>
        <c:varyColors val="1"/>
        <c:ser>
          <c:idx val="0"/>
          <c:order val="0"/>
          <c:tx>
            <c:strRef>
              <c:f>N2O!$C$6</c:f>
              <c:strCache>
                <c:ptCount val="1"/>
                <c:pt idx="0">
                  <c:v>1990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2273-4E3B-B9E4-F2FC6F18FA0D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2273-4E3B-B9E4-F2FC6F18FA0D}"/>
              </c:ext>
            </c:extLst>
          </c:dPt>
          <c:dPt>
            <c:idx val="2"/>
            <c:bubble3D val="0"/>
            <c:spPr>
              <a:solidFill>
                <a:srgbClr val="B3A2C7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2273-4E3B-B9E4-F2FC6F18FA0D}"/>
              </c:ext>
            </c:extLst>
          </c:dPt>
          <c:dPt>
            <c:idx val="3"/>
            <c:bubble3D val="0"/>
            <c:spPr>
              <a:solidFill>
                <a:srgbClr val="E0E5B3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2273-4E3B-B9E4-F2FC6F18FA0D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2273-4E3B-B9E4-F2FC6F18FA0D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2273-4E3B-B9E4-F2FC6F18FA0D}"/>
              </c:ext>
            </c:extLst>
          </c:dPt>
          <c:dPt>
            <c:idx val="6"/>
            <c:bubble3D val="0"/>
            <c:spPr>
              <a:solidFill>
                <a:srgbClr val="00B050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2273-4E3B-B9E4-F2FC6F18FA0D}"/>
              </c:ext>
            </c:extLst>
          </c:dPt>
          <c:dLbls>
            <c:dLbl>
              <c:idx val="1"/>
              <c:layout>
                <c:manualLayout>
                  <c:x val="-7.8734316717531359E-3"/>
                  <c:y val="6.8728522336769758E-3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800" b="0" i="0" u="none" strike="noStrike" baseline="0">
                      <a:solidFill>
                        <a:schemeClr val="bg1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273-4E3B-B9E4-F2FC6F18FA0D}"/>
                </c:ext>
              </c:extLst>
            </c:dLbl>
            <c:dLbl>
              <c:idx val="2"/>
              <c:layout>
                <c:manualLayout>
                  <c:x val="-6.8535074169995721E-17"/>
                  <c:y val="-7.8431690884000951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73-4E3B-B9E4-F2FC6F18FA0D}"/>
                </c:ext>
              </c:extLst>
            </c:dLbl>
            <c:dLbl>
              <c:idx val="5"/>
              <c:layout>
                <c:manualLayout>
                  <c:x val="6.6288949172977653E-4"/>
                  <c:y val="6.5697973320345262E-3"/>
                </c:manualLayout>
              </c:layout>
              <c:spPr/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chemeClr val="bg1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273-4E3B-B9E4-F2FC6F18FA0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273-4E3B-B9E4-F2FC6F18FA0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ysClr val="windowText" lastClr="000000"/>
                    </a:solidFill>
                    <a:latin typeface="Trebuchet MS"/>
                    <a:ea typeface="Trebuchet MS"/>
                    <a:cs typeface="Trebuchet M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N2O!$B$7:$B$11</c:f>
              <c:strCache>
                <c:ptCount val="5"/>
                <c:pt idx="0">
                  <c:v>Industrie de l'énergie</c:v>
                </c:pt>
                <c:pt idx="1">
                  <c:v>Industrie manufacturière et construction</c:v>
                </c:pt>
                <c:pt idx="2">
                  <c:v>Traitement centralisé des déchets</c:v>
                </c:pt>
                <c:pt idx="3">
                  <c:v>Usage des bâtiments et activités résidentiels/tertiaires</c:v>
                </c:pt>
                <c:pt idx="4">
                  <c:v>Agriculture</c:v>
                </c:pt>
              </c:strCache>
            </c:strRef>
          </c:cat>
          <c:val>
            <c:numRef>
              <c:f>(N2O!$C$7:$C$11,N2O!$C$12,N2O!$C$15)</c:f>
              <c:numCache>
                <c:formatCode>0.0</c:formatCode>
                <c:ptCount val="7"/>
                <c:pt idx="0">
                  <c:v>9.6738839999999993E-2</c:v>
                </c:pt>
                <c:pt idx="1">
                  <c:v>0</c:v>
                </c:pt>
                <c:pt idx="2" formatCode="#\ ##0.0">
                  <c:v>0.86010476282499959</c:v>
                </c:pt>
                <c:pt idx="3" formatCode="#\ ##0.0">
                  <c:v>9.6240290748427576E-2</c:v>
                </c:pt>
                <c:pt idx="4" formatCode="#,##0">
                  <c:v>0.59784400332873089</c:v>
                </c:pt>
                <c:pt idx="5">
                  <c:v>0.24216089679838321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273-4E3B-B9E4-F2FC6F18FA0D}"/>
            </c:ext>
          </c:extLst>
        </c:ser>
        <c:ser>
          <c:idx val="1"/>
          <c:order val="1"/>
          <c:tx>
            <c:strRef>
              <c:f>N2O!$AF$6</c:f>
              <c:strCache>
                <c:ptCount val="1"/>
                <c:pt idx="0">
                  <c:v>2019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2273-4E3B-B9E4-F2FC6F18FA0D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2273-4E3B-B9E4-F2FC6F18FA0D}"/>
              </c:ext>
            </c:extLst>
          </c:dPt>
          <c:dPt>
            <c:idx val="2"/>
            <c:bubble3D val="0"/>
            <c:spPr>
              <a:solidFill>
                <a:srgbClr val="B3A2C7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2273-4E3B-B9E4-F2FC6F18FA0D}"/>
              </c:ext>
            </c:extLst>
          </c:dPt>
          <c:dPt>
            <c:idx val="3"/>
            <c:bubble3D val="0"/>
            <c:spPr>
              <a:solidFill>
                <a:srgbClr val="E0E5B3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2273-4E3B-B9E4-F2FC6F18FA0D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2273-4E3B-B9E4-F2FC6F18FA0D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2273-4E3B-B9E4-F2FC6F18FA0D}"/>
              </c:ext>
            </c:extLst>
          </c:dPt>
          <c:dPt>
            <c:idx val="6"/>
            <c:bubble3D val="0"/>
            <c:spPr>
              <a:solidFill>
                <a:srgbClr val="00B050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2273-4E3B-B9E4-F2FC6F18FA0D}"/>
              </c:ext>
            </c:extLst>
          </c:dPt>
          <c:dLbls>
            <c:dLbl>
              <c:idx val="0"/>
              <c:layout>
                <c:manualLayout>
                  <c:x val="1.4159107607098383E-2"/>
                  <c:y val="6.8728522336769446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273-4E3B-B9E4-F2FC6F18FA0D}"/>
                </c:ext>
              </c:extLst>
            </c:dLbl>
            <c:dLbl>
              <c:idx val="1"/>
              <c:layout>
                <c:manualLayout>
                  <c:x val="7.0796499642672784E-3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chemeClr val="bg1"/>
                      </a:solidFill>
                      <a:latin typeface="Trebuchet MS" panose="020B0603020202020204" pitchFamily="34" charset="0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273-4E3B-B9E4-F2FC6F18FA0D}"/>
                </c:ext>
              </c:extLst>
            </c:dLbl>
            <c:dLbl>
              <c:idx val="3"/>
              <c:layout>
                <c:manualLayout>
                  <c:x val="-1.1966156135789909E-2"/>
                  <c:y val="3.2957220553603766E-4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273-4E3B-B9E4-F2FC6F18FA0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chemeClr val="bg1"/>
                      </a:solidFill>
                      <a:latin typeface="Trebuchet MS" panose="020B0603020202020204" pitchFamily="34" charset="0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A-2273-4E3B-B9E4-F2FC6F18FA0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273-4E3B-B9E4-F2FC6F18FA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latin typeface="Trebuchet MS" panose="020B0603020202020204" pitchFamily="34" charset="0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N2O!$B$7:$B$11</c:f>
              <c:strCache>
                <c:ptCount val="5"/>
                <c:pt idx="0">
                  <c:v>Industrie de l'énergie</c:v>
                </c:pt>
                <c:pt idx="1">
                  <c:v>Industrie manufacturière et construction</c:v>
                </c:pt>
                <c:pt idx="2">
                  <c:v>Traitement centralisé des déchets</c:v>
                </c:pt>
                <c:pt idx="3">
                  <c:v>Usage des bâtiments et activités résidentiels/tertiaires</c:v>
                </c:pt>
                <c:pt idx="4">
                  <c:v>Agriculture</c:v>
                </c:pt>
              </c:strCache>
            </c:strRef>
          </c:cat>
          <c:val>
            <c:numRef>
              <c:f>(N2O!$AF$7:$AF$12,N2O!$AF$15)</c:f>
              <c:numCache>
                <c:formatCode>0.0</c:formatCode>
                <c:ptCount val="7"/>
                <c:pt idx="0">
                  <c:v>0.28738976297119373</c:v>
                </c:pt>
                <c:pt idx="1">
                  <c:v>0</c:v>
                </c:pt>
                <c:pt idx="2" formatCode="#\ ##0.0">
                  <c:v>0.7033177320399997</c:v>
                </c:pt>
                <c:pt idx="3" formatCode="#\ ##0.0">
                  <c:v>7.7154627301585649E-2</c:v>
                </c:pt>
                <c:pt idx="4" formatCode="#,##0">
                  <c:v>0.68008502518364322</c:v>
                </c:pt>
                <c:pt idx="5">
                  <c:v>0.37631267243998878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273-4E3B-B9E4-F2FC6F18F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912888452520136E-2"/>
          <c:y val="6.7130443646000557E-2"/>
          <c:w val="0.9045126701246019"/>
          <c:h val="0.76366740565196345"/>
        </c:manualLayout>
      </c:layout>
      <c:areaChart>
        <c:grouping val="stacked"/>
        <c:varyColors val="0"/>
        <c:ser>
          <c:idx val="0"/>
          <c:order val="0"/>
          <c:tx>
            <c:strRef>
              <c:f>HFC!$B$7</c:f>
              <c:strCache>
                <c:ptCount val="1"/>
                <c:pt idx="0">
                  <c:v>Industrie de l'énergie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solidFill>
                <a:schemeClr val="bg1"/>
              </a:solidFill>
            </a:ln>
          </c:spPr>
          <c:cat>
            <c:numRef>
              <c:f>HFC!$C$6:$AF$6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HFC!$C$7:$AF$7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2.8047503526285635E-2</c:v>
                </c:pt>
                <c:pt idx="6">
                  <c:v>0.12638637441018821</c:v>
                </c:pt>
                <c:pt idx="7">
                  <c:v>0.22570620479483414</c:v>
                </c:pt>
                <c:pt idx="8">
                  <c:v>0.32440369168661598</c:v>
                </c:pt>
                <c:pt idx="9">
                  <c:v>0.42050587733118805</c:v>
                </c:pt>
                <c:pt idx="10">
                  <c:v>0.51308747427670554</c:v>
                </c:pt>
                <c:pt idx="11">
                  <c:v>0.64958075967915541</c:v>
                </c:pt>
                <c:pt idx="12">
                  <c:v>0.77407316973480589</c:v>
                </c:pt>
                <c:pt idx="13">
                  <c:v>0.88018549961619619</c:v>
                </c:pt>
                <c:pt idx="14">
                  <c:v>0.96068104480615479</c:v>
                </c:pt>
                <c:pt idx="15">
                  <c:v>1.0511788807644564</c:v>
                </c:pt>
                <c:pt idx="16">
                  <c:v>1.2684649359033739</c:v>
                </c:pt>
                <c:pt idx="17">
                  <c:v>1.213262715757518</c:v>
                </c:pt>
                <c:pt idx="18">
                  <c:v>1.1552717930026368</c:v>
                </c:pt>
                <c:pt idx="19">
                  <c:v>1.1236039441003534</c:v>
                </c:pt>
                <c:pt idx="20">
                  <c:v>1.0928610638805092</c:v>
                </c:pt>
                <c:pt idx="21">
                  <c:v>1.2144161361655696</c:v>
                </c:pt>
                <c:pt idx="22">
                  <c:v>1.1517217541589131</c:v>
                </c:pt>
                <c:pt idx="23">
                  <c:v>1.0992726100241672</c:v>
                </c:pt>
                <c:pt idx="24">
                  <c:v>0.9312641604134031</c:v>
                </c:pt>
                <c:pt idx="25">
                  <c:v>0.81092440981110203</c:v>
                </c:pt>
                <c:pt idx="26">
                  <c:v>0.74692580698324507</c:v>
                </c:pt>
                <c:pt idx="27">
                  <c:v>0.67291971206290502</c:v>
                </c:pt>
                <c:pt idx="28">
                  <c:v>0.51120950530183484</c:v>
                </c:pt>
                <c:pt idx="29">
                  <c:v>0.40288892759179173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5-4CE7-9759-02AE81DC4860}"/>
            </c:ext>
          </c:extLst>
        </c:ser>
        <c:ser>
          <c:idx val="1"/>
          <c:order val="1"/>
          <c:tx>
            <c:strRef>
              <c:f>HFC!$B$8</c:f>
              <c:strCache>
                <c:ptCount val="1"/>
                <c:pt idx="0">
                  <c:v>Industrie manufacturière et construction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bg1"/>
              </a:solidFill>
            </a:ln>
          </c:spPr>
          <c:cat>
            <c:numRef>
              <c:f>HFC!$C$6:$AF$6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HFC!$C$8:$AF$8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95-4CE7-9759-02AE81DC4860}"/>
            </c:ext>
          </c:extLst>
        </c:ser>
        <c:ser>
          <c:idx val="2"/>
          <c:order val="2"/>
          <c:tx>
            <c:strRef>
              <c:f>HFC!$B$9</c:f>
              <c:strCache>
                <c:ptCount val="1"/>
                <c:pt idx="0">
                  <c:v>Traitement centralisé des déchets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bg1"/>
              </a:solidFill>
            </a:ln>
          </c:spPr>
          <c:cat>
            <c:numRef>
              <c:f>HFC!$C$6:$AF$6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HFC!$C$9:$AF$9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95-4CE7-9759-02AE81DC4860}"/>
            </c:ext>
          </c:extLst>
        </c:ser>
        <c:ser>
          <c:idx val="3"/>
          <c:order val="3"/>
          <c:tx>
            <c:strRef>
              <c:f>HFC!$B$10</c:f>
              <c:strCache>
                <c:ptCount val="1"/>
                <c:pt idx="0">
                  <c:v>Usage des bâtiments et activités résidentiels/tertiaires</c:v>
                </c:pt>
              </c:strCache>
            </c:strRef>
          </c:tx>
          <c:spPr>
            <a:solidFill>
              <a:srgbClr val="E0E5B3"/>
            </a:solidFill>
            <a:ln>
              <a:solidFill>
                <a:schemeClr val="bg1"/>
              </a:solidFill>
            </a:ln>
          </c:spPr>
          <c:cat>
            <c:numRef>
              <c:f>HFC!$C$6:$AF$6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HFC!$C$10:$AF$10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37.794263805704176</c:v>
                </c:pt>
                <c:pt idx="5">
                  <c:v>232.00267675524185</c:v>
                </c:pt>
                <c:pt idx="6">
                  <c:v>427.1689910718037</c:v>
                </c:pt>
                <c:pt idx="7">
                  <c:v>433.72484116242481</c:v>
                </c:pt>
                <c:pt idx="8">
                  <c:v>438.98733871017737</c:v>
                </c:pt>
                <c:pt idx="9">
                  <c:v>440.87902200245583</c:v>
                </c:pt>
                <c:pt idx="10">
                  <c:v>406.45860611623146</c:v>
                </c:pt>
                <c:pt idx="11">
                  <c:v>409.06108481524467</c:v>
                </c:pt>
                <c:pt idx="12">
                  <c:v>402.0300723850238</c:v>
                </c:pt>
                <c:pt idx="13">
                  <c:v>508.73248225238831</c:v>
                </c:pt>
                <c:pt idx="14">
                  <c:v>535.51385607773</c:v>
                </c:pt>
                <c:pt idx="15">
                  <c:v>540.86677191275805</c:v>
                </c:pt>
                <c:pt idx="16">
                  <c:v>549.59503376620751</c:v>
                </c:pt>
                <c:pt idx="17">
                  <c:v>568.79952926093938</c:v>
                </c:pt>
                <c:pt idx="18">
                  <c:v>581.33645723796747</c:v>
                </c:pt>
                <c:pt idx="19">
                  <c:v>565.13824682274037</c:v>
                </c:pt>
                <c:pt idx="20">
                  <c:v>633.32206979863395</c:v>
                </c:pt>
                <c:pt idx="21">
                  <c:v>651.52419055257326</c:v>
                </c:pt>
                <c:pt idx="22">
                  <c:v>643.61655168326547</c:v>
                </c:pt>
                <c:pt idx="23">
                  <c:v>658.56069216966489</c:v>
                </c:pt>
                <c:pt idx="24">
                  <c:v>636.19977005530041</c:v>
                </c:pt>
                <c:pt idx="25">
                  <c:v>672.75987543948611</c:v>
                </c:pt>
                <c:pt idx="26">
                  <c:v>720.9190615248898</c:v>
                </c:pt>
                <c:pt idx="27">
                  <c:v>764.55422581205198</c:v>
                </c:pt>
                <c:pt idx="28">
                  <c:v>556.56934433259221</c:v>
                </c:pt>
                <c:pt idx="29">
                  <c:v>543.35010726232088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95-4CE7-9759-02AE81DC4860}"/>
            </c:ext>
          </c:extLst>
        </c:ser>
        <c:ser>
          <c:idx val="4"/>
          <c:order val="4"/>
          <c:tx>
            <c:strRef>
              <c:f>HFC!$B$11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bg1"/>
              </a:solidFill>
            </a:ln>
          </c:spPr>
          <c:cat>
            <c:numRef>
              <c:f>HFC!$C$6:$AF$6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HFC!$C$11:$AF$11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8.1429559970793097E-2</c:v>
                </c:pt>
                <c:pt idx="9">
                  <c:v>0.473720552726624</c:v>
                </c:pt>
                <c:pt idx="10">
                  <c:v>0.74258776905862323</c:v>
                </c:pt>
                <c:pt idx="11">
                  <c:v>1.1012162689346445</c:v>
                </c:pt>
                <c:pt idx="12">
                  <c:v>1.3959303997815846</c:v>
                </c:pt>
                <c:pt idx="13">
                  <c:v>1.824177492324109</c:v>
                </c:pt>
                <c:pt idx="14">
                  <c:v>2.3201497049226303</c:v>
                </c:pt>
                <c:pt idx="15">
                  <c:v>2.9706474067517075</c:v>
                </c:pt>
                <c:pt idx="16">
                  <c:v>3.3812398495937304</c:v>
                </c:pt>
                <c:pt idx="17">
                  <c:v>3.6334571023494671</c:v>
                </c:pt>
                <c:pt idx="18">
                  <c:v>3.3019738176444493</c:v>
                </c:pt>
                <c:pt idx="19">
                  <c:v>3.6382042962662027</c:v>
                </c:pt>
                <c:pt idx="20">
                  <c:v>3.5275325894964573</c:v>
                </c:pt>
                <c:pt idx="21">
                  <c:v>3.1439443585672615</c:v>
                </c:pt>
                <c:pt idx="22">
                  <c:v>3.1037986191332161</c:v>
                </c:pt>
                <c:pt idx="23">
                  <c:v>3.0736281137000825</c:v>
                </c:pt>
                <c:pt idx="24">
                  <c:v>2.7599035600920834</c:v>
                </c:pt>
                <c:pt idx="25">
                  <c:v>2.5485871884900146</c:v>
                </c:pt>
                <c:pt idx="26">
                  <c:v>2.4844062999596099</c:v>
                </c:pt>
                <c:pt idx="27">
                  <c:v>2.7005926808395282</c:v>
                </c:pt>
                <c:pt idx="28">
                  <c:v>2.657410108628862</c:v>
                </c:pt>
                <c:pt idx="29">
                  <c:v>2.6515149705257874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95-4CE7-9759-02AE81DC4860}"/>
            </c:ext>
          </c:extLst>
        </c:ser>
        <c:ser>
          <c:idx val="5"/>
          <c:order val="5"/>
          <c:tx>
            <c:strRef>
              <c:f>HFC!$B$12</c:f>
              <c:strCache>
                <c:ptCount val="1"/>
                <c:pt idx="0">
                  <c:v>Transports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bg1"/>
              </a:solidFill>
            </a:ln>
          </c:spPr>
          <c:cat>
            <c:numRef>
              <c:f>HFC!$C$6:$AF$6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HFC!$C$12:$AF$12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0.55345109513719892</c:v>
                </c:pt>
                <c:pt idx="5">
                  <c:v>3.3963674283484875</c:v>
                </c:pt>
                <c:pt idx="6">
                  <c:v>7.5492852994012578</c:v>
                </c:pt>
                <c:pt idx="7">
                  <c:v>11.924106781715128</c:v>
                </c:pt>
                <c:pt idx="8">
                  <c:v>31.066132227273048</c:v>
                </c:pt>
                <c:pt idx="9">
                  <c:v>67.432090041950019</c:v>
                </c:pt>
                <c:pt idx="10">
                  <c:v>130.86737343523475</c:v>
                </c:pt>
                <c:pt idx="11">
                  <c:v>207.48781085160033</c:v>
                </c:pt>
                <c:pt idx="12">
                  <c:v>294.39128432687124</c:v>
                </c:pt>
                <c:pt idx="13">
                  <c:v>419.19644829367815</c:v>
                </c:pt>
                <c:pt idx="14">
                  <c:v>504.13183187372266</c:v>
                </c:pt>
                <c:pt idx="15">
                  <c:v>615.36768799482866</c:v>
                </c:pt>
                <c:pt idx="16">
                  <c:v>628.04808544720913</c:v>
                </c:pt>
                <c:pt idx="17">
                  <c:v>777.69058059141219</c:v>
                </c:pt>
                <c:pt idx="18">
                  <c:v>754.96409658819994</c:v>
                </c:pt>
                <c:pt idx="19">
                  <c:v>615.13111668957697</c:v>
                </c:pt>
                <c:pt idx="20">
                  <c:v>586.75475722302815</c:v>
                </c:pt>
                <c:pt idx="21">
                  <c:v>577.45550604442974</c:v>
                </c:pt>
                <c:pt idx="22">
                  <c:v>532.98095155394662</c:v>
                </c:pt>
                <c:pt idx="23">
                  <c:v>516.63896909991365</c:v>
                </c:pt>
                <c:pt idx="24">
                  <c:v>475.99466267672119</c:v>
                </c:pt>
                <c:pt idx="25">
                  <c:v>477.85673128092975</c:v>
                </c:pt>
                <c:pt idx="26">
                  <c:v>505.65837412969751</c:v>
                </c:pt>
                <c:pt idx="27">
                  <c:v>535.47313620571799</c:v>
                </c:pt>
                <c:pt idx="28">
                  <c:v>524.07863067111998</c:v>
                </c:pt>
                <c:pt idx="29">
                  <c:v>522.73444341459719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95-4CE7-9759-02AE81DC4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120232"/>
        <c:axId val="1"/>
      </c:areaChart>
      <c:catAx>
        <c:axId val="385120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/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fr-FR"/>
          </a:p>
        </c:txPr>
        <c:crossAx val="1"/>
        <c:crosses val="autoZero"/>
        <c:auto val="1"/>
        <c:lblAlgn val="ctr"/>
        <c:lblOffset val="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1905"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>
                    <a:latin typeface="Trebuchet MS" panose="020B0603020202020204" pitchFamily="34" charset="0"/>
                  </a:defRPr>
                </a:pPr>
                <a:r>
                  <a:rPr lang="fr-FR" sz="800">
                    <a:latin typeface="Trebuchet MS" panose="020B0603020202020204" pitchFamily="34" charset="0"/>
                  </a:rPr>
                  <a:t>tonnes équivalent CO</a:t>
                </a:r>
                <a:r>
                  <a:rPr lang="fr-FR" sz="800" baseline="-25000">
                    <a:latin typeface="Trebuchet MS" panose="020B0603020202020204" pitchFamily="34" charset="0"/>
                  </a:rPr>
                  <a:t>2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 w="3175"/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fr-FR"/>
          </a:p>
        </c:txPr>
        <c:crossAx val="385120232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233" l="0.70000000000000062" r="0.70000000000000062" t="0.75000000000000233" header="0.30000000000000032" footer="0.30000000000000032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r>
              <a:rPr lang="fr-FR" sz="1000"/>
              <a:t>1994</a:t>
            </a:r>
          </a:p>
        </c:rich>
      </c:tx>
      <c:layout>
        <c:manualLayout>
          <c:xMode val="edge"/>
          <c:yMode val="edge"/>
          <c:x val="0.38996223963336468"/>
          <c:y val="0.4829845496117108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22129647901693"/>
          <c:y val="0.13468025320364366"/>
          <c:w val="0.79335455761561979"/>
          <c:h val="0.82040026246719155"/>
        </c:manualLayout>
      </c:layout>
      <c:doughnutChart>
        <c:varyColors val="1"/>
        <c:ser>
          <c:idx val="0"/>
          <c:order val="0"/>
          <c:tx>
            <c:strRef>
              <c:f>HFC!$G$6</c:f>
              <c:strCache>
                <c:ptCount val="1"/>
                <c:pt idx="0">
                  <c:v>1994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AED-47C6-B6AD-EB3BEB80A53E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3AED-47C6-B6AD-EB3BEB80A53E}"/>
              </c:ext>
            </c:extLst>
          </c:dPt>
          <c:dPt>
            <c:idx val="2"/>
            <c:bubble3D val="0"/>
            <c:spPr>
              <a:solidFill>
                <a:srgbClr val="B3A2C7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3AED-47C6-B6AD-EB3BEB80A53E}"/>
              </c:ext>
            </c:extLst>
          </c:dPt>
          <c:dPt>
            <c:idx val="3"/>
            <c:bubble3D val="0"/>
            <c:spPr>
              <a:solidFill>
                <a:srgbClr val="E0E5B3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3AED-47C6-B6AD-EB3BEB80A53E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3AED-47C6-B6AD-EB3BEB80A53E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3AED-47C6-B6AD-EB3BEB80A53E}"/>
              </c:ext>
            </c:extLst>
          </c:dPt>
          <c:dPt>
            <c:idx val="6"/>
            <c:bubble3D val="0"/>
            <c:spPr>
              <a:solidFill>
                <a:srgbClr val="00B050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3AED-47C6-B6AD-EB3BEB80A53E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ED-47C6-B6AD-EB3BEB80A53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AED-47C6-B6AD-EB3BEB80A53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AED-47C6-B6AD-EB3BEB80A53E}"/>
                </c:ext>
              </c:extLst>
            </c:dLbl>
            <c:dLbl>
              <c:idx val="3"/>
              <c:layout>
                <c:manualLayout>
                  <c:x val="1.2185917182589189E-3"/>
                  <c:y val="2.961865060985024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AED-47C6-B6AD-EB3BEB80A53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AED-47C6-B6AD-EB3BEB80A53E}"/>
                </c:ext>
              </c:extLst>
            </c:dLbl>
            <c:dLbl>
              <c:idx val="5"/>
              <c:layout>
                <c:manualLayout>
                  <c:x val="4.9159502909166021E-3"/>
                  <c:y val="6.9395784289850368E-2"/>
                </c:manualLayout>
              </c:layout>
              <c:spPr/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ysClr val="windowText" lastClr="000000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AED-47C6-B6AD-EB3BEB80A53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ysClr val="windowText" lastClr="000000"/>
                    </a:solidFill>
                    <a:latin typeface="Trebuchet MS"/>
                    <a:ea typeface="Trebuchet MS"/>
                    <a:cs typeface="Trebuchet M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HFC!$B$7:$B$11</c:f>
              <c:strCache>
                <c:ptCount val="5"/>
                <c:pt idx="0">
                  <c:v>Industrie de l'énergie</c:v>
                </c:pt>
                <c:pt idx="1">
                  <c:v>Industrie manufacturière et construction</c:v>
                </c:pt>
                <c:pt idx="2">
                  <c:v>Traitement centralisé des déchets</c:v>
                </c:pt>
                <c:pt idx="3">
                  <c:v>Usage des bâtiments et activités résidentiels/tertiaires</c:v>
                </c:pt>
                <c:pt idx="4">
                  <c:v>Agriculture</c:v>
                </c:pt>
              </c:strCache>
            </c:strRef>
          </c:cat>
          <c:val>
            <c:numRef>
              <c:f>HFC!$G$7:$G$12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37.794263805704176</c:v>
                </c:pt>
                <c:pt idx="4">
                  <c:v>0</c:v>
                </c:pt>
                <c:pt idx="5">
                  <c:v>0.55345109513719892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AED-47C6-B6AD-EB3BEB80A53E}"/>
            </c:ext>
          </c:extLst>
        </c:ser>
        <c:ser>
          <c:idx val="1"/>
          <c:order val="1"/>
          <c:tx>
            <c:strRef>
              <c:f>HFC!$AF$6</c:f>
              <c:strCache>
                <c:ptCount val="1"/>
                <c:pt idx="0">
                  <c:v>2019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3AED-47C6-B6AD-EB3BEB80A53E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3AED-47C6-B6AD-EB3BEB80A53E}"/>
              </c:ext>
            </c:extLst>
          </c:dPt>
          <c:dPt>
            <c:idx val="2"/>
            <c:bubble3D val="0"/>
            <c:spPr>
              <a:solidFill>
                <a:srgbClr val="B3A2C7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3AED-47C6-B6AD-EB3BEB80A53E}"/>
              </c:ext>
            </c:extLst>
          </c:dPt>
          <c:dPt>
            <c:idx val="3"/>
            <c:bubble3D val="0"/>
            <c:spPr>
              <a:solidFill>
                <a:srgbClr val="E0E5B3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3AED-47C6-B6AD-EB3BEB80A53E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3AED-47C6-B6AD-EB3BEB80A53E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3AED-47C6-B6AD-EB3BEB80A53E}"/>
              </c:ext>
            </c:extLst>
          </c:dPt>
          <c:dPt>
            <c:idx val="6"/>
            <c:bubble3D val="0"/>
            <c:spPr>
              <a:solidFill>
                <a:srgbClr val="00B050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3AED-47C6-B6AD-EB3BEB80A53E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AED-47C6-B6AD-EB3BEB80A53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AED-47C6-B6AD-EB3BEB80A53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AED-47C6-B6AD-EB3BEB80A53E}"/>
                </c:ext>
              </c:extLst>
            </c:dLbl>
            <c:dLbl>
              <c:idx val="3"/>
              <c:layout>
                <c:manualLayout>
                  <c:x val="-3.6953543002462988E-3"/>
                  <c:y val="1.698625907055735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AED-47C6-B6AD-EB3BEB80A53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AED-47C6-B6AD-EB3BEB80A53E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chemeClr val="bg1"/>
                      </a:solidFill>
                      <a:latin typeface="Trebuchet MS" panose="020B0603020202020204" pitchFamily="34" charset="0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A-3AED-47C6-B6AD-EB3BEB80A53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AED-47C6-B6AD-EB3BEB80A5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latin typeface="Trebuchet MS" panose="020B0603020202020204" pitchFamily="34" charset="0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HFC!$B$7:$B$11</c:f>
              <c:strCache>
                <c:ptCount val="5"/>
                <c:pt idx="0">
                  <c:v>Industrie de l'énergie</c:v>
                </c:pt>
                <c:pt idx="1">
                  <c:v>Industrie manufacturière et construction</c:v>
                </c:pt>
                <c:pt idx="2">
                  <c:v>Traitement centralisé des déchets</c:v>
                </c:pt>
                <c:pt idx="3">
                  <c:v>Usage des bâtiments et activités résidentiels/tertiaires</c:v>
                </c:pt>
                <c:pt idx="4">
                  <c:v>Agriculture</c:v>
                </c:pt>
              </c:strCache>
            </c:strRef>
          </c:cat>
          <c:val>
            <c:numRef>
              <c:f>HFC!$AF$7:$AF$12</c:f>
              <c:numCache>
                <c:formatCode>0.0</c:formatCode>
                <c:ptCount val="6"/>
                <c:pt idx="0">
                  <c:v>0.40288892759179173</c:v>
                </c:pt>
                <c:pt idx="1">
                  <c:v>0</c:v>
                </c:pt>
                <c:pt idx="2">
                  <c:v>0</c:v>
                </c:pt>
                <c:pt idx="3">
                  <c:v>543.35010726232088</c:v>
                </c:pt>
                <c:pt idx="4">
                  <c:v>2.6515149705257874</c:v>
                </c:pt>
                <c:pt idx="5">
                  <c:v>522.73444341459719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AED-47C6-B6AD-EB3BEB80A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505997558344589E-2"/>
          <c:y val="6.7130443646000557E-2"/>
          <c:w val="0.92091956101877748"/>
          <c:h val="0.76366740565196345"/>
        </c:manualLayout>
      </c:layout>
      <c:areaChart>
        <c:grouping val="stacked"/>
        <c:varyColors val="0"/>
        <c:ser>
          <c:idx val="0"/>
          <c:order val="0"/>
          <c:tx>
            <c:strRef>
              <c:f>'CO2'!$B$7</c:f>
              <c:strCache>
                <c:ptCount val="1"/>
                <c:pt idx="0">
                  <c:v>Industrie de l'énergie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solidFill>
                <a:schemeClr val="bg1"/>
              </a:solidFill>
            </a:ln>
          </c:spPr>
          <c:cat>
            <c:numRef>
              <c:f>'CO2'!$C$6:$AF$6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'CO2'!$C$7:$AF$7</c:f>
              <c:numCache>
                <c:formatCode>#,##0</c:formatCode>
                <c:ptCount val="30"/>
                <c:pt idx="0">
                  <c:v>4.8034250675231318</c:v>
                </c:pt>
                <c:pt idx="1">
                  <c:v>5.4969677243312836</c:v>
                </c:pt>
                <c:pt idx="2">
                  <c:v>6.5115949444765455</c:v>
                </c:pt>
                <c:pt idx="3">
                  <c:v>7.6191901128864039</c:v>
                </c:pt>
                <c:pt idx="4">
                  <c:v>7.6614069534430929</c:v>
                </c:pt>
                <c:pt idx="5">
                  <c:v>8.5637512228739308</c:v>
                </c:pt>
                <c:pt idx="6">
                  <c:v>9.346960436466448</c:v>
                </c:pt>
                <c:pt idx="7">
                  <c:v>9.4231752794124706</c:v>
                </c:pt>
                <c:pt idx="8">
                  <c:v>10.780452329019941</c:v>
                </c:pt>
                <c:pt idx="9">
                  <c:v>11.19245459216974</c:v>
                </c:pt>
                <c:pt idx="10">
                  <c:v>12.541429289346006</c:v>
                </c:pt>
                <c:pt idx="11">
                  <c:v>13.9682294498209</c:v>
                </c:pt>
                <c:pt idx="12">
                  <c:v>13.985523997220598</c:v>
                </c:pt>
                <c:pt idx="13">
                  <c:v>13.985523997220598</c:v>
                </c:pt>
                <c:pt idx="14">
                  <c:v>15.04286214016866</c:v>
                </c:pt>
                <c:pt idx="15">
                  <c:v>15.997033361705208</c:v>
                </c:pt>
                <c:pt idx="16">
                  <c:v>14.572515262810271</c:v>
                </c:pt>
                <c:pt idx="17">
                  <c:v>13.949658704152464</c:v>
                </c:pt>
                <c:pt idx="18">
                  <c:v>13.990968586302859</c:v>
                </c:pt>
                <c:pt idx="19">
                  <c:v>13.832614038059681</c:v>
                </c:pt>
                <c:pt idx="20">
                  <c:v>13.643277078203704</c:v>
                </c:pt>
                <c:pt idx="21">
                  <c:v>13.580020765920562</c:v>
                </c:pt>
                <c:pt idx="22">
                  <c:v>12.997294837152568</c:v>
                </c:pt>
                <c:pt idx="23">
                  <c:v>12.958778438615534</c:v>
                </c:pt>
                <c:pt idx="24">
                  <c:v>12.765466513083284</c:v>
                </c:pt>
                <c:pt idx="25">
                  <c:v>12.616870869257786</c:v>
                </c:pt>
                <c:pt idx="26">
                  <c:v>13.830401960499376</c:v>
                </c:pt>
                <c:pt idx="27">
                  <c:v>13.479551134800278</c:v>
                </c:pt>
                <c:pt idx="28">
                  <c:v>13.765706129292873</c:v>
                </c:pt>
                <c:pt idx="29">
                  <c:v>14.269916732569493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A-43B5-8F61-055848D6C8AD}"/>
            </c:ext>
          </c:extLst>
        </c:ser>
        <c:ser>
          <c:idx val="1"/>
          <c:order val="1"/>
          <c:tx>
            <c:strRef>
              <c:f>'CO2'!$B$8</c:f>
              <c:strCache>
                <c:ptCount val="1"/>
                <c:pt idx="0">
                  <c:v>Industrie manufacturière et construction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bg1"/>
              </a:solidFill>
            </a:ln>
          </c:spPr>
          <c:cat>
            <c:numRef>
              <c:f>'CO2'!$C$6:$AF$6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'CO2'!$C$8:$AF$8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5A-43B5-8F61-055848D6C8AD}"/>
            </c:ext>
          </c:extLst>
        </c:ser>
        <c:ser>
          <c:idx val="2"/>
          <c:order val="2"/>
          <c:tx>
            <c:strRef>
              <c:f>'CO2'!$B$9</c:f>
              <c:strCache>
                <c:ptCount val="1"/>
                <c:pt idx="0">
                  <c:v>Traitement centralisé des déchets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bg1"/>
              </a:solidFill>
            </a:ln>
          </c:spPr>
          <c:cat>
            <c:numRef>
              <c:f>'CO2'!$C$6:$AF$6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'CO2'!$C$9:$AF$9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5A-43B5-8F61-055848D6C8AD}"/>
            </c:ext>
          </c:extLst>
        </c:ser>
        <c:ser>
          <c:idx val="3"/>
          <c:order val="3"/>
          <c:tx>
            <c:strRef>
              <c:f>'CO2'!$B$10</c:f>
              <c:strCache>
                <c:ptCount val="1"/>
                <c:pt idx="0">
                  <c:v>Usage des bâtiments et activités résidentiels/tertiaires</c:v>
                </c:pt>
              </c:strCache>
            </c:strRef>
          </c:tx>
          <c:spPr>
            <a:solidFill>
              <a:srgbClr val="E0E5B3"/>
            </a:solidFill>
            <a:ln>
              <a:solidFill>
                <a:schemeClr val="bg1"/>
              </a:solidFill>
            </a:ln>
          </c:spPr>
          <c:cat>
            <c:numRef>
              <c:f>'CO2'!$C$6:$AF$6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'CO2'!$C$10:$AF$10</c:f>
              <c:numCache>
                <c:formatCode>0.0</c:formatCode>
                <c:ptCount val="30"/>
                <c:pt idx="0">
                  <c:v>0.43861497204680011</c:v>
                </c:pt>
                <c:pt idx="1">
                  <c:v>0.43545955354100019</c:v>
                </c:pt>
                <c:pt idx="2">
                  <c:v>0.43289209575263521</c:v>
                </c:pt>
                <c:pt idx="3">
                  <c:v>0.42290959642042403</c:v>
                </c:pt>
                <c:pt idx="4">
                  <c:v>0.42724783358823393</c:v>
                </c:pt>
                <c:pt idx="5">
                  <c:v>0.44813171650037031</c:v>
                </c:pt>
                <c:pt idx="6">
                  <c:v>0.47007598377738169</c:v>
                </c:pt>
                <c:pt idx="7">
                  <c:v>0.48209178756467025</c:v>
                </c:pt>
                <c:pt idx="8">
                  <c:v>0.52178606216767887</c:v>
                </c:pt>
                <c:pt idx="9">
                  <c:v>0.52765637901876583</c:v>
                </c:pt>
                <c:pt idx="10">
                  <c:v>0.5292649550125087</c:v>
                </c:pt>
                <c:pt idx="11">
                  <c:v>0.52649601005918456</c:v>
                </c:pt>
                <c:pt idx="12">
                  <c:v>0.5183669517253342</c:v>
                </c:pt>
                <c:pt idx="13">
                  <c:v>0.51752237512524046</c:v>
                </c:pt>
                <c:pt idx="14">
                  <c:v>0.8676815230684497</c:v>
                </c:pt>
                <c:pt idx="15">
                  <c:v>0.496190466185645</c:v>
                </c:pt>
                <c:pt idx="16">
                  <c:v>0.48913870399338322</c:v>
                </c:pt>
                <c:pt idx="17">
                  <c:v>0.50595407712939688</c:v>
                </c:pt>
                <c:pt idx="18">
                  <c:v>0.50367551481789408</c:v>
                </c:pt>
                <c:pt idx="19">
                  <c:v>0.74872877231833224</c:v>
                </c:pt>
                <c:pt idx="20">
                  <c:v>0.85537873157481703</c:v>
                </c:pt>
                <c:pt idx="21">
                  <c:v>0.80911983685235933</c:v>
                </c:pt>
                <c:pt idx="22">
                  <c:v>0.79781941117376765</c:v>
                </c:pt>
                <c:pt idx="23">
                  <c:v>0.71570646233954649</c:v>
                </c:pt>
                <c:pt idx="24">
                  <c:v>0.78593679450978959</c:v>
                </c:pt>
                <c:pt idx="25">
                  <c:v>0.76701110598431499</c:v>
                </c:pt>
                <c:pt idx="26">
                  <c:v>0.74653301656231641</c:v>
                </c:pt>
                <c:pt idx="27">
                  <c:v>0.77808747992774985</c:v>
                </c:pt>
                <c:pt idx="28">
                  <c:v>0.74281444625206561</c:v>
                </c:pt>
                <c:pt idx="29">
                  <c:v>0.73900188010909496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5A-43B5-8F61-055848D6C8AD}"/>
            </c:ext>
          </c:extLst>
        </c:ser>
        <c:ser>
          <c:idx val="4"/>
          <c:order val="4"/>
          <c:tx>
            <c:strRef>
              <c:f>'CO2'!$B$11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bg1"/>
              </a:solidFill>
            </a:ln>
          </c:spPr>
          <c:cat>
            <c:numRef>
              <c:f>'CO2'!$C$6:$AF$6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'CO2'!$C$11:$AF$11</c:f>
              <c:numCache>
                <c:formatCode>0.0</c:formatCode>
                <c:ptCount val="30"/>
                <c:pt idx="0">
                  <c:v>2.9350365550000004E-2</c:v>
                </c:pt>
                <c:pt idx="1">
                  <c:v>2.9350365550000004E-2</c:v>
                </c:pt>
                <c:pt idx="2">
                  <c:v>2.935036555E-2</c:v>
                </c:pt>
                <c:pt idx="3">
                  <c:v>2.9350365550000007E-2</c:v>
                </c:pt>
                <c:pt idx="4">
                  <c:v>2.9350365550000007E-2</c:v>
                </c:pt>
                <c:pt idx="5">
                  <c:v>3.1495967470000004E-2</c:v>
                </c:pt>
                <c:pt idx="6">
                  <c:v>3.4080587640000007E-2</c:v>
                </c:pt>
                <c:pt idx="7">
                  <c:v>3.546868352500001E-2</c:v>
                </c:pt>
                <c:pt idx="8">
                  <c:v>3.6856779410000005E-2</c:v>
                </c:pt>
                <c:pt idx="9">
                  <c:v>3.8847527620000002E-2</c:v>
                </c:pt>
                <c:pt idx="10">
                  <c:v>4.0030482250000013E-2</c:v>
                </c:pt>
                <c:pt idx="11">
                  <c:v>4.007039300000001E-2</c:v>
                </c:pt>
                <c:pt idx="12">
                  <c:v>3.9751107000000001E-2</c:v>
                </c:pt>
                <c:pt idx="13">
                  <c:v>3.9431821000000013E-2</c:v>
                </c:pt>
                <c:pt idx="14">
                  <c:v>7.9023284999999985E-2</c:v>
                </c:pt>
                <c:pt idx="15">
                  <c:v>3.8952892000000017E-2</c:v>
                </c:pt>
                <c:pt idx="16">
                  <c:v>3.8521855900000006E-2</c:v>
                </c:pt>
                <c:pt idx="17">
                  <c:v>3.8505891600000001E-2</c:v>
                </c:pt>
                <c:pt idx="18">
                  <c:v>4.1507180000000005E-2</c:v>
                </c:pt>
                <c:pt idx="19">
                  <c:v>7.1113700000000002E-2</c:v>
                </c:pt>
                <c:pt idx="20">
                  <c:v>8.2375788000000019E-2</c:v>
                </c:pt>
                <c:pt idx="21">
                  <c:v>7.8225070000000022E-2</c:v>
                </c:pt>
                <c:pt idx="22">
                  <c:v>7.9023284999999999E-2</c:v>
                </c:pt>
                <c:pt idx="23">
                  <c:v>7.1113700000000002E-2</c:v>
                </c:pt>
                <c:pt idx="24">
                  <c:v>7.8950720000000016E-2</c:v>
                </c:pt>
                <c:pt idx="25">
                  <c:v>7.7209159999999999E-2</c:v>
                </c:pt>
                <c:pt idx="26">
                  <c:v>7.4596820000000008E-2</c:v>
                </c:pt>
                <c:pt idx="27">
                  <c:v>7.807994E-2</c:v>
                </c:pt>
                <c:pt idx="28">
                  <c:v>7.4016300000000021E-2</c:v>
                </c:pt>
                <c:pt idx="29">
                  <c:v>7.4016300000000021E-2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5A-43B5-8F61-055848D6C8AD}"/>
            </c:ext>
          </c:extLst>
        </c:ser>
        <c:ser>
          <c:idx val="5"/>
          <c:order val="5"/>
          <c:tx>
            <c:strRef>
              <c:f>'CO2'!$B$12</c:f>
              <c:strCache>
                <c:ptCount val="1"/>
                <c:pt idx="0">
                  <c:v>Transports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bg1"/>
              </a:solidFill>
            </a:ln>
          </c:spPr>
          <c:cat>
            <c:numRef>
              <c:f>'CO2'!$C$6:$AF$6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'CO2'!$C$12:$AF$12</c:f>
              <c:numCache>
                <c:formatCode>#,##0</c:formatCode>
                <c:ptCount val="30"/>
                <c:pt idx="0">
                  <c:v>8.8627412770096701</c:v>
                </c:pt>
                <c:pt idx="1">
                  <c:v>9.0103477363819824</c:v>
                </c:pt>
                <c:pt idx="2">
                  <c:v>9.2347554146612545</c:v>
                </c:pt>
                <c:pt idx="3">
                  <c:v>10.193740017924744</c:v>
                </c:pt>
                <c:pt idx="4">
                  <c:v>9.6874086948942182</c:v>
                </c:pt>
                <c:pt idx="5">
                  <c:v>9.6200177451533175</c:v>
                </c:pt>
                <c:pt idx="6">
                  <c:v>10.002843377250098</c:v>
                </c:pt>
                <c:pt idx="7">
                  <c:v>9.4091365710098902</c:v>
                </c:pt>
                <c:pt idx="8">
                  <c:v>8.6013938258159364</c:v>
                </c:pt>
                <c:pt idx="9">
                  <c:v>11.712244731821739</c:v>
                </c:pt>
                <c:pt idx="10">
                  <c:v>13.444705928809448</c:v>
                </c:pt>
                <c:pt idx="11">
                  <c:v>11.89018923481234</c:v>
                </c:pt>
                <c:pt idx="12">
                  <c:v>12.425970766531954</c:v>
                </c:pt>
                <c:pt idx="13">
                  <c:v>12.319540463163809</c:v>
                </c:pt>
                <c:pt idx="14">
                  <c:v>12.497800114795035</c:v>
                </c:pt>
                <c:pt idx="15">
                  <c:v>12.066448776509283</c:v>
                </c:pt>
                <c:pt idx="16">
                  <c:v>12.717987997486192</c:v>
                </c:pt>
                <c:pt idx="17">
                  <c:v>13.086383799342103</c:v>
                </c:pt>
                <c:pt idx="18">
                  <c:v>14.396670248094384</c:v>
                </c:pt>
                <c:pt idx="19">
                  <c:v>12.463767041347738</c:v>
                </c:pt>
                <c:pt idx="20">
                  <c:v>12.692861157909093</c:v>
                </c:pt>
                <c:pt idx="21">
                  <c:v>12.626527598427128</c:v>
                </c:pt>
                <c:pt idx="22">
                  <c:v>12.45987351694262</c:v>
                </c:pt>
                <c:pt idx="23">
                  <c:v>11.465776552151064</c:v>
                </c:pt>
                <c:pt idx="24">
                  <c:v>11.213598808208282</c:v>
                </c:pt>
                <c:pt idx="25">
                  <c:v>11.135744644365454</c:v>
                </c:pt>
                <c:pt idx="26">
                  <c:v>11.302980688535094</c:v>
                </c:pt>
                <c:pt idx="27">
                  <c:v>10.907088272895875</c:v>
                </c:pt>
                <c:pt idx="28">
                  <c:v>11.094135232807185</c:v>
                </c:pt>
                <c:pt idx="29">
                  <c:v>12.179677835422552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5A-43B5-8F61-055848D6C8AD}"/>
            </c:ext>
          </c:extLst>
        </c:ser>
        <c:ser>
          <c:idx val="6"/>
          <c:order val="6"/>
          <c:tx>
            <c:strRef>
              <c:f>'CO2'!$B$15</c:f>
              <c:strCache>
                <c:ptCount val="1"/>
                <c:pt idx="0">
                  <c:v>UTCATF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bg1"/>
              </a:solidFill>
            </a:ln>
          </c:spPr>
          <c:cat>
            <c:numRef>
              <c:f>'CO2'!$C$6:$AF$6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'CO2'!$C$15:$AF$15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5A-43B5-8F61-055848D6C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120232"/>
        <c:axId val="1"/>
      </c:areaChart>
      <c:catAx>
        <c:axId val="385120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/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fr-FR"/>
          </a:p>
        </c:txPr>
        <c:crossAx val="1"/>
        <c:crosses val="autoZero"/>
        <c:auto val="1"/>
        <c:lblAlgn val="ctr"/>
        <c:lblOffset val="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1905"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>
                    <a:latin typeface="Trebuchet MS" panose="020B0603020202020204" pitchFamily="34" charset="0"/>
                  </a:defRPr>
                </a:pPr>
                <a:r>
                  <a:rPr lang="fr-FR" sz="800">
                    <a:latin typeface="Trebuchet MS" panose="020B0603020202020204" pitchFamily="34" charset="0"/>
                  </a:rPr>
                  <a:t>milliers de tonnes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 w="3175"/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fr-FR"/>
          </a:p>
        </c:txPr>
        <c:crossAx val="385120232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233" l="0.70000000000000062" r="0.70000000000000062" t="0.75000000000000233" header="0.30000000000000032" footer="0.30000000000000032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r>
              <a:rPr lang="fr-FR" sz="1000"/>
              <a:t>1990</a:t>
            </a:r>
          </a:p>
        </c:rich>
      </c:tx>
      <c:layout>
        <c:manualLayout>
          <c:xMode val="edge"/>
          <c:yMode val="edge"/>
          <c:x val="0.41214352752647893"/>
          <c:y val="0.4829843712717728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22129647901693"/>
          <c:y val="0.13468025320364366"/>
          <c:w val="0.79335455761561979"/>
          <c:h val="0.82040026246719155"/>
        </c:manualLayout>
      </c:layout>
      <c:doughnutChart>
        <c:varyColors val="1"/>
        <c:ser>
          <c:idx val="0"/>
          <c:order val="0"/>
          <c:tx>
            <c:strRef>
              <c:f>'CO2'!$C$6</c:f>
              <c:strCache>
                <c:ptCount val="1"/>
                <c:pt idx="0">
                  <c:v>1990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2E1-468E-A62E-BA3FF32C2788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2E1-468E-A62E-BA3FF32C27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2E1-468E-A62E-BA3FF32C2788}"/>
              </c:ext>
            </c:extLst>
          </c:dPt>
          <c:dPt>
            <c:idx val="3"/>
            <c:bubble3D val="0"/>
            <c:spPr>
              <a:solidFill>
                <a:srgbClr val="E0E5B3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2E1-468E-A62E-BA3FF32C2788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C2E1-468E-A62E-BA3FF32C2788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C2E1-468E-A62E-BA3FF32C2788}"/>
              </c:ext>
            </c:extLst>
          </c:dPt>
          <c:dPt>
            <c:idx val="6"/>
            <c:bubble3D val="0"/>
            <c:spPr>
              <a:solidFill>
                <a:srgbClr val="00B050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C2E1-468E-A62E-BA3FF32C2788}"/>
              </c:ext>
            </c:extLst>
          </c:dPt>
          <c:dLbls>
            <c:dLbl>
              <c:idx val="0"/>
              <c:layout>
                <c:manualLayout>
                  <c:x val="-5.3478580309709502E-3"/>
                  <c:y val="-6.8398408961766691E-3"/>
                </c:manualLayout>
              </c:layout>
              <c:spPr/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E1-468E-A62E-BA3FF32C2788}"/>
                </c:ext>
              </c:extLst>
            </c:dLbl>
            <c:dLbl>
              <c:idx val="1"/>
              <c:layout>
                <c:manualLayout>
                  <c:x val="-8.224303907162496E-2"/>
                  <c:y val="-7.560137457044673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800" b="0" i="0" u="none" strike="noStrike" baseline="0">
                      <a:solidFill>
                        <a:sysClr val="windowText" lastClr="000000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2E1-468E-A62E-BA3FF32C278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2E1-468E-A62E-BA3FF32C2788}"/>
                </c:ext>
              </c:extLst>
            </c:dLbl>
            <c:dLbl>
              <c:idx val="3"/>
              <c:layout>
                <c:manualLayout>
                  <c:x val="-0.12548745337402509"/>
                  <c:y val="-2.355927158589712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2E1-468E-A62E-BA3FF32C278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2E1-468E-A62E-BA3FF32C2788}"/>
                </c:ext>
              </c:extLst>
            </c:dLbl>
            <c:dLbl>
              <c:idx val="5"/>
              <c:layout>
                <c:manualLayout>
                  <c:x val="-1.2702634603066988E-2"/>
                  <c:y val="-0.12288280975187386"/>
                </c:manualLayout>
              </c:layout>
              <c:spPr/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chemeClr val="bg1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2E1-468E-A62E-BA3FF32C278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2E1-468E-A62E-BA3FF32C278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rebuchet MS"/>
                    <a:ea typeface="Trebuchet MS"/>
                    <a:cs typeface="Trebuchet M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'CO2'!$B$7:$B$11</c:f>
              <c:strCache>
                <c:ptCount val="5"/>
                <c:pt idx="0">
                  <c:v>Industrie de l'énergie</c:v>
                </c:pt>
                <c:pt idx="1">
                  <c:v>Industrie manufacturière et construction</c:v>
                </c:pt>
                <c:pt idx="2">
                  <c:v>Traitement centralisé des déchets</c:v>
                </c:pt>
                <c:pt idx="3">
                  <c:v>Usage des bâtiments et activités résidentiels/tertiaires</c:v>
                </c:pt>
                <c:pt idx="4">
                  <c:v>Agriculture</c:v>
                </c:pt>
              </c:strCache>
            </c:strRef>
          </c:cat>
          <c:val>
            <c:numRef>
              <c:f>('CO2'!$C$7:$C$11,'CO2'!$C$12,'CO2'!$C$15)</c:f>
              <c:numCache>
                <c:formatCode>0.0</c:formatCode>
                <c:ptCount val="7"/>
                <c:pt idx="0" formatCode="#,##0">
                  <c:v>4.8034250675231318</c:v>
                </c:pt>
                <c:pt idx="1">
                  <c:v>0</c:v>
                </c:pt>
                <c:pt idx="2">
                  <c:v>0</c:v>
                </c:pt>
                <c:pt idx="3">
                  <c:v>0.43861497204680011</c:v>
                </c:pt>
                <c:pt idx="4">
                  <c:v>2.9350365550000004E-2</c:v>
                </c:pt>
                <c:pt idx="5" formatCode="#,##0">
                  <c:v>8.8627412770096701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2E1-468E-A62E-BA3FF32C2788}"/>
            </c:ext>
          </c:extLst>
        </c:ser>
        <c:ser>
          <c:idx val="1"/>
          <c:order val="1"/>
          <c:tx>
            <c:strRef>
              <c:f>'CO2'!$AF$6</c:f>
              <c:strCache>
                <c:ptCount val="1"/>
                <c:pt idx="0">
                  <c:v>2019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C2E1-468E-A62E-BA3FF32C2788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C2E1-468E-A62E-BA3FF32C2788}"/>
              </c:ext>
            </c:extLst>
          </c:dPt>
          <c:dPt>
            <c:idx val="3"/>
            <c:bubble3D val="0"/>
            <c:spPr>
              <a:solidFill>
                <a:srgbClr val="E0E5B3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C2E1-468E-A62E-BA3FF32C2788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C2E1-468E-A62E-BA3FF32C2788}"/>
              </c:ext>
            </c:extLst>
          </c:dPt>
          <c:dPt>
            <c:idx val="6"/>
            <c:bubble3D val="0"/>
            <c:spPr>
              <a:solidFill>
                <a:srgbClr val="00B050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C2E1-468E-A62E-BA3FF32C2788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2E1-468E-A62E-BA3FF32C278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2E1-468E-A62E-BA3FF32C2788}"/>
                </c:ext>
              </c:extLst>
            </c:dLbl>
            <c:dLbl>
              <c:idx val="3"/>
              <c:layout>
                <c:manualLayout>
                  <c:x val="1.8626841490524094E-3"/>
                  <c:y val="2.4893795492058338E-4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2E1-468E-A62E-BA3FF32C278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2E1-468E-A62E-BA3FF32C2788}"/>
                </c:ext>
              </c:extLst>
            </c:dLbl>
            <c:dLbl>
              <c:idx val="5"/>
              <c:layout>
                <c:manualLayout>
                  <c:x val="0"/>
                  <c:y val="-1.9406337094460815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chemeClr val="bg1"/>
                      </a:solidFill>
                      <a:latin typeface="Trebuchet MS" panose="020B0603020202020204" pitchFamily="34" charset="0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2E1-468E-A62E-BA3FF32C278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2E1-468E-A62E-BA3FF32C27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latin typeface="Trebuchet MS" panose="020B0603020202020204" pitchFamily="34" charset="0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'CO2'!$B$7:$B$11</c:f>
              <c:strCache>
                <c:ptCount val="5"/>
                <c:pt idx="0">
                  <c:v>Industrie de l'énergie</c:v>
                </c:pt>
                <c:pt idx="1">
                  <c:v>Industrie manufacturière et construction</c:v>
                </c:pt>
                <c:pt idx="2">
                  <c:v>Traitement centralisé des déchets</c:v>
                </c:pt>
                <c:pt idx="3">
                  <c:v>Usage des bâtiments et activités résidentiels/tertiaires</c:v>
                </c:pt>
                <c:pt idx="4">
                  <c:v>Agriculture</c:v>
                </c:pt>
              </c:strCache>
            </c:strRef>
          </c:cat>
          <c:val>
            <c:numRef>
              <c:f>('CO2'!$AF$7:$AF$12,'CO2'!$AF$15)</c:f>
              <c:numCache>
                <c:formatCode>0.0</c:formatCode>
                <c:ptCount val="7"/>
                <c:pt idx="0" formatCode="#,##0">
                  <c:v>14.269916732569493</c:v>
                </c:pt>
                <c:pt idx="1">
                  <c:v>0</c:v>
                </c:pt>
                <c:pt idx="2">
                  <c:v>0</c:v>
                </c:pt>
                <c:pt idx="3">
                  <c:v>0.73900188010909496</c:v>
                </c:pt>
                <c:pt idx="4">
                  <c:v>7.4016300000000021E-2</c:v>
                </c:pt>
                <c:pt idx="5" formatCode="#,##0">
                  <c:v>12.179677835422552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2E1-468E-A62E-BA3FF32C2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démographique (Projections INSEE)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Calculs!$B$4:$S$4</c:f>
              <c:numCache>
                <c:formatCode>General</c:formatCode>
                <c:ptCount val="1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2025</c:v>
                </c:pt>
                <c:pt idx="13">
                  <c:v>2030</c:v>
                </c:pt>
                <c:pt idx="14">
                  <c:v>2035</c:v>
                </c:pt>
                <c:pt idx="15">
                  <c:v>2040</c:v>
                </c:pt>
                <c:pt idx="16">
                  <c:v>2045</c:v>
                </c:pt>
                <c:pt idx="17">
                  <c:v>2050</c:v>
                </c:pt>
              </c:numCache>
            </c:numRef>
          </c:xVal>
          <c:yVal>
            <c:numRef>
              <c:f>Calculs!$B$5:$S$5</c:f>
              <c:numCache>
                <c:formatCode>#,##0</c:formatCode>
                <c:ptCount val="18"/>
                <c:pt idx="0">
                  <c:v>821136</c:v>
                </c:pt>
                <c:pt idx="1">
                  <c:v>828581</c:v>
                </c:pt>
                <c:pt idx="2">
                  <c:v>833944</c:v>
                </c:pt>
                <c:pt idx="3">
                  <c:v>835103</c:v>
                </c:pt>
                <c:pt idx="4">
                  <c:v>842767</c:v>
                </c:pt>
                <c:pt idx="5">
                  <c:v>850727</c:v>
                </c:pt>
                <c:pt idx="6">
                  <c:v>852924</c:v>
                </c:pt>
                <c:pt idx="7">
                  <c:v>853659</c:v>
                </c:pt>
                <c:pt idx="8">
                  <c:v>855961</c:v>
                </c:pt>
                <c:pt idx="9">
                  <c:v>861210</c:v>
                </c:pt>
                <c:pt idx="10">
                  <c:v>863197</c:v>
                </c:pt>
                <c:pt idx="11" formatCode="General">
                  <c:v>866000</c:v>
                </c:pt>
                <c:pt idx="12" formatCode="General">
                  <c:v>879000</c:v>
                </c:pt>
                <c:pt idx="13" formatCode="General">
                  <c:v>893000</c:v>
                </c:pt>
                <c:pt idx="14" formatCode="General">
                  <c:v>904000</c:v>
                </c:pt>
                <c:pt idx="15" formatCode="General">
                  <c:v>913000</c:v>
                </c:pt>
                <c:pt idx="16" formatCode="General">
                  <c:v>917000</c:v>
                </c:pt>
                <c:pt idx="17" formatCode="General">
                  <c:v>918000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4C-41E0-80EE-8C31DD474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369311"/>
        <c:axId val="746371391"/>
      </c:scatterChart>
      <c:valAx>
        <c:axId val="74636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6371391"/>
        <c:crosses val="autoZero"/>
        <c:crossBetween val="midCat"/>
      </c:valAx>
      <c:valAx>
        <c:axId val="74637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636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AMS Mix</a:t>
            </a:r>
            <a:r>
              <a:rPr lang="fr-FR" baseline="0"/>
              <a:t> électrique en 2020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4C-4A30-A3D9-991E468A92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4C-4A30-A3D9-991E468A92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74C-4A30-A3D9-991E468A92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74C-4A30-A3D9-991E468A92A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74C-4A30-A3D9-991E468A92A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74C-4A30-A3D9-991E468A92A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74C-4A30-A3D9-991E468A92A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74C-4A30-A3D9-991E468A92A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74C-4A30-A3D9-991E468A92A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74C-4A30-A3D9-991E468A92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5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>
                  <a:noFill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'Prod Energie'!$A$52:$A$62</c15:sqref>
                  </c15:fullRef>
                </c:ext>
              </c:extLst>
              <c:f>'Prod Energie'!$A$53:$A$62</c:f>
              <c:strCache>
                <c:ptCount val="10"/>
                <c:pt idx="0">
                  <c:v>Charbon</c:v>
                </c:pt>
                <c:pt idx="1">
                  <c:v>Produits pétroliers raffinés</c:v>
                </c:pt>
                <c:pt idx="2">
                  <c:v>Photovoltaïque</c:v>
                </c:pt>
                <c:pt idx="3">
                  <c:v>Géothermie</c:v>
                </c:pt>
                <c:pt idx="4">
                  <c:v>Déchets</c:v>
                </c:pt>
                <c:pt idx="5">
                  <c:v>Biocarburants</c:v>
                </c:pt>
                <c:pt idx="6">
                  <c:v>Biomasse solide</c:v>
                </c:pt>
                <c:pt idx="7">
                  <c:v>Eolien</c:v>
                </c:pt>
                <c:pt idx="8">
                  <c:v>Hydraulique</c:v>
                </c:pt>
                <c:pt idx="9">
                  <c:v>Gaz Renouvelable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'Prod Energie'!$I$52:$I$62</c15:sqref>
                  </c15:fullRef>
                </c:ext>
              </c:extLst>
              <c:f>'Prod Energie'!$I$53:$I$62</c:f>
              <c:numCache>
                <c:formatCode>0\ %</c:formatCode>
                <c:ptCount val="10"/>
                <c:pt idx="0">
                  <c:v>0</c:v>
                </c:pt>
                <c:pt idx="1">
                  <c:v>0</c:v>
                </c:pt>
                <c:pt idx="2" formatCode="0%">
                  <c:v>0.32</c:v>
                </c:pt>
                <c:pt idx="3" formatCode="0%">
                  <c:v>0</c:v>
                </c:pt>
                <c:pt idx="4" formatCode="0%">
                  <c:v>0.04</c:v>
                </c:pt>
                <c:pt idx="5" formatCode="0%">
                  <c:v>0.12875167261205023</c:v>
                </c:pt>
                <c:pt idx="6" formatCode="0%">
                  <c:v>0.21</c:v>
                </c:pt>
                <c:pt idx="7" formatCode="0%">
                  <c:v>0.16</c:v>
                </c:pt>
                <c:pt idx="8" formatCode="0%">
                  <c:v>0.1</c:v>
                </c:pt>
                <c:pt idx="9" formatCode="0.00\ %">
                  <c:v>4.1248327387949757E-2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4-074C-4A30-A3D9-991E468A9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AME Mix</a:t>
            </a:r>
            <a:r>
              <a:rPr lang="fr-FR" baseline="0"/>
              <a:t> électrique en 2050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'Prod Energie'!$I$31</c:f>
              <c:strCache>
                <c:ptCount val="1"/>
                <c:pt idx="0">
                  <c:v>0 %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D4-4588-91F3-8D89EAEBD5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D4-4588-91F3-8D89EAEBD5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ED4-4588-91F3-8D89EAEBD5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ED4-4588-91F3-8D89EAEBD52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ED4-4588-91F3-8D89EAEBD52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ED4-4588-91F3-8D89EAEBD52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ED4-4588-91F3-8D89EAEBD52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ED4-4588-91F3-8D89EAEBD52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ED4-4588-91F3-8D89EAEBD52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ED4-4588-91F3-8D89EAEBD52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5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>
                  <a:noFill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'Prod Energie'!$A$32:$A$41</c:f>
              <c:strCache>
                <c:ptCount val="10"/>
                <c:pt idx="0">
                  <c:v>Charbon</c:v>
                </c:pt>
                <c:pt idx="1">
                  <c:v>Produits pétroliers raffinés</c:v>
                </c:pt>
                <c:pt idx="2">
                  <c:v>Photovoltaïque</c:v>
                </c:pt>
                <c:pt idx="3">
                  <c:v>Géothermie</c:v>
                </c:pt>
                <c:pt idx="4">
                  <c:v>Déchets</c:v>
                </c:pt>
                <c:pt idx="5">
                  <c:v>Biocarburants</c:v>
                </c:pt>
                <c:pt idx="6">
                  <c:v>Biomasse solide</c:v>
                </c:pt>
                <c:pt idx="7">
                  <c:v>Eolien</c:v>
                </c:pt>
                <c:pt idx="8">
                  <c:v>Hydraulique</c:v>
                </c:pt>
                <c:pt idx="9">
                  <c:v>Gaz Renouvelable</c:v>
                </c:pt>
              </c:strCache>
            </c:strRef>
          </c:cat>
          <c:val>
            <c:numRef>
              <c:f>'Prod Energie'!$I$32:$I$41</c:f>
              <c:numCache>
                <c:formatCode>0.00\ %</c:formatCode>
                <c:ptCount val="10"/>
                <c:pt idx="0" formatCode="0\ %">
                  <c:v>0</c:v>
                </c:pt>
                <c:pt idx="1">
                  <c:v>0.32584764925319631</c:v>
                </c:pt>
                <c:pt idx="2" formatCode="0%">
                  <c:v>0.26553610755992652</c:v>
                </c:pt>
                <c:pt idx="3" formatCode="0%">
                  <c:v>0</c:v>
                </c:pt>
                <c:pt idx="4" formatCode="0%">
                  <c:v>0</c:v>
                </c:pt>
                <c:pt idx="5" formatCode="0%">
                  <c:v>0</c:v>
                </c:pt>
                <c:pt idx="6" formatCode="0%">
                  <c:v>0.20624163693974876</c:v>
                </c:pt>
                <c:pt idx="7" formatCode="0%">
                  <c:v>7.7340613852405801E-2</c:v>
                </c:pt>
                <c:pt idx="8" formatCode="0%">
                  <c:v>8.3785665006772939E-2</c:v>
                </c:pt>
                <c:pt idx="9" formatCode="0%">
                  <c:v>4.1248327387949757E-2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ED4-4588-91F3-8D89EAEBD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démographique (Projections INSEE)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Calculs!$B$4:$S$4</c:f>
              <c:numCache>
                <c:formatCode>General</c:formatCode>
                <c:ptCount val="1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2025</c:v>
                </c:pt>
                <c:pt idx="13">
                  <c:v>2030</c:v>
                </c:pt>
                <c:pt idx="14">
                  <c:v>2035</c:v>
                </c:pt>
                <c:pt idx="15">
                  <c:v>2040</c:v>
                </c:pt>
                <c:pt idx="16">
                  <c:v>2045</c:v>
                </c:pt>
                <c:pt idx="17">
                  <c:v>2050</c:v>
                </c:pt>
              </c:numCache>
            </c:numRef>
          </c:xVal>
          <c:yVal>
            <c:numRef>
              <c:f>Calculs!$B$5:$S$5</c:f>
              <c:numCache>
                <c:formatCode>#,##0</c:formatCode>
                <c:ptCount val="18"/>
                <c:pt idx="0">
                  <c:v>821136</c:v>
                </c:pt>
                <c:pt idx="1">
                  <c:v>828581</c:v>
                </c:pt>
                <c:pt idx="2">
                  <c:v>833944</c:v>
                </c:pt>
                <c:pt idx="3">
                  <c:v>835103</c:v>
                </c:pt>
                <c:pt idx="4">
                  <c:v>842767</c:v>
                </c:pt>
                <c:pt idx="5">
                  <c:v>850727</c:v>
                </c:pt>
                <c:pt idx="6">
                  <c:v>852924</c:v>
                </c:pt>
                <c:pt idx="7">
                  <c:v>853659</c:v>
                </c:pt>
                <c:pt idx="8">
                  <c:v>855961</c:v>
                </c:pt>
                <c:pt idx="9">
                  <c:v>861210</c:v>
                </c:pt>
                <c:pt idx="10">
                  <c:v>863197</c:v>
                </c:pt>
                <c:pt idx="11" formatCode="General">
                  <c:v>866000</c:v>
                </c:pt>
                <c:pt idx="12" formatCode="General">
                  <c:v>879000</c:v>
                </c:pt>
                <c:pt idx="13" formatCode="General">
                  <c:v>893000</c:v>
                </c:pt>
                <c:pt idx="14" formatCode="General">
                  <c:v>904000</c:v>
                </c:pt>
                <c:pt idx="15" formatCode="General">
                  <c:v>913000</c:v>
                </c:pt>
                <c:pt idx="16" formatCode="General">
                  <c:v>917000</c:v>
                </c:pt>
                <c:pt idx="17" formatCode="General">
                  <c:v>918000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75-4196-AE9E-03222A97C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369311"/>
        <c:axId val="746371391"/>
      </c:scatterChart>
      <c:valAx>
        <c:axId val="74636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6371391"/>
        <c:crosses val="autoZero"/>
        <c:crossBetween val="midCat"/>
      </c:valAx>
      <c:valAx>
        <c:axId val="74637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636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5473009086050193E-2"/>
          <c:y val="6.8965517241379296E-2"/>
          <c:w val="0.92080883662925295"/>
          <c:h val="0.74712643678160895"/>
        </c:manualLayout>
      </c:layout>
      <c:areaChart>
        <c:grouping val="stacked"/>
        <c:varyColors val="1"/>
        <c:ser>
          <c:idx val="0"/>
          <c:order val="0"/>
          <c:spPr>
            <a:solidFill>
              <a:srgbClr val="D6DCE5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7F30-4B6C-B19B-BAC82E82D01E}"/>
            </c:ext>
          </c:extLst>
        </c:ser>
        <c:ser>
          <c:idx val="1"/>
          <c:order val="1"/>
          <c:spPr>
            <a:solidFill>
              <a:srgbClr val="0070C0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7F30-4B6C-B19B-BAC82E82D01E}"/>
            </c:ext>
          </c:extLst>
        </c:ser>
        <c:ser>
          <c:idx val="2"/>
          <c:order val="2"/>
          <c:spPr>
            <a:solidFill>
              <a:srgbClr val="FFD966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7F30-4B6C-B19B-BAC82E82D01E}"/>
            </c:ext>
          </c:extLst>
        </c:ser>
        <c:ser>
          <c:idx val="3"/>
          <c:order val="3"/>
          <c:spPr>
            <a:solidFill>
              <a:srgbClr val="E0E5B3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7F30-4B6C-B19B-BAC82E82D01E}"/>
            </c:ext>
          </c:extLst>
        </c:ser>
        <c:ser>
          <c:idx val="4"/>
          <c:order val="4"/>
          <c:spPr>
            <a:solidFill>
              <a:srgbClr val="92D050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7F30-4B6C-B19B-BAC82E82D01E}"/>
            </c:ext>
          </c:extLst>
        </c:ser>
        <c:ser>
          <c:idx val="5"/>
          <c:order val="5"/>
          <c:spPr>
            <a:solidFill>
              <a:srgbClr val="7030A0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5-7F30-4B6C-B19B-BAC82E82D01E}"/>
            </c:ext>
          </c:extLst>
        </c:ser>
        <c:ser>
          <c:idx val="6"/>
          <c:order val="6"/>
          <c:spPr>
            <a:solidFill>
              <a:srgbClr val="00B050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6-7F30-4B6C-B19B-BAC82E82D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3512"/>
        <c:axId val="53501863"/>
      </c:areaChart>
      <c:catAx>
        <c:axId val="20603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8B8B8B"/>
            </a:solidFill>
            <a:round/>
          </a:ln>
        </c:spPr>
        <c:txPr>
          <a:bodyPr rot="-5400000"/>
          <a:lstStyle/>
          <a:p>
            <a:pPr>
              <a:defRPr sz="800" b="0" strike="noStrike" spc="-1">
                <a:solidFill>
                  <a:srgbClr val="000000"/>
                </a:solidFill>
                <a:latin typeface="Trebuchet MS"/>
                <a:ea typeface="Trebuchet MS"/>
              </a:defRPr>
            </a:pPr>
            <a:endParaRPr lang="fr-FR"/>
          </a:p>
        </c:txPr>
        <c:crossAx val="53501863"/>
        <c:crosses val="autoZero"/>
        <c:auto val="1"/>
        <c:lblAlgn val="ctr"/>
        <c:lblOffset val="100"/>
        <c:noMultiLvlLbl val="1"/>
      </c:catAx>
      <c:valAx>
        <c:axId val="53501863"/>
        <c:scaling>
          <c:orientation val="minMax"/>
        </c:scaling>
        <c:delete val="0"/>
        <c:axPos val="l"/>
        <c:majorGridlines>
          <c:spPr>
            <a:ln w="180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800" b="0" strike="noStrike" spc="-1">
                    <a:solidFill>
                      <a:srgbClr val="000000"/>
                    </a:solidFill>
                    <a:latin typeface="Trebuchet MS"/>
                    <a:ea typeface="Calibri"/>
                  </a:defRPr>
                </a:pPr>
                <a:r>
                  <a:rPr lang="fr-FR" sz="800" b="0" strike="noStrike" spc="-1">
                    <a:solidFill>
                      <a:srgbClr val="000000"/>
                    </a:solidFill>
                    <a:latin typeface="Trebuchet MS"/>
                    <a:ea typeface="Calibri"/>
                  </a:rPr>
                  <a:t>milliers de tonnes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latin typeface="Trebuchet MS"/>
                <a:ea typeface="Trebuchet MS"/>
              </a:defRPr>
            </a:pPr>
            <a:endParaRPr lang="fr-FR"/>
          </a:p>
        </c:txPr>
        <c:crossAx val="2060351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863531088544494E-2"/>
          <c:y val="6.8965517241379296E-2"/>
          <c:w val="0.90441831462675903"/>
          <c:h val="0.74712643678160895"/>
        </c:manualLayout>
      </c:layout>
      <c:areaChart>
        <c:grouping val="stacked"/>
        <c:varyColors val="1"/>
        <c:ser>
          <c:idx val="0"/>
          <c:order val="0"/>
          <c:spPr>
            <a:solidFill>
              <a:srgbClr val="D6DCE5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7D1F-42BE-BB77-43BAABB51D52}"/>
            </c:ext>
          </c:extLst>
        </c:ser>
        <c:ser>
          <c:idx val="1"/>
          <c:order val="1"/>
          <c:spPr>
            <a:solidFill>
              <a:srgbClr val="0070C0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7D1F-42BE-BB77-43BAABB51D52}"/>
            </c:ext>
          </c:extLst>
        </c:ser>
        <c:ser>
          <c:idx val="2"/>
          <c:order val="2"/>
          <c:spPr>
            <a:solidFill>
              <a:srgbClr val="FFD966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7D1F-42BE-BB77-43BAABB51D52}"/>
            </c:ext>
          </c:extLst>
        </c:ser>
        <c:ser>
          <c:idx val="3"/>
          <c:order val="3"/>
          <c:spPr>
            <a:solidFill>
              <a:srgbClr val="E0E5B3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7D1F-42BE-BB77-43BAABB51D52}"/>
            </c:ext>
          </c:extLst>
        </c:ser>
        <c:ser>
          <c:idx val="4"/>
          <c:order val="4"/>
          <c:spPr>
            <a:solidFill>
              <a:srgbClr val="92D050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7D1F-42BE-BB77-43BAABB51D52}"/>
            </c:ext>
          </c:extLst>
        </c:ser>
        <c:ser>
          <c:idx val="5"/>
          <c:order val="5"/>
          <c:spPr>
            <a:solidFill>
              <a:srgbClr val="7030A0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5-7D1F-42BE-BB77-43BAABB51D52}"/>
            </c:ext>
          </c:extLst>
        </c:ser>
        <c:ser>
          <c:idx val="6"/>
          <c:order val="6"/>
          <c:spPr>
            <a:solidFill>
              <a:srgbClr val="00B050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6-7D1F-42BE-BB77-43BAABB51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313"/>
        <c:axId val="43706692"/>
      </c:areaChart>
      <c:catAx>
        <c:axId val="11413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8B8B8B"/>
            </a:solidFill>
            <a:round/>
          </a:ln>
        </c:spPr>
        <c:txPr>
          <a:bodyPr rot="-5400000"/>
          <a:lstStyle/>
          <a:p>
            <a:pPr>
              <a:defRPr sz="800" b="0" strike="noStrike" spc="-1">
                <a:solidFill>
                  <a:srgbClr val="000000"/>
                </a:solidFill>
                <a:latin typeface="Trebuchet MS"/>
                <a:ea typeface="Trebuchet MS"/>
              </a:defRPr>
            </a:pPr>
            <a:endParaRPr lang="fr-FR"/>
          </a:p>
        </c:txPr>
        <c:crossAx val="43706692"/>
        <c:crosses val="autoZero"/>
        <c:auto val="1"/>
        <c:lblAlgn val="ctr"/>
        <c:lblOffset val="100"/>
        <c:noMultiLvlLbl val="1"/>
      </c:catAx>
      <c:valAx>
        <c:axId val="43706692"/>
        <c:scaling>
          <c:orientation val="minMax"/>
        </c:scaling>
        <c:delete val="0"/>
        <c:axPos val="l"/>
        <c:majorGridlines>
          <c:spPr>
            <a:ln w="180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800" b="0" strike="noStrike" spc="-1">
                    <a:solidFill>
                      <a:srgbClr val="000000"/>
                    </a:solidFill>
                    <a:latin typeface="Trebuchet MS"/>
                    <a:ea typeface="Calibri"/>
                  </a:defRPr>
                </a:pPr>
                <a:r>
                  <a:rPr lang="fr-FR" sz="800" b="0" strike="noStrike" spc="-1">
                    <a:solidFill>
                      <a:srgbClr val="000000"/>
                    </a:solidFill>
                    <a:latin typeface="Trebuchet MS"/>
                    <a:ea typeface="Calibri"/>
                  </a:rPr>
                  <a:t>tonnes équivalent CO2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latin typeface="Trebuchet MS"/>
                <a:ea typeface="Trebuchet MS"/>
              </a:defRPr>
            </a:pPr>
            <a:endParaRPr lang="fr-FR"/>
          </a:p>
        </c:txPr>
        <c:crossAx val="114131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505997558344589E-2"/>
          <c:y val="6.7130443646000557E-2"/>
          <c:w val="0.92091956101877748"/>
          <c:h val="0.76366740565196345"/>
        </c:manualLayout>
      </c:layout>
      <c:areaChart>
        <c:grouping val="stacked"/>
        <c:varyColors val="0"/>
        <c:ser>
          <c:idx val="0"/>
          <c:order val="0"/>
          <c:tx>
            <c:strRef>
              <c:f>'CH4'!$B$7</c:f>
              <c:strCache>
                <c:ptCount val="1"/>
                <c:pt idx="0">
                  <c:v>Industrie de l'énergie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solidFill>
                <a:schemeClr val="bg1"/>
              </a:solidFill>
            </a:ln>
          </c:spPr>
          <c:cat>
            <c:numRef>
              <c:f>'CH4'!$C$6:$AF$6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'CH4'!$C$7:$AF$7</c:f>
              <c:numCache>
                <c:formatCode>0.0</c:formatCode>
                <c:ptCount val="30"/>
                <c:pt idx="0">
                  <c:v>0.25797024000000002</c:v>
                </c:pt>
                <c:pt idx="1">
                  <c:v>0.29521727999999997</c:v>
                </c:pt>
                <c:pt idx="2">
                  <c:v>0.34970832000000002</c:v>
                </c:pt>
                <c:pt idx="3">
                  <c:v>0.40919224811400001</c:v>
                </c:pt>
                <c:pt idx="4">
                  <c:v>0.41145952372200001</c:v>
                </c:pt>
                <c:pt idx="5">
                  <c:v>0.45992035416599991</c:v>
                </c:pt>
                <c:pt idx="6">
                  <c:v>0.50198297947199999</c:v>
                </c:pt>
                <c:pt idx="7">
                  <c:v>0.5060761340544</c:v>
                </c:pt>
                <c:pt idx="8">
                  <c:v>0.57896934698304015</c:v>
                </c:pt>
                <c:pt idx="9">
                  <c:v>0.60109612552360803</c:v>
                </c:pt>
                <c:pt idx="10">
                  <c:v>0.6735434566451759</c:v>
                </c:pt>
                <c:pt idx="11">
                  <c:v>0.75017044148529588</c:v>
                </c:pt>
                <c:pt idx="12">
                  <c:v>0.75109925342275219</c:v>
                </c:pt>
                <c:pt idx="13">
                  <c:v>0.75109925342275219</c:v>
                </c:pt>
                <c:pt idx="14">
                  <c:v>0.80788410395402399</c:v>
                </c:pt>
                <c:pt idx="15">
                  <c:v>0.85912832564182096</c:v>
                </c:pt>
                <c:pt idx="16">
                  <c:v>0.78262390001001625</c:v>
                </c:pt>
                <c:pt idx="17">
                  <c:v>0.74917309070960547</c:v>
                </c:pt>
                <c:pt idx="18">
                  <c:v>0.75139165768273497</c:v>
                </c:pt>
                <c:pt idx="19">
                  <c:v>0.74288715095240532</c:v>
                </c:pt>
                <c:pt idx="20">
                  <c:v>0.73271871899222862</c:v>
                </c:pt>
                <c:pt idx="21">
                  <c:v>0.72932150849517574</c:v>
                </c:pt>
                <c:pt idx="22">
                  <c:v>0.69802593386138256</c:v>
                </c:pt>
                <c:pt idx="23">
                  <c:v>0.69595739226140763</c:v>
                </c:pt>
                <c:pt idx="24">
                  <c:v>0.68557548286896419</c:v>
                </c:pt>
                <c:pt idx="25">
                  <c:v>0.67759508276658797</c:v>
                </c:pt>
                <c:pt idx="26">
                  <c:v>0.7427683502693283</c:v>
                </c:pt>
                <c:pt idx="27">
                  <c:v>0.72392573891649536</c:v>
                </c:pt>
                <c:pt idx="28">
                  <c:v>0.73929382972019331</c:v>
                </c:pt>
                <c:pt idx="29">
                  <c:v>0.76637270125651635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6A-496C-A4C6-80648A122AFC}"/>
            </c:ext>
          </c:extLst>
        </c:ser>
        <c:ser>
          <c:idx val="1"/>
          <c:order val="1"/>
          <c:tx>
            <c:strRef>
              <c:f>'CH4'!$B$8</c:f>
              <c:strCache>
                <c:ptCount val="1"/>
                <c:pt idx="0">
                  <c:v>Industrie manufacturière et construction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bg1"/>
              </a:solidFill>
            </a:ln>
          </c:spPr>
          <c:cat>
            <c:numRef>
              <c:f>'CH4'!$C$6:$AF$6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'CH4'!$C$8:$AF$8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6A-496C-A4C6-80648A122AFC}"/>
            </c:ext>
          </c:extLst>
        </c:ser>
        <c:ser>
          <c:idx val="2"/>
          <c:order val="2"/>
          <c:tx>
            <c:strRef>
              <c:f>'CH4'!$B$9</c:f>
              <c:strCache>
                <c:ptCount val="1"/>
                <c:pt idx="0">
                  <c:v>Traitement centralisé des déchets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bg1"/>
              </a:solidFill>
            </a:ln>
          </c:spPr>
          <c:cat>
            <c:numRef>
              <c:f>'CH4'!$C$6:$AF$6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'CH4'!$C$9:$AF$9</c:f>
              <c:numCache>
                <c:formatCode>#,##0</c:formatCode>
                <c:ptCount val="30"/>
                <c:pt idx="0">
                  <c:v>55.951208706369627</c:v>
                </c:pt>
                <c:pt idx="1">
                  <c:v>56.199495446214634</c:v>
                </c:pt>
                <c:pt idx="2">
                  <c:v>57.210316598112975</c:v>
                </c:pt>
                <c:pt idx="3">
                  <c:v>58.164270095135507</c:v>
                </c:pt>
                <c:pt idx="4">
                  <c:v>46.167158985723049</c:v>
                </c:pt>
                <c:pt idx="5">
                  <c:v>49.12389972924241</c:v>
                </c:pt>
                <c:pt idx="6">
                  <c:v>51.318580547440703</c:v>
                </c:pt>
                <c:pt idx="7">
                  <c:v>52.854939180945024</c:v>
                </c:pt>
                <c:pt idx="8">
                  <c:v>53.972290017371591</c:v>
                </c:pt>
                <c:pt idx="9">
                  <c:v>54.9353150007409</c:v>
                </c:pt>
                <c:pt idx="10">
                  <c:v>55.681609608738711</c:v>
                </c:pt>
                <c:pt idx="11">
                  <c:v>56.435546454812567</c:v>
                </c:pt>
                <c:pt idx="12">
                  <c:v>56.99325448991415</c:v>
                </c:pt>
                <c:pt idx="13">
                  <c:v>58.58606224341294</c:v>
                </c:pt>
                <c:pt idx="14">
                  <c:v>59.493039216382101</c:v>
                </c:pt>
                <c:pt idx="15">
                  <c:v>58.881806740703354</c:v>
                </c:pt>
                <c:pt idx="16">
                  <c:v>58.249378799507433</c:v>
                </c:pt>
                <c:pt idx="17">
                  <c:v>56.89810310495433</c:v>
                </c:pt>
                <c:pt idx="18">
                  <c:v>53.135003851559603</c:v>
                </c:pt>
                <c:pt idx="19">
                  <c:v>55.764501620753201</c:v>
                </c:pt>
                <c:pt idx="20">
                  <c:v>60.011913991686697</c:v>
                </c:pt>
                <c:pt idx="21">
                  <c:v>62.388640694235065</c:v>
                </c:pt>
                <c:pt idx="22">
                  <c:v>64.552880405592703</c:v>
                </c:pt>
                <c:pt idx="23">
                  <c:v>65.620162034155612</c:v>
                </c:pt>
                <c:pt idx="24">
                  <c:v>62.595256600456466</c:v>
                </c:pt>
                <c:pt idx="25">
                  <c:v>67.910660026531787</c:v>
                </c:pt>
                <c:pt idx="26">
                  <c:v>73.449373604156165</c:v>
                </c:pt>
                <c:pt idx="27">
                  <c:v>75.701675012017958</c:v>
                </c:pt>
                <c:pt idx="28">
                  <c:v>80.688699602145761</c:v>
                </c:pt>
                <c:pt idx="29">
                  <c:v>87.031706479010438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6A-496C-A4C6-80648A122AFC}"/>
            </c:ext>
          </c:extLst>
        </c:ser>
        <c:ser>
          <c:idx val="3"/>
          <c:order val="3"/>
          <c:tx>
            <c:strRef>
              <c:f>'CH4'!$B$10</c:f>
              <c:strCache>
                <c:ptCount val="1"/>
                <c:pt idx="0">
                  <c:v>Usage des bâtiments et activités résidentiels/tertiaires</c:v>
                </c:pt>
              </c:strCache>
            </c:strRef>
          </c:tx>
          <c:spPr>
            <a:solidFill>
              <a:srgbClr val="E0E5B3"/>
            </a:solidFill>
            <a:ln>
              <a:solidFill>
                <a:schemeClr val="bg1"/>
              </a:solidFill>
            </a:ln>
          </c:spPr>
          <c:cat>
            <c:numRef>
              <c:f>'CH4'!$C$6:$AF$6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'CH4'!$C$10:$AF$10</c:f>
              <c:numCache>
                <c:formatCode>#,##0</c:formatCode>
                <c:ptCount val="30"/>
                <c:pt idx="0">
                  <c:v>76.556503822500005</c:v>
                </c:pt>
                <c:pt idx="1">
                  <c:v>77.0157172575</c:v>
                </c:pt>
                <c:pt idx="2">
                  <c:v>77.477685973109999</c:v>
                </c:pt>
                <c:pt idx="3">
                  <c:v>77.942426501013642</c:v>
                </c:pt>
                <c:pt idx="4">
                  <c:v>78.409955472084732</c:v>
                </c:pt>
                <c:pt idx="5">
                  <c:v>78.881819760982253</c:v>
                </c:pt>
                <c:pt idx="6">
                  <c:v>79.134331697999983</c:v>
                </c:pt>
                <c:pt idx="7">
                  <c:v>79.768201839749992</c:v>
                </c:pt>
                <c:pt idx="8">
                  <c:v>80.407135023227994</c:v>
                </c:pt>
                <c:pt idx="9">
                  <c:v>81.051601536517836</c:v>
                </c:pt>
                <c:pt idx="10">
                  <c:v>81.70063634323796</c:v>
                </c:pt>
                <c:pt idx="11">
                  <c:v>82.354041513383848</c:v>
                </c:pt>
                <c:pt idx="12">
                  <c:v>83.012417534690925</c:v>
                </c:pt>
                <c:pt idx="13">
                  <c:v>83.482888949999989</c:v>
                </c:pt>
                <c:pt idx="14">
                  <c:v>81.758573621999986</c:v>
                </c:pt>
                <c:pt idx="15">
                  <c:v>80.014250696687981</c:v>
                </c:pt>
                <c:pt idx="16">
                  <c:v>78.334227404457536</c:v>
                </c:pt>
                <c:pt idx="17">
                  <c:v>76.689774156068921</c:v>
                </c:pt>
                <c:pt idx="18">
                  <c:v>75.113203499999983</c:v>
                </c:pt>
                <c:pt idx="19">
                  <c:v>73.665593999999984</c:v>
                </c:pt>
                <c:pt idx="20">
                  <c:v>71.920092600000004</c:v>
                </c:pt>
                <c:pt idx="21">
                  <c:v>70.023987000000005</c:v>
                </c:pt>
                <c:pt idx="22">
                  <c:v>69.248310749999987</c:v>
                </c:pt>
                <c:pt idx="23">
                  <c:v>68.164861500000001</c:v>
                </c:pt>
                <c:pt idx="24">
                  <c:v>63.647005500000006</c:v>
                </c:pt>
                <c:pt idx="25">
                  <c:v>65.393712000000008</c:v>
                </c:pt>
                <c:pt idx="26">
                  <c:v>68.16734550000001</c:v>
                </c:pt>
                <c:pt idx="27">
                  <c:v>66.980330999999993</c:v>
                </c:pt>
                <c:pt idx="28">
                  <c:v>64.598436000000007</c:v>
                </c:pt>
                <c:pt idx="29">
                  <c:v>63.894788999999996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6A-496C-A4C6-80648A122AFC}"/>
            </c:ext>
          </c:extLst>
        </c:ser>
        <c:ser>
          <c:idx val="4"/>
          <c:order val="4"/>
          <c:tx>
            <c:strRef>
              <c:f>'CH4'!$B$11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bg1"/>
              </a:solidFill>
            </a:ln>
          </c:spPr>
          <c:cat>
            <c:numRef>
              <c:f>'CH4'!$C$6:$AF$6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'CH4'!$C$11:$AF$11</c:f>
              <c:numCache>
                <c:formatCode>#,##0</c:formatCode>
                <c:ptCount val="30"/>
                <c:pt idx="0">
                  <c:v>119.48110217458655</c:v>
                </c:pt>
                <c:pt idx="1">
                  <c:v>132.88535288182393</c:v>
                </c:pt>
                <c:pt idx="2">
                  <c:v>148.06334630718794</c:v>
                </c:pt>
                <c:pt idx="3">
                  <c:v>186.427484929234</c:v>
                </c:pt>
                <c:pt idx="4">
                  <c:v>225.81819452284401</c:v>
                </c:pt>
                <c:pt idx="5">
                  <c:v>265.80155459207282</c:v>
                </c:pt>
                <c:pt idx="6">
                  <c:v>307.9853007700583</c:v>
                </c:pt>
                <c:pt idx="7">
                  <c:v>321.24600537467921</c:v>
                </c:pt>
                <c:pt idx="8">
                  <c:v>339.31733907338247</c:v>
                </c:pt>
                <c:pt idx="9">
                  <c:v>350.34011877029445</c:v>
                </c:pt>
                <c:pt idx="10">
                  <c:v>379.96505110615306</c:v>
                </c:pt>
                <c:pt idx="11">
                  <c:v>411.40169622605174</c:v>
                </c:pt>
                <c:pt idx="12">
                  <c:v>411.89031279719319</c:v>
                </c:pt>
                <c:pt idx="13">
                  <c:v>409.12028960795641</c:v>
                </c:pt>
                <c:pt idx="14">
                  <c:v>403.12416030301426</c:v>
                </c:pt>
                <c:pt idx="15">
                  <c:v>396.75465520283205</c:v>
                </c:pt>
                <c:pt idx="16">
                  <c:v>392.58899329349646</c:v>
                </c:pt>
                <c:pt idx="17">
                  <c:v>388.53295934558889</c:v>
                </c:pt>
                <c:pt idx="18">
                  <c:v>382.48808642104274</c:v>
                </c:pt>
                <c:pt idx="19">
                  <c:v>374.66664161633145</c:v>
                </c:pt>
                <c:pt idx="20">
                  <c:v>365.79317615545114</c:v>
                </c:pt>
                <c:pt idx="21">
                  <c:v>360.08967260251353</c:v>
                </c:pt>
                <c:pt idx="22">
                  <c:v>351.62603149232552</c:v>
                </c:pt>
                <c:pt idx="23">
                  <c:v>344.70872120668173</c:v>
                </c:pt>
                <c:pt idx="24">
                  <c:v>339.04010484970945</c:v>
                </c:pt>
                <c:pt idx="25">
                  <c:v>345.42491122047511</c:v>
                </c:pt>
                <c:pt idx="26">
                  <c:v>359.79050315309973</c:v>
                </c:pt>
                <c:pt idx="27">
                  <c:v>350.48779324899886</c:v>
                </c:pt>
                <c:pt idx="28">
                  <c:v>345.53964871427536</c:v>
                </c:pt>
                <c:pt idx="29">
                  <c:v>345.3196777573628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6A-496C-A4C6-80648A122AFC}"/>
            </c:ext>
          </c:extLst>
        </c:ser>
        <c:ser>
          <c:idx val="5"/>
          <c:order val="5"/>
          <c:tx>
            <c:strRef>
              <c:f>'CH4'!$B$12</c:f>
              <c:strCache>
                <c:ptCount val="1"/>
                <c:pt idx="0">
                  <c:v>Transports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bg1"/>
              </a:solidFill>
            </a:ln>
          </c:spPr>
          <c:cat>
            <c:numRef>
              <c:f>'CH4'!$C$6:$AF$6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'CH4'!$C$12:$AF$12</c:f>
              <c:numCache>
                <c:formatCode>0.0</c:formatCode>
                <c:ptCount val="30"/>
                <c:pt idx="0">
                  <c:v>3.1331858904747656</c:v>
                </c:pt>
                <c:pt idx="1">
                  <c:v>3.2690509244525527</c:v>
                </c:pt>
                <c:pt idx="2">
                  <c:v>3.3683586058408546</c:v>
                </c:pt>
                <c:pt idx="3">
                  <c:v>3.6376159854629853</c:v>
                </c:pt>
                <c:pt idx="4">
                  <c:v>3.5525693496438007</c:v>
                </c:pt>
                <c:pt idx="5">
                  <c:v>3.3559691969101815</c:v>
                </c:pt>
                <c:pt idx="6">
                  <c:v>3.3191588314320546</c:v>
                </c:pt>
                <c:pt idx="7">
                  <c:v>3.1145529384017281</c:v>
                </c:pt>
                <c:pt idx="8">
                  <c:v>2.918078719880945</c:v>
                </c:pt>
                <c:pt idx="9">
                  <c:v>3.1940404734335388</c:v>
                </c:pt>
                <c:pt idx="10">
                  <c:v>3.184421781271193</c:v>
                </c:pt>
                <c:pt idx="11">
                  <c:v>2.8312843876664231</c:v>
                </c:pt>
                <c:pt idx="12">
                  <c:v>2.6598203816297228</c:v>
                </c:pt>
                <c:pt idx="13">
                  <c:v>2.3018917440613569</c:v>
                </c:pt>
                <c:pt idx="14">
                  <c:v>2.1364505859512022</c:v>
                </c:pt>
                <c:pt idx="15">
                  <c:v>1.8586306903579966</c:v>
                </c:pt>
                <c:pt idx="16">
                  <c:v>1.6435322145243083</c:v>
                </c:pt>
                <c:pt idx="17">
                  <c:v>1.4931462419775696</c:v>
                </c:pt>
                <c:pt idx="18">
                  <c:v>1.4974337802317463</c:v>
                </c:pt>
                <c:pt idx="19">
                  <c:v>1.1714142977261128</c:v>
                </c:pt>
                <c:pt idx="20">
                  <c:v>1.0663926708781468</c:v>
                </c:pt>
                <c:pt idx="21">
                  <c:v>0.98426822285723126</c:v>
                </c:pt>
                <c:pt idx="22">
                  <c:v>0.93056123298859117</c:v>
                </c:pt>
                <c:pt idx="23">
                  <c:v>0.8075848269648771</c:v>
                </c:pt>
                <c:pt idx="24">
                  <c:v>0.74175803026514686</c:v>
                </c:pt>
                <c:pt idx="25">
                  <c:v>0.68492195088723296</c:v>
                </c:pt>
                <c:pt idx="26">
                  <c:v>0.65447806450918544</c:v>
                </c:pt>
                <c:pt idx="27">
                  <c:v>0.63159379974708918</c:v>
                </c:pt>
                <c:pt idx="28">
                  <c:v>0.61586706276523429</c:v>
                </c:pt>
                <c:pt idx="29">
                  <c:v>0.60355334317232234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6A-496C-A4C6-80648A122AFC}"/>
            </c:ext>
          </c:extLst>
        </c:ser>
        <c:ser>
          <c:idx val="6"/>
          <c:order val="6"/>
          <c:tx>
            <c:strRef>
              <c:f>'CH4'!$B$15</c:f>
              <c:strCache>
                <c:ptCount val="1"/>
                <c:pt idx="0">
                  <c:v>UTCATF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bg1"/>
              </a:solidFill>
            </a:ln>
          </c:spPr>
          <c:cat>
            <c:numRef>
              <c:f>'CH4'!$C$6:$AF$6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'CH4'!$C$15:$AF$15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6A-496C-A4C6-80648A122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120232"/>
        <c:axId val="1"/>
      </c:areaChart>
      <c:catAx>
        <c:axId val="385120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/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fr-FR"/>
          </a:p>
        </c:txPr>
        <c:crossAx val="1"/>
        <c:crosses val="autoZero"/>
        <c:auto val="1"/>
        <c:lblAlgn val="ctr"/>
        <c:lblOffset val="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1905"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>
                    <a:latin typeface="Trebuchet MS" panose="020B0603020202020204" pitchFamily="34" charset="0"/>
                  </a:defRPr>
                </a:pPr>
                <a:r>
                  <a:rPr lang="fr-FR" sz="800">
                    <a:latin typeface="Trebuchet MS" panose="020B0603020202020204" pitchFamily="34" charset="0"/>
                  </a:rPr>
                  <a:t>tonnes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 w="3175"/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fr-FR"/>
          </a:p>
        </c:txPr>
        <c:crossAx val="385120232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233" l="0.70000000000000062" r="0.70000000000000062" t="0.75000000000000233" header="0.30000000000000032" footer="0.30000000000000032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r>
              <a:rPr lang="fr-FR" sz="1000"/>
              <a:t>1990</a:t>
            </a:r>
          </a:p>
        </c:rich>
      </c:tx>
      <c:layout>
        <c:manualLayout>
          <c:xMode val="edge"/>
          <c:yMode val="edge"/>
          <c:x val="0.41214352752647893"/>
          <c:y val="0.4829843712717728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22129647901693"/>
          <c:y val="0.13468025320364366"/>
          <c:w val="0.79335455761561979"/>
          <c:h val="0.82040026246719155"/>
        </c:manualLayout>
      </c:layout>
      <c:doughnutChart>
        <c:varyColors val="1"/>
        <c:ser>
          <c:idx val="0"/>
          <c:order val="0"/>
          <c:tx>
            <c:strRef>
              <c:f>'CH4'!$C$6</c:f>
              <c:strCache>
                <c:ptCount val="1"/>
                <c:pt idx="0">
                  <c:v>1990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21B2-47F7-9D74-4CA4B4DEEB75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21B2-47F7-9D74-4CA4B4DEEB75}"/>
              </c:ext>
            </c:extLst>
          </c:dPt>
          <c:dPt>
            <c:idx val="2"/>
            <c:bubble3D val="0"/>
            <c:spPr>
              <a:solidFill>
                <a:srgbClr val="B3A2C7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21B2-47F7-9D74-4CA4B4DEEB75}"/>
              </c:ext>
            </c:extLst>
          </c:dPt>
          <c:dPt>
            <c:idx val="3"/>
            <c:bubble3D val="0"/>
            <c:spPr>
              <a:solidFill>
                <a:srgbClr val="E0E5B3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21B2-47F7-9D74-4CA4B4DEEB75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21B2-47F7-9D74-4CA4B4DEEB75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21B2-47F7-9D74-4CA4B4DEEB75}"/>
              </c:ext>
            </c:extLst>
          </c:dPt>
          <c:dPt>
            <c:idx val="6"/>
            <c:bubble3D val="0"/>
            <c:spPr>
              <a:solidFill>
                <a:srgbClr val="00B050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21B2-47F7-9D74-4CA4B4DEEB75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1B2-47F7-9D74-4CA4B4DEEB7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B2-47F7-9D74-4CA4B4DEEB75}"/>
                </c:ext>
              </c:extLst>
            </c:dLbl>
            <c:dLbl>
              <c:idx val="3"/>
              <c:layout>
                <c:manualLayout>
                  <c:x val="1.2185917182589189E-3"/>
                  <c:y val="2.961865060985024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1B2-47F7-9D74-4CA4B4DEEB75}"/>
                </c:ext>
              </c:extLst>
            </c:dLbl>
            <c:dLbl>
              <c:idx val="5"/>
              <c:layout>
                <c:manualLayout>
                  <c:x val="7.742737651181191E-3"/>
                  <c:y val="8.6133073571989072E-2"/>
                </c:manualLayout>
              </c:layout>
              <c:spPr/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ysClr val="windowText" lastClr="000000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1B2-47F7-9D74-4CA4B4DEEB7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1B2-47F7-9D74-4CA4B4DEEB7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ysClr val="windowText" lastClr="000000"/>
                    </a:solidFill>
                    <a:latin typeface="Trebuchet MS"/>
                    <a:ea typeface="Trebuchet MS"/>
                    <a:cs typeface="Trebuchet M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'CH4'!$B$7:$B$11</c:f>
              <c:strCache>
                <c:ptCount val="5"/>
                <c:pt idx="0">
                  <c:v>Industrie de l'énergie</c:v>
                </c:pt>
                <c:pt idx="1">
                  <c:v>Industrie manufacturière et construction</c:v>
                </c:pt>
                <c:pt idx="2">
                  <c:v>Traitement centralisé des déchets</c:v>
                </c:pt>
                <c:pt idx="3">
                  <c:v>Usage des bâtiments et activités résidentiels/tertiaires</c:v>
                </c:pt>
                <c:pt idx="4">
                  <c:v>Agriculture</c:v>
                </c:pt>
              </c:strCache>
            </c:strRef>
          </c:cat>
          <c:val>
            <c:numRef>
              <c:f>('CH4'!$C$7:$C$11,'CH4'!$C$12,'CH4'!$C$15)</c:f>
              <c:numCache>
                <c:formatCode>0.0</c:formatCode>
                <c:ptCount val="7"/>
                <c:pt idx="0">
                  <c:v>0.25797024000000002</c:v>
                </c:pt>
                <c:pt idx="1">
                  <c:v>0</c:v>
                </c:pt>
                <c:pt idx="2" formatCode="#,##0">
                  <c:v>55.951208706369627</c:v>
                </c:pt>
                <c:pt idx="3" formatCode="#,##0">
                  <c:v>76.556503822500005</c:v>
                </c:pt>
                <c:pt idx="4" formatCode="#,##0">
                  <c:v>119.48110217458655</c:v>
                </c:pt>
                <c:pt idx="5">
                  <c:v>3.1331858904747656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1B2-47F7-9D74-4CA4B4DEEB75}"/>
            </c:ext>
          </c:extLst>
        </c:ser>
        <c:ser>
          <c:idx val="1"/>
          <c:order val="1"/>
          <c:tx>
            <c:strRef>
              <c:f>'CH4'!$AF$6</c:f>
              <c:strCache>
                <c:ptCount val="1"/>
                <c:pt idx="0">
                  <c:v>2019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21B2-47F7-9D74-4CA4B4DEEB75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21B2-47F7-9D74-4CA4B4DEEB75}"/>
              </c:ext>
            </c:extLst>
          </c:dPt>
          <c:dPt>
            <c:idx val="2"/>
            <c:bubble3D val="0"/>
            <c:spPr>
              <a:solidFill>
                <a:srgbClr val="B3A2C7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21B2-47F7-9D74-4CA4B4DEEB75}"/>
              </c:ext>
            </c:extLst>
          </c:dPt>
          <c:dPt>
            <c:idx val="3"/>
            <c:bubble3D val="0"/>
            <c:spPr>
              <a:solidFill>
                <a:srgbClr val="E0E5B3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21B2-47F7-9D74-4CA4B4DEEB75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21B2-47F7-9D74-4CA4B4DEEB75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21B2-47F7-9D74-4CA4B4DEEB75}"/>
              </c:ext>
            </c:extLst>
          </c:dPt>
          <c:dPt>
            <c:idx val="6"/>
            <c:bubble3D val="0"/>
            <c:spPr>
              <a:solidFill>
                <a:srgbClr val="00B050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21B2-47F7-9D74-4CA4B4DEEB75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1B2-47F7-9D74-4CA4B4DEEB7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1B2-47F7-9D74-4CA4B4DEEB75}"/>
                </c:ext>
              </c:extLst>
            </c:dLbl>
            <c:dLbl>
              <c:idx val="2"/>
              <c:layout>
                <c:manualLayout>
                  <c:x val="-1.4953279831204621E-2"/>
                  <c:y val="-6.8728522336769758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1B2-47F7-9D74-4CA4B4DEEB75}"/>
                </c:ext>
              </c:extLst>
            </c:dLbl>
            <c:dLbl>
              <c:idx val="3"/>
              <c:layout>
                <c:manualLayout>
                  <c:x val="-3.6953439960814658E-3"/>
                  <c:y val="-3.6323294639716429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1B2-47F7-9D74-4CA4B4DEEB7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1B2-47F7-9D74-4CA4B4DEEB7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1B2-47F7-9D74-4CA4B4DEEB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latin typeface="Trebuchet MS" panose="020B0603020202020204" pitchFamily="34" charset="0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'CH4'!$B$7:$B$11</c:f>
              <c:strCache>
                <c:ptCount val="5"/>
                <c:pt idx="0">
                  <c:v>Industrie de l'énergie</c:v>
                </c:pt>
                <c:pt idx="1">
                  <c:v>Industrie manufacturière et construction</c:v>
                </c:pt>
                <c:pt idx="2">
                  <c:v>Traitement centralisé des déchets</c:v>
                </c:pt>
                <c:pt idx="3">
                  <c:v>Usage des bâtiments et activités résidentiels/tertiaires</c:v>
                </c:pt>
                <c:pt idx="4">
                  <c:v>Agriculture</c:v>
                </c:pt>
              </c:strCache>
            </c:strRef>
          </c:cat>
          <c:val>
            <c:numRef>
              <c:f>('CH4'!$AF$7:$AF$12,'CH4'!$AF$15)</c:f>
              <c:numCache>
                <c:formatCode>0.0</c:formatCode>
                <c:ptCount val="7"/>
                <c:pt idx="0">
                  <c:v>0.76637270125651635</c:v>
                </c:pt>
                <c:pt idx="1">
                  <c:v>0</c:v>
                </c:pt>
                <c:pt idx="2" formatCode="#,##0">
                  <c:v>87.031706479010438</c:v>
                </c:pt>
                <c:pt idx="3" formatCode="#,##0">
                  <c:v>63.894788999999996</c:v>
                </c:pt>
                <c:pt idx="4" formatCode="#,##0">
                  <c:v>345.3196777573628</c:v>
                </c:pt>
                <c:pt idx="5">
                  <c:v>0.60355334317232234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1B2-47F7-9D74-4CA4B4DEE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505997558344589E-2"/>
          <c:y val="6.7130443646000557E-2"/>
          <c:w val="0.92091956101877748"/>
          <c:h val="0.76366740565196345"/>
        </c:manualLayout>
      </c:layout>
      <c:areaChart>
        <c:grouping val="stacked"/>
        <c:varyColors val="0"/>
        <c:ser>
          <c:idx val="0"/>
          <c:order val="0"/>
          <c:tx>
            <c:strRef>
              <c:f>N2O!$B$7</c:f>
              <c:strCache>
                <c:ptCount val="1"/>
                <c:pt idx="0">
                  <c:v>Industrie de l'énergie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solidFill>
                <a:schemeClr val="bg1"/>
              </a:solidFill>
            </a:ln>
          </c:spPr>
          <c:cat>
            <c:numRef>
              <c:f>N2O!$C$6:$AF$6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N2O!$C$7:$AF$7</c:f>
              <c:numCache>
                <c:formatCode>0.0</c:formatCode>
                <c:ptCount val="30"/>
                <c:pt idx="0">
                  <c:v>9.6738839999999993E-2</c:v>
                </c:pt>
                <c:pt idx="1">
                  <c:v>0.11070647999999998</c:v>
                </c:pt>
                <c:pt idx="2">
                  <c:v>0.13114061999999999</c:v>
                </c:pt>
                <c:pt idx="3">
                  <c:v>0.15344709304275</c:v>
                </c:pt>
                <c:pt idx="4">
                  <c:v>0.15429732139575</c:v>
                </c:pt>
                <c:pt idx="5">
                  <c:v>0.17247013281224993</c:v>
                </c:pt>
                <c:pt idx="6">
                  <c:v>0.18824361730200001</c:v>
                </c:pt>
                <c:pt idx="7">
                  <c:v>0.1897785502704</c:v>
                </c:pt>
                <c:pt idx="8">
                  <c:v>0.21711350511864003</c:v>
                </c:pt>
                <c:pt idx="9">
                  <c:v>0.22541104707135301</c:v>
                </c:pt>
                <c:pt idx="10">
                  <c:v>0.25257879624194102</c:v>
                </c:pt>
                <c:pt idx="11">
                  <c:v>0.28131391555698598</c:v>
                </c:pt>
                <c:pt idx="12">
                  <c:v>0.28166222003353208</c:v>
                </c:pt>
                <c:pt idx="13">
                  <c:v>0.28166222003353208</c:v>
                </c:pt>
                <c:pt idx="14">
                  <c:v>0.30295653898275898</c:v>
                </c:pt>
                <c:pt idx="15">
                  <c:v>0.32217312211568283</c:v>
                </c:pt>
                <c:pt idx="16">
                  <c:v>0.29348396250375602</c:v>
                </c:pt>
                <c:pt idx="17">
                  <c:v>0.28093990901610205</c:v>
                </c:pt>
                <c:pt idx="18">
                  <c:v>0.28177187163102563</c:v>
                </c:pt>
                <c:pt idx="19">
                  <c:v>0.27858268160715199</c:v>
                </c:pt>
                <c:pt idx="20">
                  <c:v>0.27476951962208573</c:v>
                </c:pt>
                <c:pt idx="21">
                  <c:v>0.27349556568569083</c:v>
                </c:pt>
                <c:pt idx="22">
                  <c:v>0.26175972519801843</c:v>
                </c:pt>
                <c:pt idx="23">
                  <c:v>0.26098402209802785</c:v>
                </c:pt>
                <c:pt idx="24">
                  <c:v>0.25709080607586154</c:v>
                </c:pt>
                <c:pt idx="25">
                  <c:v>0.25409815603747044</c:v>
                </c:pt>
                <c:pt idx="26">
                  <c:v>0.27853813135099814</c:v>
                </c:pt>
                <c:pt idx="27">
                  <c:v>0.27147215209368575</c:v>
                </c:pt>
                <c:pt idx="28">
                  <c:v>0.27723518614507248</c:v>
                </c:pt>
                <c:pt idx="29">
                  <c:v>0.28738976297119373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7-4EAF-BEEA-48D11B8DCA99}"/>
            </c:ext>
          </c:extLst>
        </c:ser>
        <c:ser>
          <c:idx val="1"/>
          <c:order val="1"/>
          <c:tx>
            <c:strRef>
              <c:f>N2O!$B$8</c:f>
              <c:strCache>
                <c:ptCount val="1"/>
                <c:pt idx="0">
                  <c:v>Industrie manufacturière et construction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bg1"/>
              </a:solidFill>
            </a:ln>
          </c:spPr>
          <c:cat>
            <c:numRef>
              <c:f>N2O!$C$6:$AF$6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N2O!$C$8:$AF$8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7-4EAF-BEEA-48D11B8DCA99}"/>
            </c:ext>
          </c:extLst>
        </c:ser>
        <c:ser>
          <c:idx val="2"/>
          <c:order val="2"/>
          <c:tx>
            <c:strRef>
              <c:f>N2O!$B$9</c:f>
              <c:strCache>
                <c:ptCount val="1"/>
                <c:pt idx="0">
                  <c:v>Traitement centralisé des déchets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bg1"/>
              </a:solidFill>
            </a:ln>
          </c:spPr>
          <c:cat>
            <c:numRef>
              <c:f>N2O!$C$6:$AF$6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N2O!$C$9:$AF$9</c:f>
              <c:numCache>
                <c:formatCode>#\ ##0.0</c:formatCode>
                <c:ptCount val="30"/>
                <c:pt idx="0">
                  <c:v>0.86010476282499959</c:v>
                </c:pt>
                <c:pt idx="1">
                  <c:v>0.86526539140194947</c:v>
                </c:pt>
                <c:pt idx="2">
                  <c:v>0.87045698375036107</c:v>
                </c:pt>
                <c:pt idx="3">
                  <c:v>0.87567972565286312</c:v>
                </c:pt>
                <c:pt idx="4">
                  <c:v>0.88093380400678034</c:v>
                </c:pt>
                <c:pt idx="5">
                  <c:v>0.88621940683082134</c:v>
                </c:pt>
                <c:pt idx="6">
                  <c:v>0.88903641518999932</c:v>
                </c:pt>
                <c:pt idx="7">
                  <c:v>0.89614870651151946</c:v>
                </c:pt>
                <c:pt idx="8">
                  <c:v>0.90331789616361169</c:v>
                </c:pt>
                <c:pt idx="9">
                  <c:v>0.91054443933292051</c:v>
                </c:pt>
                <c:pt idx="10">
                  <c:v>0.91782879484758395</c:v>
                </c:pt>
                <c:pt idx="11">
                  <c:v>0.92517142520636464</c:v>
                </c:pt>
                <c:pt idx="12">
                  <c:v>0.93257279660801551</c:v>
                </c:pt>
                <c:pt idx="13">
                  <c:v>0.93786250095999935</c:v>
                </c:pt>
                <c:pt idx="14">
                  <c:v>0.91816738843983936</c:v>
                </c:pt>
                <c:pt idx="15">
                  <c:v>0.89888587328260272</c:v>
                </c:pt>
                <c:pt idx="16">
                  <c:v>0.88000926994366802</c:v>
                </c:pt>
                <c:pt idx="17">
                  <c:v>0.86152907527485112</c:v>
                </c:pt>
                <c:pt idx="18">
                  <c:v>0.8437875619249996</c:v>
                </c:pt>
                <c:pt idx="19">
                  <c:v>0.8272820856299995</c:v>
                </c:pt>
                <c:pt idx="20">
                  <c:v>0.80757592761999952</c:v>
                </c:pt>
                <c:pt idx="21">
                  <c:v>0.78630080798499957</c:v>
                </c:pt>
                <c:pt idx="22">
                  <c:v>0.77757738134999932</c:v>
                </c:pt>
                <c:pt idx="23">
                  <c:v>0.76546499760499942</c:v>
                </c:pt>
                <c:pt idx="24">
                  <c:v>0.71463064095499962</c:v>
                </c:pt>
                <c:pt idx="25">
                  <c:v>0.72334888135714215</c:v>
                </c:pt>
                <c:pt idx="26">
                  <c:v>0.74584163635142797</c:v>
                </c:pt>
                <c:pt idx="27">
                  <c:v>0.73727779047999964</c:v>
                </c:pt>
                <c:pt idx="28">
                  <c:v>0.71106948450999952</c:v>
                </c:pt>
                <c:pt idx="29">
                  <c:v>0.7033177320399997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37-4EAF-BEEA-48D11B8DCA99}"/>
            </c:ext>
          </c:extLst>
        </c:ser>
        <c:ser>
          <c:idx val="3"/>
          <c:order val="3"/>
          <c:tx>
            <c:strRef>
              <c:f>N2O!$B$10</c:f>
              <c:strCache>
                <c:ptCount val="1"/>
                <c:pt idx="0">
                  <c:v>Usage des bâtiments et activités résidentiels/tertiaires</c:v>
                </c:pt>
              </c:strCache>
            </c:strRef>
          </c:tx>
          <c:spPr>
            <a:solidFill>
              <a:srgbClr val="E0E5B3"/>
            </a:solidFill>
            <a:ln>
              <a:solidFill>
                <a:schemeClr val="bg1"/>
              </a:solidFill>
            </a:ln>
          </c:spPr>
          <c:cat>
            <c:numRef>
              <c:f>N2O!$C$6:$AF$6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N2O!$C$10:$AF$10</c:f>
              <c:numCache>
                <c:formatCode>#\ ##0.0</c:formatCode>
                <c:ptCount val="30"/>
                <c:pt idx="0">
                  <c:v>9.6240290748427576E-2</c:v>
                </c:pt>
                <c:pt idx="1">
                  <c:v>9.7513905948060198E-2</c:v>
                </c:pt>
                <c:pt idx="2">
                  <c:v>9.7643047739985556E-2</c:v>
                </c:pt>
                <c:pt idx="3">
                  <c:v>9.7907721991645852E-2</c:v>
                </c:pt>
                <c:pt idx="4">
                  <c:v>9.8208957315587986E-2</c:v>
                </c:pt>
                <c:pt idx="5">
                  <c:v>9.8586151901155258E-2</c:v>
                </c:pt>
                <c:pt idx="6">
                  <c:v>9.867358507860588E-2</c:v>
                </c:pt>
                <c:pt idx="7">
                  <c:v>9.9367514685931163E-2</c:v>
                </c:pt>
                <c:pt idx="8">
                  <c:v>9.9778119254246997E-2</c:v>
                </c:pt>
                <c:pt idx="9">
                  <c:v>0.10014018053329198</c:v>
                </c:pt>
                <c:pt idx="10">
                  <c:v>0.10041047465598407</c:v>
                </c:pt>
                <c:pt idx="11">
                  <c:v>0.10058541612015837</c:v>
                </c:pt>
                <c:pt idx="12">
                  <c:v>0.10072685853216358</c:v>
                </c:pt>
                <c:pt idx="13">
                  <c:v>0.10267164243335956</c:v>
                </c:pt>
                <c:pt idx="14">
                  <c:v>0.10091929839952628</c:v>
                </c:pt>
                <c:pt idx="15">
                  <c:v>9.9571578280209322E-2</c:v>
                </c:pt>
                <c:pt idx="16">
                  <c:v>9.8413758183341818E-2</c:v>
                </c:pt>
                <c:pt idx="17">
                  <c:v>9.6816423100703486E-2</c:v>
                </c:pt>
                <c:pt idx="18">
                  <c:v>9.1378495302293861E-2</c:v>
                </c:pt>
                <c:pt idx="19">
                  <c:v>8.9863848202543617E-2</c:v>
                </c:pt>
                <c:pt idx="20">
                  <c:v>8.7758747781930213E-2</c:v>
                </c:pt>
                <c:pt idx="21">
                  <c:v>8.5273119343376114E-2</c:v>
                </c:pt>
                <c:pt idx="22">
                  <c:v>8.4204515338054092E-2</c:v>
                </c:pt>
                <c:pt idx="23">
                  <c:v>8.2649473577634719E-2</c:v>
                </c:pt>
                <c:pt idx="24">
                  <c:v>7.7213173460927556E-2</c:v>
                </c:pt>
                <c:pt idx="25">
                  <c:v>7.9185390858543328E-2</c:v>
                </c:pt>
                <c:pt idx="26">
                  <c:v>8.2390008568527365E-2</c:v>
                </c:pt>
                <c:pt idx="27">
                  <c:v>8.0961049804730081E-2</c:v>
                </c:pt>
                <c:pt idx="28">
                  <c:v>7.8026574517093703E-2</c:v>
                </c:pt>
                <c:pt idx="29">
                  <c:v>7.7154627301585649E-2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37-4EAF-BEEA-48D11B8DCA99}"/>
            </c:ext>
          </c:extLst>
        </c:ser>
        <c:ser>
          <c:idx val="4"/>
          <c:order val="4"/>
          <c:tx>
            <c:strRef>
              <c:f>N2O!$B$11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bg1"/>
              </a:solidFill>
            </a:ln>
          </c:spPr>
          <c:cat>
            <c:numRef>
              <c:f>N2O!$C$6:$AF$6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N2O!$C$11:$AF$11</c:f>
              <c:numCache>
                <c:formatCode>#,##0</c:formatCode>
                <c:ptCount val="30"/>
                <c:pt idx="0">
                  <c:v>0.59784400332873089</c:v>
                </c:pt>
                <c:pt idx="1">
                  <c:v>0.66098556182524604</c:v>
                </c:pt>
                <c:pt idx="2">
                  <c:v>0.69846531732321759</c:v>
                </c:pt>
                <c:pt idx="3">
                  <c:v>0.82219423136822012</c:v>
                </c:pt>
                <c:pt idx="4">
                  <c:v>0.93453039880465638</c:v>
                </c:pt>
                <c:pt idx="5">
                  <c:v>1.0497259328201456</c:v>
                </c:pt>
                <c:pt idx="6">
                  <c:v>1.2030265185077444</c:v>
                </c:pt>
                <c:pt idx="7">
                  <c:v>1.2283410600822122</c:v>
                </c:pt>
                <c:pt idx="8">
                  <c:v>1.2596268228470393</c:v>
                </c:pt>
                <c:pt idx="9">
                  <c:v>1.2792031896693132</c:v>
                </c:pt>
                <c:pt idx="10">
                  <c:v>1.2862557192275204</c:v>
                </c:pt>
                <c:pt idx="11">
                  <c:v>1.3074006706459631</c:v>
                </c:pt>
                <c:pt idx="12">
                  <c:v>1.2599159340131239</c:v>
                </c:pt>
                <c:pt idx="13">
                  <c:v>1.2187831552040809</c:v>
                </c:pt>
                <c:pt idx="14">
                  <c:v>1.1862886581144774</c:v>
                </c:pt>
                <c:pt idx="15">
                  <c:v>1.0990622168249795</c:v>
                </c:pt>
                <c:pt idx="16">
                  <c:v>0.99164150537990392</c:v>
                </c:pt>
                <c:pt idx="17">
                  <c:v>0.95010894134620028</c:v>
                </c:pt>
                <c:pt idx="18">
                  <c:v>0.91456879515991385</c:v>
                </c:pt>
                <c:pt idx="19">
                  <c:v>0.86605360773266604</c:v>
                </c:pt>
                <c:pt idx="20">
                  <c:v>0.82790572293906994</c:v>
                </c:pt>
                <c:pt idx="21">
                  <c:v>0.79051317331765003</c:v>
                </c:pt>
                <c:pt idx="22">
                  <c:v>0.804996054316656</c:v>
                </c:pt>
                <c:pt idx="23">
                  <c:v>0.66594212769858185</c:v>
                </c:pt>
                <c:pt idx="24">
                  <c:v>0.6271282505660204</c:v>
                </c:pt>
                <c:pt idx="25">
                  <c:v>0.65896679906813649</c:v>
                </c:pt>
                <c:pt idx="26">
                  <c:v>0.68720964959251185</c:v>
                </c:pt>
                <c:pt idx="27">
                  <c:v>0.69370121791696104</c:v>
                </c:pt>
                <c:pt idx="28">
                  <c:v>0.64748422899704183</c:v>
                </c:pt>
                <c:pt idx="29">
                  <c:v>0.68008502518364322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37-4EAF-BEEA-48D11B8DCA99}"/>
            </c:ext>
          </c:extLst>
        </c:ser>
        <c:ser>
          <c:idx val="5"/>
          <c:order val="5"/>
          <c:tx>
            <c:strRef>
              <c:f>N2O!$B$12</c:f>
              <c:strCache>
                <c:ptCount val="1"/>
                <c:pt idx="0">
                  <c:v>Transports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bg1"/>
              </a:solidFill>
            </a:ln>
          </c:spPr>
          <c:cat>
            <c:numRef>
              <c:f>N2O!$C$6:$AF$6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N2O!$C$12:$AF$12</c:f>
              <c:numCache>
                <c:formatCode>0.0</c:formatCode>
                <c:ptCount val="30"/>
                <c:pt idx="0">
                  <c:v>0.24216089679838321</c:v>
                </c:pt>
                <c:pt idx="1">
                  <c:v>0.25354001275576121</c:v>
                </c:pt>
                <c:pt idx="2">
                  <c:v>0.27467908070871261</c:v>
                </c:pt>
                <c:pt idx="3">
                  <c:v>0.35303340262995092</c:v>
                </c:pt>
                <c:pt idx="4">
                  <c:v>0.46777571143916008</c:v>
                </c:pt>
                <c:pt idx="5">
                  <c:v>0.63032589730381616</c:v>
                </c:pt>
                <c:pt idx="6">
                  <c:v>0.87153954608271811</c:v>
                </c:pt>
                <c:pt idx="7">
                  <c:v>1.0181181441586484</c:v>
                </c:pt>
                <c:pt idx="8">
                  <c:v>1.1021442718346786</c:v>
                </c:pt>
                <c:pt idx="9">
                  <c:v>1.3436683328556347</c:v>
                </c:pt>
                <c:pt idx="10">
                  <c:v>0.60453294716151174</c:v>
                </c:pt>
                <c:pt idx="11">
                  <c:v>0.58873539738867708</c:v>
                </c:pt>
                <c:pt idx="12">
                  <c:v>0.60236821021820919</c:v>
                </c:pt>
                <c:pt idx="13">
                  <c:v>0.5736175193005445</c:v>
                </c:pt>
                <c:pt idx="14">
                  <c:v>0.57714940500851897</c:v>
                </c:pt>
                <c:pt idx="15">
                  <c:v>0.5326910365881391</c:v>
                </c:pt>
                <c:pt idx="16">
                  <c:v>0.51961028867777637</c:v>
                </c:pt>
                <c:pt idx="17">
                  <c:v>0.51651311996017191</c:v>
                </c:pt>
                <c:pt idx="18">
                  <c:v>0.56124332433201163</c:v>
                </c:pt>
                <c:pt idx="19">
                  <c:v>0.47306136563856177</c:v>
                </c:pt>
                <c:pt idx="20">
                  <c:v>0.45658231670171595</c:v>
                </c:pt>
                <c:pt idx="21">
                  <c:v>0.44483468202073373</c:v>
                </c:pt>
                <c:pt idx="22">
                  <c:v>0.42693651802725741</c:v>
                </c:pt>
                <c:pt idx="23">
                  <c:v>0.38261694055939527</c:v>
                </c:pt>
                <c:pt idx="24">
                  <c:v>0.36708920100723469</c:v>
                </c:pt>
                <c:pt idx="25">
                  <c:v>0.35906313127783573</c:v>
                </c:pt>
                <c:pt idx="26">
                  <c:v>0.35366697384818091</c:v>
                </c:pt>
                <c:pt idx="27">
                  <c:v>0.33120495665532357</c:v>
                </c:pt>
                <c:pt idx="28">
                  <c:v>0.33842623869475602</c:v>
                </c:pt>
                <c:pt idx="29">
                  <c:v>0.37631267243998878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37-4EAF-BEEA-48D11B8DCA99}"/>
            </c:ext>
          </c:extLst>
        </c:ser>
        <c:ser>
          <c:idx val="6"/>
          <c:order val="6"/>
          <c:tx>
            <c:strRef>
              <c:f>N2O!$B$15</c:f>
              <c:strCache>
                <c:ptCount val="1"/>
                <c:pt idx="0">
                  <c:v>UTCATF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bg1"/>
              </a:solidFill>
            </a:ln>
          </c:spPr>
          <c:cat>
            <c:numRef>
              <c:f>N2O!$C$6:$AF$6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N2O!$C$15:$AF$15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37-4EAF-BEEA-48D11B8DC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120232"/>
        <c:axId val="1"/>
      </c:areaChart>
      <c:catAx>
        <c:axId val="385120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/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fr-FR"/>
          </a:p>
        </c:txPr>
        <c:crossAx val="1"/>
        <c:crosses val="autoZero"/>
        <c:auto val="1"/>
        <c:lblAlgn val="ctr"/>
        <c:lblOffset val="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1905"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>
                    <a:latin typeface="Trebuchet MS" panose="020B0603020202020204" pitchFamily="34" charset="0"/>
                  </a:defRPr>
                </a:pPr>
                <a:r>
                  <a:rPr lang="fr-FR" sz="800">
                    <a:latin typeface="Trebuchet MS" panose="020B0603020202020204" pitchFamily="34" charset="0"/>
                  </a:rPr>
                  <a:t>tonnes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spPr>
          <a:ln w="3175"/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fr-FR"/>
          </a:p>
        </c:txPr>
        <c:crossAx val="385120232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233" l="0.70000000000000062" r="0.70000000000000062" t="0.75000000000000233" header="0.30000000000000032" footer="0.30000000000000032"/>
    <c:pageSetup orientation="portrait"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413657</xdr:colOff>
      <xdr:row>24</xdr:row>
      <xdr:rowOff>87087</xdr:rowOff>
    </xdr:from>
    <xdr:to>
      <xdr:col>12</xdr:col>
      <xdr:colOff>772887</xdr:colOff>
      <xdr:row>54</xdr:row>
      <xdr:rowOff>130628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54428</xdr:colOff>
      <xdr:row>56</xdr:row>
      <xdr:rowOff>152400</xdr:rowOff>
    </xdr:from>
    <xdr:to>
      <xdr:col>23</xdr:col>
      <xdr:colOff>391887</xdr:colOff>
      <xdr:row>86</xdr:row>
      <xdr:rowOff>130628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402772</xdr:colOff>
      <xdr:row>56</xdr:row>
      <xdr:rowOff>152401</xdr:rowOff>
    </xdr:from>
    <xdr:to>
      <xdr:col>12</xdr:col>
      <xdr:colOff>740230</xdr:colOff>
      <xdr:row>86</xdr:row>
      <xdr:rowOff>130629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381001</xdr:colOff>
      <xdr:row>5</xdr:row>
      <xdr:rowOff>32657</xdr:rowOff>
    </xdr:from>
    <xdr:to>
      <xdr:col>8</xdr:col>
      <xdr:colOff>185058</xdr:colOff>
      <xdr:row>20</xdr:row>
      <xdr:rowOff>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0.395</cdr:x>
      <cdr:y>0.37562</cdr:y>
    </cdr:from>
    <cdr:to>
      <cdr:x>0.47636</cdr:x>
      <cdr:y>0.43855</cdr:y>
    </cdr:to>
    <cdr:sp macro="" textlink="#REF!">
      <cdr:nvSpPr>
        <cdr:cNvPr id="4" name="ZoneTexte 1"/>
        <cdr:cNvSpPr txBox="1"/>
      </cdr:nvSpPr>
      <cdr:spPr>
        <a:xfrm xmlns:a="http://schemas.openxmlformats.org/drawingml/2006/main">
          <a:off x="2257444" y="1438269"/>
          <a:ext cx="464972" cy="2409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9A638151-9DBF-48AF-A66C-3D391E352C1D}" type="TxLink">
            <a:rPr lang="fr-FR" sz="800" b="0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 </a:t>
          </a:fld>
          <a:endParaRPr lang="fr-FR" sz="800"/>
        </a:p>
      </cdr:txBody>
    </cdr:sp>
  </cdr:relSizeAnchor>
  <cdr:relSizeAnchor xmlns:cdr="http://schemas.openxmlformats.org/drawingml/2006/chartDrawing">
    <cdr:from>
      <cdr:x>0.615</cdr:x>
      <cdr:y>0.3582</cdr:y>
    </cdr:from>
    <cdr:to>
      <cdr:x>0.69636</cdr:x>
      <cdr:y>0.42114</cdr:y>
    </cdr:to>
    <cdr:sp macro="" textlink="#REF!">
      <cdr:nvSpPr>
        <cdr:cNvPr id="5" name="ZoneTexte 1"/>
        <cdr:cNvSpPr txBox="1"/>
      </cdr:nvSpPr>
      <cdr:spPr>
        <a:xfrm xmlns:a="http://schemas.openxmlformats.org/drawingml/2006/main">
          <a:off x="3514744" y="1371583"/>
          <a:ext cx="464972" cy="2410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EF1EDBBA-CD29-4B72-9B20-6DB81EEA28A7}" type="TxLink">
            <a:rPr lang="fr-FR" sz="800"/>
            <a:pPr algn="ctr"/>
            <a:t> </a:t>
          </a:fld>
          <a:endParaRPr lang="fr-FR" sz="800"/>
        </a:p>
      </cdr:txBody>
    </cdr:sp>
  </cdr:relSizeAnchor>
  <cdr:relSizeAnchor xmlns:cdr="http://schemas.openxmlformats.org/drawingml/2006/chartDrawing">
    <cdr:from>
      <cdr:x>0.845</cdr:x>
      <cdr:y>0.04727</cdr:y>
    </cdr:from>
    <cdr:to>
      <cdr:x>0.92636</cdr:x>
      <cdr:y>0.1102</cdr:y>
    </cdr:to>
    <cdr:sp macro="" textlink="#REF!">
      <cdr:nvSpPr>
        <cdr:cNvPr id="6" name="ZoneTexte 1"/>
        <cdr:cNvSpPr txBox="1"/>
      </cdr:nvSpPr>
      <cdr:spPr>
        <a:xfrm xmlns:a="http://schemas.openxmlformats.org/drawingml/2006/main">
          <a:off x="4829194" y="180985"/>
          <a:ext cx="464972" cy="2409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AA0DC8B8-9154-4514-A72C-C40B94485CA9}" type="TxLink">
            <a:rPr lang="fr-FR" sz="800" b="0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 </a:t>
          </a:fld>
          <a:endParaRPr lang="fr-FR" sz="800"/>
        </a:p>
      </cdr:txBody>
    </cdr:sp>
  </cdr:relSizeAnchor>
  <cdr:relSizeAnchor xmlns:cdr="http://schemas.openxmlformats.org/drawingml/2006/chartDrawing">
    <cdr:from>
      <cdr:x>0.86167</cdr:x>
      <cdr:y>0.23632</cdr:y>
    </cdr:from>
    <cdr:to>
      <cdr:x>0.94303</cdr:x>
      <cdr:y>0.29925</cdr:y>
    </cdr:to>
    <cdr:sp macro="" textlink="#REF!">
      <cdr:nvSpPr>
        <cdr:cNvPr id="7" name="ZoneTexte 1"/>
        <cdr:cNvSpPr txBox="1"/>
      </cdr:nvSpPr>
      <cdr:spPr>
        <a:xfrm xmlns:a="http://schemas.openxmlformats.org/drawingml/2006/main">
          <a:off x="4924425" y="904875"/>
          <a:ext cx="465004" cy="240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DB68A698-B644-448E-82D3-B9582A3D8916}" type="TxLink">
            <a:rPr lang="fr-FR" sz="800"/>
            <a:pPr algn="ctr"/>
            <a:t> </a:t>
          </a:fld>
          <a:endParaRPr lang="fr-FR" sz="800"/>
        </a:p>
      </cdr:txBody>
    </cdr:sp>
  </cdr:relSizeAnchor>
  <cdr:relSizeAnchor xmlns:cdr="http://schemas.openxmlformats.org/drawingml/2006/chartDrawing">
    <cdr:from>
      <cdr:x>0.36669</cdr:x>
      <cdr:y>0.03182</cdr:y>
    </cdr:from>
    <cdr:to>
      <cdr:x>0.52171</cdr:x>
      <cdr:y>0.06158</cdr:y>
    </cdr:to>
    <cdr:sp macro="" textlink="">
      <cdr:nvSpPr>
        <cdr:cNvPr id="8" name="Text Box 32">
          <a:extLst xmlns:a="http://schemas.openxmlformats.org/drawingml/2006/main">
            <a:ext uri="{FF2B5EF4-FFF2-40B4-BE49-F238E27FC236}">
              <a16:creationId xmlns:a16="http://schemas.microsoft.com/office/drawing/2014/main" id="{8F1FDBA5-D232-4D05-A976-0BD664E7ABA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38450" y="127000"/>
          <a:ext cx="1199896" cy="118763"/>
        </a:xfrm>
        <a:prstGeom xmlns:a="http://schemas.openxmlformats.org/drawingml/2006/main" prst="rect">
          <a:avLst/>
        </a:prstGeom>
        <a:solidFill xmlns:a="http://schemas.openxmlformats.org/drawingml/2006/main">
          <a:srgbClr val="C6D9F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91440" tIns="45720" rIns="91440" bIns="45720" anchor="ctr" anchorCtr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fr-FR" sz="700" b="0" i="0" strike="noStrike">
              <a:solidFill>
                <a:srgbClr val="000000"/>
              </a:solidFill>
              <a:latin typeface="Trebuchet MS" pitchFamily="34" charset="0"/>
              <a:cs typeface="Arial"/>
            </a:rPr>
            <a:t>Industrie énergie</a:t>
          </a:r>
        </a:p>
      </cdr:txBody>
    </cdr:sp>
  </cdr:relSizeAnchor>
  <cdr:relSizeAnchor xmlns:cdr="http://schemas.openxmlformats.org/drawingml/2006/chartDrawing">
    <cdr:from>
      <cdr:x>0.52013</cdr:x>
      <cdr:y>0.03223</cdr:y>
    </cdr:from>
    <cdr:to>
      <cdr:x>0.68129</cdr:x>
      <cdr:y>0.06295</cdr:y>
    </cdr:to>
    <cdr:sp macro="" textlink="">
      <cdr:nvSpPr>
        <cdr:cNvPr id="9" name="Text Box 33">
          <a:extLst xmlns:a="http://schemas.openxmlformats.org/drawingml/2006/main">
            <a:ext uri="{FF2B5EF4-FFF2-40B4-BE49-F238E27FC236}">
              <a16:creationId xmlns:a16="http://schemas.microsoft.com/office/drawing/2014/main" id="{9F8F1715-D34C-4248-A3E3-7540DBA2B8A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26164" y="128613"/>
          <a:ext cx="1247499" cy="122614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91440" tIns="45720" rIns="91440" bIns="45720" anchor="ctr" anchorCtr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fr-FR" sz="700" b="0" i="0" strike="noStrike">
              <a:solidFill>
                <a:srgbClr val="FFFFFF"/>
              </a:solidFill>
              <a:latin typeface="Trebuchet MS" pitchFamily="34" charset="0"/>
              <a:cs typeface="Arial"/>
            </a:rPr>
            <a:t>Industrie manufacturière</a:t>
          </a:r>
        </a:p>
      </cdr:txBody>
    </cdr:sp>
  </cdr:relSizeAnchor>
  <cdr:relSizeAnchor xmlns:cdr="http://schemas.openxmlformats.org/drawingml/2006/chartDrawing">
    <cdr:from>
      <cdr:x>0.67507</cdr:x>
      <cdr:y>0.03215</cdr:y>
    </cdr:from>
    <cdr:to>
      <cdr:x>0.83008</cdr:x>
      <cdr:y>0.06191</cdr:y>
    </cdr:to>
    <cdr:sp macro="" textlink="">
      <cdr:nvSpPr>
        <cdr:cNvPr id="10" name="Text Box 34">
          <a:extLst xmlns:a="http://schemas.openxmlformats.org/drawingml/2006/main">
            <a:ext uri="{FF2B5EF4-FFF2-40B4-BE49-F238E27FC236}">
              <a16:creationId xmlns:a16="http://schemas.microsoft.com/office/drawing/2014/main" id="{74C14872-670C-4A43-BE85-514E99E0CBA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25471" y="128300"/>
          <a:ext cx="1199896" cy="118763"/>
        </a:xfrm>
        <a:prstGeom xmlns:a="http://schemas.openxmlformats.org/drawingml/2006/main" prst="rect">
          <a:avLst/>
        </a:prstGeom>
        <a:solidFill xmlns:a="http://schemas.openxmlformats.org/drawingml/2006/main">
          <a:srgbClr val="B3A2C7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91440" tIns="45720" rIns="91440" bIns="45720" anchor="ctr" anchorCtr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fr-FR" sz="700" b="0" i="0" strike="noStrike">
              <a:solidFill>
                <a:srgbClr val="000000"/>
              </a:solidFill>
              <a:latin typeface="Trebuchet MS" pitchFamily="34" charset="0"/>
              <a:cs typeface="Arial"/>
            </a:rPr>
            <a:t>Déchets (centralisés)</a:t>
          </a:r>
        </a:p>
      </cdr:txBody>
    </cdr:sp>
  </cdr:relSizeAnchor>
  <cdr:relSizeAnchor xmlns:cdr="http://schemas.openxmlformats.org/drawingml/2006/chartDrawing">
    <cdr:from>
      <cdr:x>0.82966</cdr:x>
      <cdr:y>0.03204</cdr:y>
    </cdr:from>
    <cdr:to>
      <cdr:x>0.98467</cdr:x>
      <cdr:y>0.0618</cdr:y>
    </cdr:to>
    <cdr:sp macro="" textlink="">
      <cdr:nvSpPr>
        <cdr:cNvPr id="11" name="Text Box 35">
          <a:extLst xmlns:a="http://schemas.openxmlformats.org/drawingml/2006/main">
            <a:ext uri="{FF2B5EF4-FFF2-40B4-BE49-F238E27FC236}">
              <a16:creationId xmlns:a16="http://schemas.microsoft.com/office/drawing/2014/main" id="{B1F34CF0-DC44-4EB9-9B49-F963A2155B2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22080" y="127888"/>
          <a:ext cx="1199896" cy="118763"/>
        </a:xfrm>
        <a:prstGeom xmlns:a="http://schemas.openxmlformats.org/drawingml/2006/main" prst="rect">
          <a:avLst/>
        </a:prstGeom>
        <a:solidFill xmlns:a="http://schemas.openxmlformats.org/drawingml/2006/main">
          <a:srgbClr val="E0E5B3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91440" tIns="45720" rIns="91440" bIns="45720" anchor="ctr" anchorCtr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fr-FR" sz="700" b="0" i="0" strike="noStrike">
              <a:solidFill>
                <a:srgbClr val="000000"/>
              </a:solidFill>
              <a:latin typeface="Trebuchet MS" pitchFamily="34" charset="0"/>
              <a:cs typeface="Arial"/>
            </a:rPr>
            <a:t>Résidentiel/tertiaire</a:t>
          </a:r>
        </a:p>
      </cdr:txBody>
    </cdr:sp>
  </cdr:relSizeAnchor>
  <cdr:relSizeAnchor xmlns:cdr="http://schemas.openxmlformats.org/drawingml/2006/chartDrawing">
    <cdr:from>
      <cdr:x>0.52013</cdr:x>
      <cdr:y>0.06115</cdr:y>
    </cdr:from>
    <cdr:to>
      <cdr:x>0.67514</cdr:x>
      <cdr:y>0.09091</cdr:y>
    </cdr:to>
    <cdr:sp macro="" textlink="">
      <cdr:nvSpPr>
        <cdr:cNvPr id="12" name="Text Box 36">
          <a:extLst xmlns:a="http://schemas.openxmlformats.org/drawingml/2006/main">
            <a:ext uri="{FF2B5EF4-FFF2-40B4-BE49-F238E27FC236}">
              <a16:creationId xmlns:a16="http://schemas.microsoft.com/office/drawing/2014/main" id="{6FE5D2E3-3E73-41D4-8437-5A0517A57C3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26153" y="244055"/>
          <a:ext cx="1199896" cy="118763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91440" tIns="45720" rIns="91440" bIns="45720" anchor="ctr" anchorCtr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fr-FR" sz="700" b="0" i="0" strike="noStrike">
              <a:solidFill>
                <a:srgbClr val="000000"/>
              </a:solidFill>
              <a:latin typeface="Trebuchet MS" pitchFamily="34" charset="0"/>
              <a:cs typeface="Arial"/>
            </a:rPr>
            <a:t>Agriculture/sylviculture</a:t>
          </a:r>
        </a:p>
      </cdr:txBody>
    </cdr:sp>
  </cdr:relSizeAnchor>
  <cdr:relSizeAnchor xmlns:cdr="http://schemas.openxmlformats.org/drawingml/2006/chartDrawing">
    <cdr:from>
      <cdr:x>0.67496</cdr:x>
      <cdr:y>0.06156</cdr:y>
    </cdr:from>
    <cdr:to>
      <cdr:x>0.82997</cdr:x>
      <cdr:y>0.09132</cdr:y>
    </cdr:to>
    <cdr:sp macro="" textlink="">
      <cdr:nvSpPr>
        <cdr:cNvPr id="13" name="Text Box 37">
          <a:extLst xmlns:a="http://schemas.openxmlformats.org/drawingml/2006/main">
            <a:ext uri="{FF2B5EF4-FFF2-40B4-BE49-F238E27FC236}">
              <a16:creationId xmlns:a16="http://schemas.microsoft.com/office/drawing/2014/main" id="{253BACAC-D0B4-496C-8F50-B1B1D7F4089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24640" y="245686"/>
          <a:ext cx="1199896" cy="118763"/>
        </a:xfrm>
        <a:prstGeom xmlns:a="http://schemas.openxmlformats.org/drawingml/2006/main" prst="rect">
          <a:avLst/>
        </a:prstGeom>
        <a:solidFill xmlns:a="http://schemas.openxmlformats.org/drawingml/2006/main">
          <a:srgbClr val="7030A0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91440" tIns="45720" rIns="91440" bIns="45720" anchor="ctr" anchorCtr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fr-FR" sz="700" b="0" i="0" strike="noStrike">
              <a:solidFill>
                <a:schemeClr val="bg1"/>
              </a:solidFill>
              <a:latin typeface="Trebuchet MS" pitchFamily="34" charset="0"/>
              <a:cs typeface="Arial"/>
            </a:rPr>
            <a:t>Transports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0.20145</cdr:x>
      <cdr:y>0</cdr:y>
    </cdr:from>
    <cdr:to>
      <cdr:x>0.77068</cdr:x>
      <cdr:y>0.13333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7604737C-BCA5-4BFC-8790-F842A8288D30}"/>
            </a:ext>
          </a:extLst>
        </cdr:cNvPr>
        <cdr:cNvSpPr txBox="1"/>
      </cdr:nvSpPr>
      <cdr:spPr>
        <a:xfrm xmlns:a="http://schemas.openxmlformats.org/drawingml/2006/main">
          <a:off x="361376" y="0"/>
          <a:ext cx="1021127" cy="215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fr-FR" sz="1000" b="1">
              <a:latin typeface="Trebuchet MS" panose="020B0603020202020204" pitchFamily="34" charset="0"/>
            </a:rPr>
            <a:t>2019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21</xdr:row>
      <xdr:rowOff>215900</xdr:rowOff>
    </xdr:from>
    <xdr:to>
      <xdr:col>12</xdr:col>
      <xdr:colOff>57150</xdr:colOff>
      <xdr:row>43</xdr:row>
      <xdr:rowOff>28575</xdr:rowOff>
    </xdr:to>
    <xdr:graphicFrame macro="">
      <xdr:nvGraphicFramePr>
        <xdr:cNvPr id="2" name="Graphique 3">
          <a:extLst>
            <a:ext uri="{FF2B5EF4-FFF2-40B4-BE49-F238E27FC236}">
              <a16:creationId xmlns:a16="http://schemas.microsoft.com/office/drawing/2014/main" id="{904433FA-9762-4D99-9E3A-6CE830F68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215900</xdr:colOff>
      <xdr:row>25</xdr:row>
      <xdr:rowOff>101600</xdr:rowOff>
    </xdr:from>
    <xdr:to>
      <xdr:col>17</xdr:col>
      <xdr:colOff>9524</xdr:colOff>
      <xdr:row>34</xdr:row>
      <xdr:rowOff>63500</xdr:rowOff>
    </xdr:to>
    <xdr:graphicFrame macro="">
      <xdr:nvGraphicFramePr>
        <xdr:cNvPr id="3" name="Graphique 28">
          <a:extLst>
            <a:ext uri="{FF2B5EF4-FFF2-40B4-BE49-F238E27FC236}">
              <a16:creationId xmlns:a16="http://schemas.microsoft.com/office/drawing/2014/main" id="{B0A4F41A-20B7-4E6C-B4C5-4B54E425D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0.395</cdr:x>
      <cdr:y>0.37562</cdr:y>
    </cdr:from>
    <cdr:to>
      <cdr:x>0.47636</cdr:x>
      <cdr:y>0.43855</cdr:y>
    </cdr:to>
    <cdr:sp macro="" textlink="#REF!">
      <cdr:nvSpPr>
        <cdr:cNvPr id="4" name="ZoneTexte 1"/>
        <cdr:cNvSpPr txBox="1"/>
      </cdr:nvSpPr>
      <cdr:spPr>
        <a:xfrm xmlns:a="http://schemas.openxmlformats.org/drawingml/2006/main">
          <a:off x="2257444" y="1438269"/>
          <a:ext cx="464972" cy="2409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9A638151-9DBF-48AF-A66C-3D391E352C1D}" type="TxLink">
            <a:rPr lang="fr-FR" sz="800" b="0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 </a:t>
          </a:fld>
          <a:endParaRPr lang="fr-FR" sz="800"/>
        </a:p>
      </cdr:txBody>
    </cdr:sp>
  </cdr:relSizeAnchor>
  <cdr:relSizeAnchor xmlns:cdr="http://schemas.openxmlformats.org/drawingml/2006/chartDrawing">
    <cdr:from>
      <cdr:x>0.615</cdr:x>
      <cdr:y>0.3582</cdr:y>
    </cdr:from>
    <cdr:to>
      <cdr:x>0.69636</cdr:x>
      <cdr:y>0.42114</cdr:y>
    </cdr:to>
    <cdr:sp macro="" textlink="#REF!">
      <cdr:nvSpPr>
        <cdr:cNvPr id="5" name="ZoneTexte 1"/>
        <cdr:cNvSpPr txBox="1"/>
      </cdr:nvSpPr>
      <cdr:spPr>
        <a:xfrm xmlns:a="http://schemas.openxmlformats.org/drawingml/2006/main">
          <a:off x="3514744" y="1371583"/>
          <a:ext cx="464972" cy="2410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EF1EDBBA-CD29-4B72-9B20-6DB81EEA28A7}" type="TxLink">
            <a:rPr lang="fr-FR" sz="800"/>
            <a:pPr algn="ctr"/>
            <a:t> </a:t>
          </a:fld>
          <a:endParaRPr lang="fr-FR" sz="800"/>
        </a:p>
      </cdr:txBody>
    </cdr:sp>
  </cdr:relSizeAnchor>
  <cdr:relSizeAnchor xmlns:cdr="http://schemas.openxmlformats.org/drawingml/2006/chartDrawing">
    <cdr:from>
      <cdr:x>0.845</cdr:x>
      <cdr:y>0.04727</cdr:y>
    </cdr:from>
    <cdr:to>
      <cdr:x>0.92636</cdr:x>
      <cdr:y>0.1102</cdr:y>
    </cdr:to>
    <cdr:sp macro="" textlink="#REF!">
      <cdr:nvSpPr>
        <cdr:cNvPr id="6" name="ZoneTexte 1"/>
        <cdr:cNvSpPr txBox="1"/>
      </cdr:nvSpPr>
      <cdr:spPr>
        <a:xfrm xmlns:a="http://schemas.openxmlformats.org/drawingml/2006/main">
          <a:off x="4829194" y="180985"/>
          <a:ext cx="464972" cy="2409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AA0DC8B8-9154-4514-A72C-C40B94485CA9}" type="TxLink">
            <a:rPr lang="fr-FR" sz="800" b="0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 </a:t>
          </a:fld>
          <a:endParaRPr lang="fr-FR" sz="800"/>
        </a:p>
      </cdr:txBody>
    </cdr:sp>
  </cdr:relSizeAnchor>
  <cdr:relSizeAnchor xmlns:cdr="http://schemas.openxmlformats.org/drawingml/2006/chartDrawing">
    <cdr:from>
      <cdr:x>0.86167</cdr:x>
      <cdr:y>0.23632</cdr:y>
    </cdr:from>
    <cdr:to>
      <cdr:x>0.94303</cdr:x>
      <cdr:y>0.29925</cdr:y>
    </cdr:to>
    <cdr:sp macro="" textlink="#REF!">
      <cdr:nvSpPr>
        <cdr:cNvPr id="7" name="ZoneTexte 1"/>
        <cdr:cNvSpPr txBox="1"/>
      </cdr:nvSpPr>
      <cdr:spPr>
        <a:xfrm xmlns:a="http://schemas.openxmlformats.org/drawingml/2006/main">
          <a:off x="4924425" y="904875"/>
          <a:ext cx="465004" cy="240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DB68A698-B644-448E-82D3-B9582A3D8916}" type="TxLink">
            <a:rPr lang="fr-FR" sz="800"/>
            <a:pPr algn="ctr"/>
            <a:t> </a:t>
          </a:fld>
          <a:endParaRPr lang="fr-FR" sz="800"/>
        </a:p>
      </cdr:txBody>
    </cdr:sp>
  </cdr:relSizeAnchor>
  <cdr:relSizeAnchor xmlns:cdr="http://schemas.openxmlformats.org/drawingml/2006/chartDrawing">
    <cdr:from>
      <cdr:x>0.36669</cdr:x>
      <cdr:y>0.03182</cdr:y>
    </cdr:from>
    <cdr:to>
      <cdr:x>0.52171</cdr:x>
      <cdr:y>0.06158</cdr:y>
    </cdr:to>
    <cdr:sp macro="" textlink="">
      <cdr:nvSpPr>
        <cdr:cNvPr id="8" name="Text Box 32">
          <a:extLst xmlns:a="http://schemas.openxmlformats.org/drawingml/2006/main">
            <a:ext uri="{FF2B5EF4-FFF2-40B4-BE49-F238E27FC236}">
              <a16:creationId xmlns:a16="http://schemas.microsoft.com/office/drawing/2014/main" id="{8F1FDBA5-D232-4D05-A976-0BD664E7ABA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38450" y="127000"/>
          <a:ext cx="1199896" cy="118763"/>
        </a:xfrm>
        <a:prstGeom xmlns:a="http://schemas.openxmlformats.org/drawingml/2006/main" prst="rect">
          <a:avLst/>
        </a:prstGeom>
        <a:solidFill xmlns:a="http://schemas.openxmlformats.org/drawingml/2006/main">
          <a:srgbClr val="C6D9F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91440" tIns="45720" rIns="91440" bIns="45720" anchor="ctr" anchorCtr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fr-FR" sz="700" b="0" i="0" strike="noStrike">
              <a:solidFill>
                <a:srgbClr val="000000"/>
              </a:solidFill>
              <a:latin typeface="Trebuchet MS" pitchFamily="34" charset="0"/>
              <a:cs typeface="Arial"/>
            </a:rPr>
            <a:t>Industrie énergie</a:t>
          </a:r>
        </a:p>
      </cdr:txBody>
    </cdr:sp>
  </cdr:relSizeAnchor>
  <cdr:relSizeAnchor xmlns:cdr="http://schemas.openxmlformats.org/drawingml/2006/chartDrawing">
    <cdr:from>
      <cdr:x>0.52013</cdr:x>
      <cdr:y>0.03223</cdr:y>
    </cdr:from>
    <cdr:to>
      <cdr:x>0.68129</cdr:x>
      <cdr:y>0.06295</cdr:y>
    </cdr:to>
    <cdr:sp macro="" textlink="">
      <cdr:nvSpPr>
        <cdr:cNvPr id="9" name="Text Box 33">
          <a:extLst xmlns:a="http://schemas.openxmlformats.org/drawingml/2006/main">
            <a:ext uri="{FF2B5EF4-FFF2-40B4-BE49-F238E27FC236}">
              <a16:creationId xmlns:a16="http://schemas.microsoft.com/office/drawing/2014/main" id="{9F8F1715-D34C-4248-A3E3-7540DBA2B8A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26164" y="128613"/>
          <a:ext cx="1247499" cy="122614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91440" tIns="45720" rIns="91440" bIns="45720" anchor="ctr" anchorCtr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fr-FR" sz="700" b="0" i="0" strike="noStrike">
              <a:solidFill>
                <a:srgbClr val="FFFFFF"/>
              </a:solidFill>
              <a:latin typeface="Trebuchet MS" pitchFamily="34" charset="0"/>
              <a:cs typeface="Arial"/>
            </a:rPr>
            <a:t>Industrie manufacturière</a:t>
          </a:r>
        </a:p>
      </cdr:txBody>
    </cdr:sp>
  </cdr:relSizeAnchor>
  <cdr:relSizeAnchor xmlns:cdr="http://schemas.openxmlformats.org/drawingml/2006/chartDrawing">
    <cdr:from>
      <cdr:x>0.67507</cdr:x>
      <cdr:y>0.03215</cdr:y>
    </cdr:from>
    <cdr:to>
      <cdr:x>0.83008</cdr:x>
      <cdr:y>0.06191</cdr:y>
    </cdr:to>
    <cdr:sp macro="" textlink="">
      <cdr:nvSpPr>
        <cdr:cNvPr id="10" name="Text Box 34">
          <a:extLst xmlns:a="http://schemas.openxmlformats.org/drawingml/2006/main">
            <a:ext uri="{FF2B5EF4-FFF2-40B4-BE49-F238E27FC236}">
              <a16:creationId xmlns:a16="http://schemas.microsoft.com/office/drawing/2014/main" id="{74C14872-670C-4A43-BE85-514E99E0CBA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25471" y="128300"/>
          <a:ext cx="1199896" cy="118763"/>
        </a:xfrm>
        <a:prstGeom xmlns:a="http://schemas.openxmlformats.org/drawingml/2006/main" prst="rect">
          <a:avLst/>
        </a:prstGeom>
        <a:solidFill xmlns:a="http://schemas.openxmlformats.org/drawingml/2006/main">
          <a:srgbClr val="B3A2C7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91440" tIns="45720" rIns="91440" bIns="45720" anchor="ctr" anchorCtr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fr-FR" sz="700" b="0" i="0" strike="noStrike">
              <a:solidFill>
                <a:srgbClr val="000000"/>
              </a:solidFill>
              <a:latin typeface="Trebuchet MS" pitchFamily="34" charset="0"/>
              <a:cs typeface="Arial"/>
            </a:rPr>
            <a:t>Déchets (centralisés)</a:t>
          </a:r>
        </a:p>
      </cdr:txBody>
    </cdr:sp>
  </cdr:relSizeAnchor>
  <cdr:relSizeAnchor xmlns:cdr="http://schemas.openxmlformats.org/drawingml/2006/chartDrawing">
    <cdr:from>
      <cdr:x>0.82966</cdr:x>
      <cdr:y>0.03204</cdr:y>
    </cdr:from>
    <cdr:to>
      <cdr:x>0.98467</cdr:x>
      <cdr:y>0.0618</cdr:y>
    </cdr:to>
    <cdr:sp macro="" textlink="">
      <cdr:nvSpPr>
        <cdr:cNvPr id="11" name="Text Box 35">
          <a:extLst xmlns:a="http://schemas.openxmlformats.org/drawingml/2006/main">
            <a:ext uri="{FF2B5EF4-FFF2-40B4-BE49-F238E27FC236}">
              <a16:creationId xmlns:a16="http://schemas.microsoft.com/office/drawing/2014/main" id="{B1F34CF0-DC44-4EB9-9B49-F963A2155B2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22080" y="127888"/>
          <a:ext cx="1199896" cy="118763"/>
        </a:xfrm>
        <a:prstGeom xmlns:a="http://schemas.openxmlformats.org/drawingml/2006/main" prst="rect">
          <a:avLst/>
        </a:prstGeom>
        <a:solidFill xmlns:a="http://schemas.openxmlformats.org/drawingml/2006/main">
          <a:srgbClr val="E0E5B3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91440" tIns="45720" rIns="91440" bIns="45720" anchor="ctr" anchorCtr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fr-FR" sz="700" b="0" i="0" strike="noStrike">
              <a:solidFill>
                <a:srgbClr val="000000"/>
              </a:solidFill>
              <a:latin typeface="Trebuchet MS" pitchFamily="34" charset="0"/>
              <a:cs typeface="Arial"/>
            </a:rPr>
            <a:t>Résidentiel/tertiaire</a:t>
          </a:r>
        </a:p>
      </cdr:txBody>
    </cdr:sp>
  </cdr:relSizeAnchor>
  <cdr:relSizeAnchor xmlns:cdr="http://schemas.openxmlformats.org/drawingml/2006/chartDrawing">
    <cdr:from>
      <cdr:x>0.52013</cdr:x>
      <cdr:y>0.06115</cdr:y>
    </cdr:from>
    <cdr:to>
      <cdr:x>0.67514</cdr:x>
      <cdr:y>0.09091</cdr:y>
    </cdr:to>
    <cdr:sp macro="" textlink="">
      <cdr:nvSpPr>
        <cdr:cNvPr id="12" name="Text Box 36">
          <a:extLst xmlns:a="http://schemas.openxmlformats.org/drawingml/2006/main">
            <a:ext uri="{FF2B5EF4-FFF2-40B4-BE49-F238E27FC236}">
              <a16:creationId xmlns:a16="http://schemas.microsoft.com/office/drawing/2014/main" id="{6FE5D2E3-3E73-41D4-8437-5A0517A57C3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26153" y="244055"/>
          <a:ext cx="1199896" cy="118763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91440" tIns="45720" rIns="91440" bIns="45720" anchor="ctr" anchorCtr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fr-FR" sz="700" b="0" i="0" strike="noStrike">
              <a:solidFill>
                <a:srgbClr val="000000"/>
              </a:solidFill>
              <a:latin typeface="Trebuchet MS" pitchFamily="34" charset="0"/>
              <a:cs typeface="Arial"/>
            </a:rPr>
            <a:t>Agriculture/sylviculture</a:t>
          </a:r>
        </a:p>
      </cdr:txBody>
    </cdr:sp>
  </cdr:relSizeAnchor>
  <cdr:relSizeAnchor xmlns:cdr="http://schemas.openxmlformats.org/drawingml/2006/chartDrawing">
    <cdr:from>
      <cdr:x>0.67496</cdr:x>
      <cdr:y>0.06156</cdr:y>
    </cdr:from>
    <cdr:to>
      <cdr:x>0.82997</cdr:x>
      <cdr:y>0.09132</cdr:y>
    </cdr:to>
    <cdr:sp macro="" textlink="">
      <cdr:nvSpPr>
        <cdr:cNvPr id="13" name="Text Box 37">
          <a:extLst xmlns:a="http://schemas.openxmlformats.org/drawingml/2006/main">
            <a:ext uri="{FF2B5EF4-FFF2-40B4-BE49-F238E27FC236}">
              <a16:creationId xmlns:a16="http://schemas.microsoft.com/office/drawing/2014/main" id="{253BACAC-D0B4-496C-8F50-B1B1D7F4089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24640" y="245686"/>
          <a:ext cx="1199896" cy="118763"/>
        </a:xfrm>
        <a:prstGeom xmlns:a="http://schemas.openxmlformats.org/drawingml/2006/main" prst="rect">
          <a:avLst/>
        </a:prstGeom>
        <a:solidFill xmlns:a="http://schemas.openxmlformats.org/drawingml/2006/main">
          <a:srgbClr val="7030A0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91440" tIns="45720" rIns="91440" bIns="45720" anchor="ctr" anchorCtr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fr-FR" sz="700" b="0" i="0" strike="noStrike">
              <a:solidFill>
                <a:schemeClr val="bg1"/>
              </a:solidFill>
              <a:latin typeface="Trebuchet MS" pitchFamily="34" charset="0"/>
              <a:cs typeface="Arial"/>
            </a:rPr>
            <a:t>Transports</a:t>
          </a:r>
        </a:p>
      </cdr:txBody>
    </cdr:sp>
  </cdr:relSizeAnchor>
  <cdr:relSizeAnchor xmlns:cdr="http://schemas.openxmlformats.org/drawingml/2006/chartDrawing">
    <cdr:from>
      <cdr:x>0.82976</cdr:x>
      <cdr:y>0.06206</cdr:y>
    </cdr:from>
    <cdr:to>
      <cdr:x>0.98477</cdr:x>
      <cdr:y>0.09182</cdr:y>
    </cdr:to>
    <cdr:sp macro="" textlink="">
      <cdr:nvSpPr>
        <cdr:cNvPr id="14" name="Text Box 36">
          <a:extLst xmlns:a="http://schemas.openxmlformats.org/drawingml/2006/main">
            <a:ext uri="{FF2B5EF4-FFF2-40B4-BE49-F238E27FC236}">
              <a16:creationId xmlns:a16="http://schemas.microsoft.com/office/drawing/2014/main" id="{31C59DC9-9733-467B-84FE-706118A4A10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22857" y="247683"/>
          <a:ext cx="1199896" cy="118763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91440" tIns="45720" rIns="91440" bIns="45720" anchor="ctr" anchorCtr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fr-FR" sz="700" b="0" i="0" strike="noStrike">
              <a:solidFill>
                <a:srgbClr val="000000"/>
              </a:solidFill>
              <a:latin typeface="Trebuchet MS" pitchFamily="34" charset="0"/>
              <a:cs typeface="Arial"/>
            </a:rPr>
            <a:t>UTCATF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0.20145</cdr:x>
      <cdr:y>0</cdr:y>
    </cdr:from>
    <cdr:to>
      <cdr:x>0.77068</cdr:x>
      <cdr:y>0.13333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7604737C-BCA5-4BFC-8790-F842A8288D30}"/>
            </a:ext>
          </a:extLst>
        </cdr:cNvPr>
        <cdr:cNvSpPr txBox="1"/>
      </cdr:nvSpPr>
      <cdr:spPr>
        <a:xfrm xmlns:a="http://schemas.openxmlformats.org/drawingml/2006/main">
          <a:off x="361376" y="0"/>
          <a:ext cx="1021127" cy="215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fr-FR" sz="1000" b="1">
              <a:latin typeface="Trebuchet MS" panose="020B0603020202020204" pitchFamily="34" charset="0"/>
            </a:rPr>
            <a:t>2019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403860</xdr:colOff>
      <xdr:row>7</xdr:row>
      <xdr:rowOff>156210</xdr:rowOff>
    </xdr:from>
    <xdr:to>
      <xdr:col>17</xdr:col>
      <xdr:colOff>220980</xdr:colOff>
      <xdr:row>22</xdr:row>
      <xdr:rowOff>156210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714120</xdr:colOff>
      <xdr:row>0</xdr:row>
      <xdr:rowOff>30960</xdr:rowOff>
    </xdr:to>
    <xdr:graphicFrame macro="">
      <xdr:nvGraphicFramePr>
        <xdr:cNvPr id="6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20</xdr:row>
      <xdr:rowOff>0</xdr:rowOff>
    </xdr:from>
    <xdr:to>
      <xdr:col>10</xdr:col>
      <xdr:colOff>714120</xdr:colOff>
      <xdr:row>20</xdr:row>
      <xdr:rowOff>30960</xdr:rowOff>
    </xdr:to>
    <xdr:graphicFrame macro="">
      <xdr:nvGraphicFramePr>
        <xdr:cNvPr id="7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158750</xdr:rowOff>
    </xdr:from>
    <xdr:to>
      <xdr:col>11</xdr:col>
      <xdr:colOff>317500</xdr:colOff>
      <xdr:row>44</xdr:row>
      <xdr:rowOff>28575</xdr:rowOff>
    </xdr:to>
    <xdr:graphicFrame macro="">
      <xdr:nvGraphicFramePr>
        <xdr:cNvPr id="2" name="Graphique 3">
          <a:extLst>
            <a:ext uri="{FF2B5EF4-FFF2-40B4-BE49-F238E27FC236}">
              <a16:creationId xmlns:a16="http://schemas.microsoft.com/office/drawing/2014/main" id="{0C4E66DB-B16D-4B2E-9CED-474B5C735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215900</xdr:colOff>
      <xdr:row>25</xdr:row>
      <xdr:rowOff>101600</xdr:rowOff>
    </xdr:from>
    <xdr:to>
      <xdr:col>17</xdr:col>
      <xdr:colOff>9524</xdr:colOff>
      <xdr:row>34</xdr:row>
      <xdr:rowOff>63500</xdr:rowOff>
    </xdr:to>
    <xdr:graphicFrame macro="">
      <xdr:nvGraphicFramePr>
        <xdr:cNvPr id="3" name="Graphique 28">
          <a:extLst>
            <a:ext uri="{FF2B5EF4-FFF2-40B4-BE49-F238E27FC236}">
              <a16:creationId xmlns:a16="http://schemas.microsoft.com/office/drawing/2014/main" id="{2D205A24-D80F-4FB4-8A53-5CC2142C7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0.395</cdr:x>
      <cdr:y>0.37562</cdr:y>
    </cdr:from>
    <cdr:to>
      <cdr:x>0.47636</cdr:x>
      <cdr:y>0.43855</cdr:y>
    </cdr:to>
    <cdr:sp macro="" textlink="#REF!">
      <cdr:nvSpPr>
        <cdr:cNvPr id="4" name="ZoneTexte 1"/>
        <cdr:cNvSpPr txBox="1"/>
      </cdr:nvSpPr>
      <cdr:spPr>
        <a:xfrm xmlns:a="http://schemas.openxmlformats.org/drawingml/2006/main">
          <a:off x="2257444" y="1438269"/>
          <a:ext cx="464972" cy="2409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9A638151-9DBF-48AF-A66C-3D391E352C1D}" type="TxLink">
            <a:rPr lang="fr-FR" sz="800" b="0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 </a:t>
          </a:fld>
          <a:endParaRPr lang="fr-FR" sz="800"/>
        </a:p>
      </cdr:txBody>
    </cdr:sp>
  </cdr:relSizeAnchor>
  <cdr:relSizeAnchor xmlns:cdr="http://schemas.openxmlformats.org/drawingml/2006/chartDrawing">
    <cdr:from>
      <cdr:x>0.615</cdr:x>
      <cdr:y>0.3582</cdr:y>
    </cdr:from>
    <cdr:to>
      <cdr:x>0.69636</cdr:x>
      <cdr:y>0.42114</cdr:y>
    </cdr:to>
    <cdr:sp macro="" textlink="#REF!">
      <cdr:nvSpPr>
        <cdr:cNvPr id="5" name="ZoneTexte 1"/>
        <cdr:cNvSpPr txBox="1"/>
      </cdr:nvSpPr>
      <cdr:spPr>
        <a:xfrm xmlns:a="http://schemas.openxmlformats.org/drawingml/2006/main">
          <a:off x="3514744" y="1371583"/>
          <a:ext cx="464972" cy="2410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EF1EDBBA-CD29-4B72-9B20-6DB81EEA28A7}" type="TxLink">
            <a:rPr lang="fr-FR" sz="800"/>
            <a:pPr algn="ctr"/>
            <a:t> </a:t>
          </a:fld>
          <a:endParaRPr lang="fr-FR" sz="800"/>
        </a:p>
      </cdr:txBody>
    </cdr:sp>
  </cdr:relSizeAnchor>
  <cdr:relSizeAnchor xmlns:cdr="http://schemas.openxmlformats.org/drawingml/2006/chartDrawing">
    <cdr:from>
      <cdr:x>0.845</cdr:x>
      <cdr:y>0.04727</cdr:y>
    </cdr:from>
    <cdr:to>
      <cdr:x>0.92636</cdr:x>
      <cdr:y>0.1102</cdr:y>
    </cdr:to>
    <cdr:sp macro="" textlink="#REF!">
      <cdr:nvSpPr>
        <cdr:cNvPr id="6" name="ZoneTexte 1"/>
        <cdr:cNvSpPr txBox="1"/>
      </cdr:nvSpPr>
      <cdr:spPr>
        <a:xfrm xmlns:a="http://schemas.openxmlformats.org/drawingml/2006/main">
          <a:off x="4829194" y="180985"/>
          <a:ext cx="464972" cy="2409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AA0DC8B8-9154-4514-A72C-C40B94485CA9}" type="TxLink">
            <a:rPr lang="fr-FR" sz="800" b="0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 </a:t>
          </a:fld>
          <a:endParaRPr lang="fr-FR" sz="800"/>
        </a:p>
      </cdr:txBody>
    </cdr:sp>
  </cdr:relSizeAnchor>
  <cdr:relSizeAnchor xmlns:cdr="http://schemas.openxmlformats.org/drawingml/2006/chartDrawing">
    <cdr:from>
      <cdr:x>0.86167</cdr:x>
      <cdr:y>0.23632</cdr:y>
    </cdr:from>
    <cdr:to>
      <cdr:x>0.94303</cdr:x>
      <cdr:y>0.29925</cdr:y>
    </cdr:to>
    <cdr:sp macro="" textlink="#REF!">
      <cdr:nvSpPr>
        <cdr:cNvPr id="7" name="ZoneTexte 1"/>
        <cdr:cNvSpPr txBox="1"/>
      </cdr:nvSpPr>
      <cdr:spPr>
        <a:xfrm xmlns:a="http://schemas.openxmlformats.org/drawingml/2006/main">
          <a:off x="4924425" y="904875"/>
          <a:ext cx="465004" cy="240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DB68A698-B644-448E-82D3-B9582A3D8916}" type="TxLink">
            <a:rPr lang="fr-FR" sz="800"/>
            <a:pPr algn="ctr"/>
            <a:t> </a:t>
          </a:fld>
          <a:endParaRPr lang="fr-FR" sz="800"/>
        </a:p>
      </cdr:txBody>
    </cdr:sp>
  </cdr:relSizeAnchor>
  <cdr:relSizeAnchor xmlns:cdr="http://schemas.openxmlformats.org/drawingml/2006/chartDrawing">
    <cdr:from>
      <cdr:x>0.36669</cdr:x>
      <cdr:y>0.03182</cdr:y>
    </cdr:from>
    <cdr:to>
      <cdr:x>0.52171</cdr:x>
      <cdr:y>0.06158</cdr:y>
    </cdr:to>
    <cdr:sp macro="" textlink="">
      <cdr:nvSpPr>
        <cdr:cNvPr id="8" name="Text Box 32">
          <a:extLst xmlns:a="http://schemas.openxmlformats.org/drawingml/2006/main">
            <a:ext uri="{FF2B5EF4-FFF2-40B4-BE49-F238E27FC236}">
              <a16:creationId xmlns:a16="http://schemas.microsoft.com/office/drawing/2014/main" id="{8F1FDBA5-D232-4D05-A976-0BD664E7ABA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38450" y="127000"/>
          <a:ext cx="1199896" cy="118763"/>
        </a:xfrm>
        <a:prstGeom xmlns:a="http://schemas.openxmlformats.org/drawingml/2006/main" prst="rect">
          <a:avLst/>
        </a:prstGeom>
        <a:solidFill xmlns:a="http://schemas.openxmlformats.org/drawingml/2006/main">
          <a:srgbClr val="C6D9F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91440" tIns="45720" rIns="91440" bIns="45720" anchor="ctr" anchorCtr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fr-FR" sz="700" b="0" i="0" strike="noStrike">
              <a:solidFill>
                <a:srgbClr val="000000"/>
              </a:solidFill>
              <a:latin typeface="Trebuchet MS" pitchFamily="34" charset="0"/>
              <a:cs typeface="Arial"/>
            </a:rPr>
            <a:t>Industrie énergie</a:t>
          </a:r>
        </a:p>
      </cdr:txBody>
    </cdr:sp>
  </cdr:relSizeAnchor>
  <cdr:relSizeAnchor xmlns:cdr="http://schemas.openxmlformats.org/drawingml/2006/chartDrawing">
    <cdr:from>
      <cdr:x>0.52013</cdr:x>
      <cdr:y>0.03223</cdr:y>
    </cdr:from>
    <cdr:to>
      <cdr:x>0.68129</cdr:x>
      <cdr:y>0.06295</cdr:y>
    </cdr:to>
    <cdr:sp macro="" textlink="">
      <cdr:nvSpPr>
        <cdr:cNvPr id="9" name="Text Box 33">
          <a:extLst xmlns:a="http://schemas.openxmlformats.org/drawingml/2006/main">
            <a:ext uri="{FF2B5EF4-FFF2-40B4-BE49-F238E27FC236}">
              <a16:creationId xmlns:a16="http://schemas.microsoft.com/office/drawing/2014/main" id="{9F8F1715-D34C-4248-A3E3-7540DBA2B8A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26164" y="128613"/>
          <a:ext cx="1247499" cy="122614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91440" tIns="45720" rIns="91440" bIns="45720" anchor="ctr" anchorCtr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fr-FR" sz="700" b="0" i="0" strike="noStrike">
              <a:solidFill>
                <a:srgbClr val="FFFFFF"/>
              </a:solidFill>
              <a:latin typeface="Trebuchet MS" pitchFamily="34" charset="0"/>
              <a:cs typeface="Arial"/>
            </a:rPr>
            <a:t>Industrie manufacturière</a:t>
          </a:r>
        </a:p>
      </cdr:txBody>
    </cdr:sp>
  </cdr:relSizeAnchor>
  <cdr:relSizeAnchor xmlns:cdr="http://schemas.openxmlformats.org/drawingml/2006/chartDrawing">
    <cdr:from>
      <cdr:x>0.67507</cdr:x>
      <cdr:y>0.03215</cdr:y>
    </cdr:from>
    <cdr:to>
      <cdr:x>0.83008</cdr:x>
      <cdr:y>0.06191</cdr:y>
    </cdr:to>
    <cdr:sp macro="" textlink="">
      <cdr:nvSpPr>
        <cdr:cNvPr id="10" name="Text Box 34">
          <a:extLst xmlns:a="http://schemas.openxmlformats.org/drawingml/2006/main">
            <a:ext uri="{FF2B5EF4-FFF2-40B4-BE49-F238E27FC236}">
              <a16:creationId xmlns:a16="http://schemas.microsoft.com/office/drawing/2014/main" id="{74C14872-670C-4A43-BE85-514E99E0CBA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25471" y="128300"/>
          <a:ext cx="1199896" cy="118763"/>
        </a:xfrm>
        <a:prstGeom xmlns:a="http://schemas.openxmlformats.org/drawingml/2006/main" prst="rect">
          <a:avLst/>
        </a:prstGeom>
        <a:solidFill xmlns:a="http://schemas.openxmlformats.org/drawingml/2006/main">
          <a:srgbClr val="B3A2C7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91440" tIns="45720" rIns="91440" bIns="45720" anchor="ctr" anchorCtr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fr-FR" sz="700" b="0" i="0" strike="noStrike">
              <a:solidFill>
                <a:srgbClr val="000000"/>
              </a:solidFill>
              <a:latin typeface="Trebuchet MS" pitchFamily="34" charset="0"/>
              <a:cs typeface="Arial"/>
            </a:rPr>
            <a:t>Déchets (centralisés)</a:t>
          </a:r>
        </a:p>
      </cdr:txBody>
    </cdr:sp>
  </cdr:relSizeAnchor>
  <cdr:relSizeAnchor xmlns:cdr="http://schemas.openxmlformats.org/drawingml/2006/chartDrawing">
    <cdr:from>
      <cdr:x>0.82966</cdr:x>
      <cdr:y>0.03204</cdr:y>
    </cdr:from>
    <cdr:to>
      <cdr:x>0.98467</cdr:x>
      <cdr:y>0.0618</cdr:y>
    </cdr:to>
    <cdr:sp macro="" textlink="">
      <cdr:nvSpPr>
        <cdr:cNvPr id="11" name="Text Box 35">
          <a:extLst xmlns:a="http://schemas.openxmlformats.org/drawingml/2006/main">
            <a:ext uri="{FF2B5EF4-FFF2-40B4-BE49-F238E27FC236}">
              <a16:creationId xmlns:a16="http://schemas.microsoft.com/office/drawing/2014/main" id="{B1F34CF0-DC44-4EB9-9B49-F963A2155B2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22080" y="127888"/>
          <a:ext cx="1199896" cy="118763"/>
        </a:xfrm>
        <a:prstGeom xmlns:a="http://schemas.openxmlformats.org/drawingml/2006/main" prst="rect">
          <a:avLst/>
        </a:prstGeom>
        <a:solidFill xmlns:a="http://schemas.openxmlformats.org/drawingml/2006/main">
          <a:srgbClr val="E0E5B3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91440" tIns="45720" rIns="91440" bIns="45720" anchor="ctr" anchorCtr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fr-FR" sz="700" b="0" i="0" strike="noStrike">
              <a:solidFill>
                <a:srgbClr val="000000"/>
              </a:solidFill>
              <a:latin typeface="Trebuchet MS" pitchFamily="34" charset="0"/>
              <a:cs typeface="Arial"/>
            </a:rPr>
            <a:t>Résidentiel/tertiaire</a:t>
          </a:r>
        </a:p>
      </cdr:txBody>
    </cdr:sp>
  </cdr:relSizeAnchor>
  <cdr:relSizeAnchor xmlns:cdr="http://schemas.openxmlformats.org/drawingml/2006/chartDrawing">
    <cdr:from>
      <cdr:x>0.52013</cdr:x>
      <cdr:y>0.06115</cdr:y>
    </cdr:from>
    <cdr:to>
      <cdr:x>0.67514</cdr:x>
      <cdr:y>0.09091</cdr:y>
    </cdr:to>
    <cdr:sp macro="" textlink="">
      <cdr:nvSpPr>
        <cdr:cNvPr id="12" name="Text Box 36">
          <a:extLst xmlns:a="http://schemas.openxmlformats.org/drawingml/2006/main">
            <a:ext uri="{FF2B5EF4-FFF2-40B4-BE49-F238E27FC236}">
              <a16:creationId xmlns:a16="http://schemas.microsoft.com/office/drawing/2014/main" id="{6FE5D2E3-3E73-41D4-8437-5A0517A57C3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26153" y="244055"/>
          <a:ext cx="1199896" cy="118763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91440" tIns="45720" rIns="91440" bIns="45720" anchor="ctr" anchorCtr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fr-FR" sz="700" b="0" i="0" strike="noStrike">
              <a:solidFill>
                <a:srgbClr val="000000"/>
              </a:solidFill>
              <a:latin typeface="Trebuchet MS" pitchFamily="34" charset="0"/>
              <a:cs typeface="Arial"/>
            </a:rPr>
            <a:t>Agriculture/sylviculture</a:t>
          </a:r>
        </a:p>
      </cdr:txBody>
    </cdr:sp>
  </cdr:relSizeAnchor>
  <cdr:relSizeAnchor xmlns:cdr="http://schemas.openxmlformats.org/drawingml/2006/chartDrawing">
    <cdr:from>
      <cdr:x>0.67496</cdr:x>
      <cdr:y>0.06156</cdr:y>
    </cdr:from>
    <cdr:to>
      <cdr:x>0.82997</cdr:x>
      <cdr:y>0.09132</cdr:y>
    </cdr:to>
    <cdr:sp macro="" textlink="">
      <cdr:nvSpPr>
        <cdr:cNvPr id="13" name="Text Box 37">
          <a:extLst xmlns:a="http://schemas.openxmlformats.org/drawingml/2006/main">
            <a:ext uri="{FF2B5EF4-FFF2-40B4-BE49-F238E27FC236}">
              <a16:creationId xmlns:a16="http://schemas.microsoft.com/office/drawing/2014/main" id="{253BACAC-D0B4-496C-8F50-B1B1D7F4089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24640" y="245686"/>
          <a:ext cx="1199896" cy="118763"/>
        </a:xfrm>
        <a:prstGeom xmlns:a="http://schemas.openxmlformats.org/drawingml/2006/main" prst="rect">
          <a:avLst/>
        </a:prstGeom>
        <a:solidFill xmlns:a="http://schemas.openxmlformats.org/drawingml/2006/main">
          <a:srgbClr val="7030A0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91440" tIns="45720" rIns="91440" bIns="45720" anchor="ctr" anchorCtr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fr-FR" sz="700" b="0" i="0" strike="noStrike">
              <a:solidFill>
                <a:schemeClr val="bg1"/>
              </a:solidFill>
              <a:latin typeface="Trebuchet MS" pitchFamily="34" charset="0"/>
              <a:cs typeface="Arial"/>
            </a:rPr>
            <a:t>Transports</a:t>
          </a:r>
        </a:p>
      </cdr:txBody>
    </cdr:sp>
  </cdr:relSizeAnchor>
  <cdr:relSizeAnchor xmlns:cdr="http://schemas.openxmlformats.org/drawingml/2006/chartDrawing">
    <cdr:from>
      <cdr:x>0.82976</cdr:x>
      <cdr:y>0.06206</cdr:y>
    </cdr:from>
    <cdr:to>
      <cdr:x>0.98477</cdr:x>
      <cdr:y>0.09182</cdr:y>
    </cdr:to>
    <cdr:sp macro="" textlink="">
      <cdr:nvSpPr>
        <cdr:cNvPr id="14" name="Text Box 36">
          <a:extLst xmlns:a="http://schemas.openxmlformats.org/drawingml/2006/main">
            <a:ext uri="{FF2B5EF4-FFF2-40B4-BE49-F238E27FC236}">
              <a16:creationId xmlns:a16="http://schemas.microsoft.com/office/drawing/2014/main" id="{31C59DC9-9733-467B-84FE-706118A4A10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22857" y="247683"/>
          <a:ext cx="1199896" cy="118763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91440" tIns="45720" rIns="91440" bIns="45720" anchor="ctr" anchorCtr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fr-FR" sz="700" b="0" i="0" strike="noStrike">
              <a:solidFill>
                <a:srgbClr val="000000"/>
              </a:solidFill>
              <a:latin typeface="Trebuchet MS" pitchFamily="34" charset="0"/>
              <a:cs typeface="Arial"/>
            </a:rPr>
            <a:t>UTCATF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0.20145</cdr:x>
      <cdr:y>0</cdr:y>
    </cdr:from>
    <cdr:to>
      <cdr:x>0.77068</cdr:x>
      <cdr:y>0.13333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7604737C-BCA5-4BFC-8790-F842A8288D30}"/>
            </a:ext>
          </a:extLst>
        </cdr:cNvPr>
        <cdr:cNvSpPr txBox="1"/>
      </cdr:nvSpPr>
      <cdr:spPr>
        <a:xfrm xmlns:a="http://schemas.openxmlformats.org/drawingml/2006/main">
          <a:off x="361376" y="0"/>
          <a:ext cx="1021127" cy="215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fr-FR" sz="1000" b="1">
              <a:latin typeface="Trebuchet MS" panose="020B0603020202020204" pitchFamily="34" charset="0"/>
            </a:rPr>
            <a:t>2019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21</xdr:row>
      <xdr:rowOff>215900</xdr:rowOff>
    </xdr:from>
    <xdr:to>
      <xdr:col>12</xdr:col>
      <xdr:colOff>57150</xdr:colOff>
      <xdr:row>43</xdr:row>
      <xdr:rowOff>28575</xdr:rowOff>
    </xdr:to>
    <xdr:graphicFrame macro="">
      <xdr:nvGraphicFramePr>
        <xdr:cNvPr id="2" name="Graphique 3">
          <a:extLst>
            <a:ext uri="{FF2B5EF4-FFF2-40B4-BE49-F238E27FC236}">
              <a16:creationId xmlns:a16="http://schemas.microsoft.com/office/drawing/2014/main" id="{DE2A3A79-A9BA-4433-8231-258F8B23B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215900</xdr:colOff>
      <xdr:row>25</xdr:row>
      <xdr:rowOff>101600</xdr:rowOff>
    </xdr:from>
    <xdr:to>
      <xdr:col>17</xdr:col>
      <xdr:colOff>9524</xdr:colOff>
      <xdr:row>34</xdr:row>
      <xdr:rowOff>63500</xdr:rowOff>
    </xdr:to>
    <xdr:graphicFrame macro="">
      <xdr:nvGraphicFramePr>
        <xdr:cNvPr id="3" name="Graphique 28">
          <a:extLst>
            <a:ext uri="{FF2B5EF4-FFF2-40B4-BE49-F238E27FC236}">
              <a16:creationId xmlns:a16="http://schemas.microsoft.com/office/drawing/2014/main" id="{EB64546F-D604-4068-B93F-482BA675D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0.395</cdr:x>
      <cdr:y>0.37562</cdr:y>
    </cdr:from>
    <cdr:to>
      <cdr:x>0.47636</cdr:x>
      <cdr:y>0.43855</cdr:y>
    </cdr:to>
    <cdr:sp macro="" textlink="#REF!">
      <cdr:nvSpPr>
        <cdr:cNvPr id="4" name="ZoneTexte 1"/>
        <cdr:cNvSpPr txBox="1"/>
      </cdr:nvSpPr>
      <cdr:spPr>
        <a:xfrm xmlns:a="http://schemas.openxmlformats.org/drawingml/2006/main">
          <a:off x="2257444" y="1438269"/>
          <a:ext cx="464972" cy="2409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9A638151-9DBF-48AF-A66C-3D391E352C1D}" type="TxLink">
            <a:rPr lang="fr-FR" sz="800" b="0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 </a:t>
          </a:fld>
          <a:endParaRPr lang="fr-FR" sz="800"/>
        </a:p>
      </cdr:txBody>
    </cdr:sp>
  </cdr:relSizeAnchor>
  <cdr:relSizeAnchor xmlns:cdr="http://schemas.openxmlformats.org/drawingml/2006/chartDrawing">
    <cdr:from>
      <cdr:x>0.615</cdr:x>
      <cdr:y>0.3582</cdr:y>
    </cdr:from>
    <cdr:to>
      <cdr:x>0.69636</cdr:x>
      <cdr:y>0.42114</cdr:y>
    </cdr:to>
    <cdr:sp macro="" textlink="#REF!">
      <cdr:nvSpPr>
        <cdr:cNvPr id="5" name="ZoneTexte 1"/>
        <cdr:cNvSpPr txBox="1"/>
      </cdr:nvSpPr>
      <cdr:spPr>
        <a:xfrm xmlns:a="http://schemas.openxmlformats.org/drawingml/2006/main">
          <a:off x="3514744" y="1371583"/>
          <a:ext cx="464972" cy="2410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EF1EDBBA-CD29-4B72-9B20-6DB81EEA28A7}" type="TxLink">
            <a:rPr lang="fr-FR" sz="800"/>
            <a:pPr algn="ctr"/>
            <a:t> </a:t>
          </a:fld>
          <a:endParaRPr lang="fr-FR" sz="800"/>
        </a:p>
      </cdr:txBody>
    </cdr:sp>
  </cdr:relSizeAnchor>
  <cdr:relSizeAnchor xmlns:cdr="http://schemas.openxmlformats.org/drawingml/2006/chartDrawing">
    <cdr:from>
      <cdr:x>0.845</cdr:x>
      <cdr:y>0.04727</cdr:y>
    </cdr:from>
    <cdr:to>
      <cdr:x>0.92636</cdr:x>
      <cdr:y>0.1102</cdr:y>
    </cdr:to>
    <cdr:sp macro="" textlink="#REF!">
      <cdr:nvSpPr>
        <cdr:cNvPr id="6" name="ZoneTexte 1"/>
        <cdr:cNvSpPr txBox="1"/>
      </cdr:nvSpPr>
      <cdr:spPr>
        <a:xfrm xmlns:a="http://schemas.openxmlformats.org/drawingml/2006/main">
          <a:off x="4829194" y="180985"/>
          <a:ext cx="464972" cy="2409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AA0DC8B8-9154-4514-A72C-C40B94485CA9}" type="TxLink">
            <a:rPr lang="fr-FR" sz="800" b="0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 </a:t>
          </a:fld>
          <a:endParaRPr lang="fr-FR" sz="800"/>
        </a:p>
      </cdr:txBody>
    </cdr:sp>
  </cdr:relSizeAnchor>
  <cdr:relSizeAnchor xmlns:cdr="http://schemas.openxmlformats.org/drawingml/2006/chartDrawing">
    <cdr:from>
      <cdr:x>0.86167</cdr:x>
      <cdr:y>0.23632</cdr:y>
    </cdr:from>
    <cdr:to>
      <cdr:x>0.94303</cdr:x>
      <cdr:y>0.29925</cdr:y>
    </cdr:to>
    <cdr:sp macro="" textlink="#REF!">
      <cdr:nvSpPr>
        <cdr:cNvPr id="7" name="ZoneTexte 1"/>
        <cdr:cNvSpPr txBox="1"/>
      </cdr:nvSpPr>
      <cdr:spPr>
        <a:xfrm xmlns:a="http://schemas.openxmlformats.org/drawingml/2006/main">
          <a:off x="4924425" y="904875"/>
          <a:ext cx="465004" cy="240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DB68A698-B644-448E-82D3-B9582A3D8916}" type="TxLink">
            <a:rPr lang="fr-FR" sz="800"/>
            <a:pPr algn="ctr"/>
            <a:t> </a:t>
          </a:fld>
          <a:endParaRPr lang="fr-FR" sz="800"/>
        </a:p>
      </cdr:txBody>
    </cdr:sp>
  </cdr:relSizeAnchor>
  <cdr:relSizeAnchor xmlns:cdr="http://schemas.openxmlformats.org/drawingml/2006/chartDrawing">
    <cdr:from>
      <cdr:x>0.36669</cdr:x>
      <cdr:y>0.03182</cdr:y>
    </cdr:from>
    <cdr:to>
      <cdr:x>0.52171</cdr:x>
      <cdr:y>0.06158</cdr:y>
    </cdr:to>
    <cdr:sp macro="" textlink="">
      <cdr:nvSpPr>
        <cdr:cNvPr id="8" name="Text Box 32">
          <a:extLst xmlns:a="http://schemas.openxmlformats.org/drawingml/2006/main">
            <a:ext uri="{FF2B5EF4-FFF2-40B4-BE49-F238E27FC236}">
              <a16:creationId xmlns:a16="http://schemas.microsoft.com/office/drawing/2014/main" id="{8F1FDBA5-D232-4D05-A976-0BD664E7ABA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38450" y="127000"/>
          <a:ext cx="1199896" cy="118763"/>
        </a:xfrm>
        <a:prstGeom xmlns:a="http://schemas.openxmlformats.org/drawingml/2006/main" prst="rect">
          <a:avLst/>
        </a:prstGeom>
        <a:solidFill xmlns:a="http://schemas.openxmlformats.org/drawingml/2006/main">
          <a:srgbClr val="C6D9F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91440" tIns="45720" rIns="91440" bIns="45720" anchor="ctr" anchorCtr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fr-FR" sz="700" b="0" i="0" strike="noStrike">
              <a:solidFill>
                <a:srgbClr val="000000"/>
              </a:solidFill>
              <a:latin typeface="Trebuchet MS" pitchFamily="34" charset="0"/>
              <a:cs typeface="Arial"/>
            </a:rPr>
            <a:t>Industrie énergie</a:t>
          </a:r>
        </a:p>
      </cdr:txBody>
    </cdr:sp>
  </cdr:relSizeAnchor>
  <cdr:relSizeAnchor xmlns:cdr="http://schemas.openxmlformats.org/drawingml/2006/chartDrawing">
    <cdr:from>
      <cdr:x>0.52013</cdr:x>
      <cdr:y>0.03223</cdr:y>
    </cdr:from>
    <cdr:to>
      <cdr:x>0.68129</cdr:x>
      <cdr:y>0.06295</cdr:y>
    </cdr:to>
    <cdr:sp macro="" textlink="">
      <cdr:nvSpPr>
        <cdr:cNvPr id="9" name="Text Box 33">
          <a:extLst xmlns:a="http://schemas.openxmlformats.org/drawingml/2006/main">
            <a:ext uri="{FF2B5EF4-FFF2-40B4-BE49-F238E27FC236}">
              <a16:creationId xmlns:a16="http://schemas.microsoft.com/office/drawing/2014/main" id="{9F8F1715-D34C-4248-A3E3-7540DBA2B8A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26164" y="128613"/>
          <a:ext cx="1247499" cy="122614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91440" tIns="45720" rIns="91440" bIns="45720" anchor="ctr" anchorCtr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fr-FR" sz="700" b="0" i="0" strike="noStrike">
              <a:solidFill>
                <a:srgbClr val="FFFFFF"/>
              </a:solidFill>
              <a:latin typeface="Trebuchet MS" pitchFamily="34" charset="0"/>
              <a:cs typeface="Arial"/>
            </a:rPr>
            <a:t>Industrie manufacturière</a:t>
          </a:r>
        </a:p>
      </cdr:txBody>
    </cdr:sp>
  </cdr:relSizeAnchor>
  <cdr:relSizeAnchor xmlns:cdr="http://schemas.openxmlformats.org/drawingml/2006/chartDrawing">
    <cdr:from>
      <cdr:x>0.67507</cdr:x>
      <cdr:y>0.03215</cdr:y>
    </cdr:from>
    <cdr:to>
      <cdr:x>0.83008</cdr:x>
      <cdr:y>0.06191</cdr:y>
    </cdr:to>
    <cdr:sp macro="" textlink="">
      <cdr:nvSpPr>
        <cdr:cNvPr id="10" name="Text Box 34">
          <a:extLst xmlns:a="http://schemas.openxmlformats.org/drawingml/2006/main">
            <a:ext uri="{FF2B5EF4-FFF2-40B4-BE49-F238E27FC236}">
              <a16:creationId xmlns:a16="http://schemas.microsoft.com/office/drawing/2014/main" id="{74C14872-670C-4A43-BE85-514E99E0CBA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25471" y="128300"/>
          <a:ext cx="1199896" cy="118763"/>
        </a:xfrm>
        <a:prstGeom xmlns:a="http://schemas.openxmlformats.org/drawingml/2006/main" prst="rect">
          <a:avLst/>
        </a:prstGeom>
        <a:solidFill xmlns:a="http://schemas.openxmlformats.org/drawingml/2006/main">
          <a:srgbClr val="B3A2C7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91440" tIns="45720" rIns="91440" bIns="45720" anchor="ctr" anchorCtr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fr-FR" sz="700" b="0" i="0" strike="noStrike">
              <a:solidFill>
                <a:srgbClr val="000000"/>
              </a:solidFill>
              <a:latin typeface="Trebuchet MS" pitchFamily="34" charset="0"/>
              <a:cs typeface="Arial"/>
            </a:rPr>
            <a:t>Déchets (centralisés)</a:t>
          </a:r>
        </a:p>
      </cdr:txBody>
    </cdr:sp>
  </cdr:relSizeAnchor>
  <cdr:relSizeAnchor xmlns:cdr="http://schemas.openxmlformats.org/drawingml/2006/chartDrawing">
    <cdr:from>
      <cdr:x>0.82966</cdr:x>
      <cdr:y>0.03204</cdr:y>
    </cdr:from>
    <cdr:to>
      <cdr:x>0.98467</cdr:x>
      <cdr:y>0.0618</cdr:y>
    </cdr:to>
    <cdr:sp macro="" textlink="">
      <cdr:nvSpPr>
        <cdr:cNvPr id="11" name="Text Box 35">
          <a:extLst xmlns:a="http://schemas.openxmlformats.org/drawingml/2006/main">
            <a:ext uri="{FF2B5EF4-FFF2-40B4-BE49-F238E27FC236}">
              <a16:creationId xmlns:a16="http://schemas.microsoft.com/office/drawing/2014/main" id="{B1F34CF0-DC44-4EB9-9B49-F963A2155B2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22080" y="127888"/>
          <a:ext cx="1199896" cy="118763"/>
        </a:xfrm>
        <a:prstGeom xmlns:a="http://schemas.openxmlformats.org/drawingml/2006/main" prst="rect">
          <a:avLst/>
        </a:prstGeom>
        <a:solidFill xmlns:a="http://schemas.openxmlformats.org/drawingml/2006/main">
          <a:srgbClr val="E0E5B3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91440" tIns="45720" rIns="91440" bIns="45720" anchor="ctr" anchorCtr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fr-FR" sz="700" b="0" i="0" strike="noStrike">
              <a:solidFill>
                <a:srgbClr val="000000"/>
              </a:solidFill>
              <a:latin typeface="Trebuchet MS" pitchFamily="34" charset="0"/>
              <a:cs typeface="Arial"/>
            </a:rPr>
            <a:t>Résidentiel/tertiaire</a:t>
          </a:r>
        </a:p>
      </cdr:txBody>
    </cdr:sp>
  </cdr:relSizeAnchor>
  <cdr:relSizeAnchor xmlns:cdr="http://schemas.openxmlformats.org/drawingml/2006/chartDrawing">
    <cdr:from>
      <cdr:x>0.52013</cdr:x>
      <cdr:y>0.06115</cdr:y>
    </cdr:from>
    <cdr:to>
      <cdr:x>0.67514</cdr:x>
      <cdr:y>0.09091</cdr:y>
    </cdr:to>
    <cdr:sp macro="" textlink="">
      <cdr:nvSpPr>
        <cdr:cNvPr id="12" name="Text Box 36">
          <a:extLst xmlns:a="http://schemas.openxmlformats.org/drawingml/2006/main">
            <a:ext uri="{FF2B5EF4-FFF2-40B4-BE49-F238E27FC236}">
              <a16:creationId xmlns:a16="http://schemas.microsoft.com/office/drawing/2014/main" id="{6FE5D2E3-3E73-41D4-8437-5A0517A57C3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26153" y="244055"/>
          <a:ext cx="1199896" cy="118763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91440" tIns="45720" rIns="91440" bIns="45720" anchor="ctr" anchorCtr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fr-FR" sz="700" b="0" i="0" strike="noStrike">
              <a:solidFill>
                <a:srgbClr val="000000"/>
              </a:solidFill>
              <a:latin typeface="Trebuchet MS" pitchFamily="34" charset="0"/>
              <a:cs typeface="Arial"/>
            </a:rPr>
            <a:t>Agriculture/sylviculture</a:t>
          </a:r>
        </a:p>
      </cdr:txBody>
    </cdr:sp>
  </cdr:relSizeAnchor>
  <cdr:relSizeAnchor xmlns:cdr="http://schemas.openxmlformats.org/drawingml/2006/chartDrawing">
    <cdr:from>
      <cdr:x>0.67496</cdr:x>
      <cdr:y>0.06156</cdr:y>
    </cdr:from>
    <cdr:to>
      <cdr:x>0.82997</cdr:x>
      <cdr:y>0.09132</cdr:y>
    </cdr:to>
    <cdr:sp macro="" textlink="">
      <cdr:nvSpPr>
        <cdr:cNvPr id="13" name="Text Box 37">
          <a:extLst xmlns:a="http://schemas.openxmlformats.org/drawingml/2006/main">
            <a:ext uri="{FF2B5EF4-FFF2-40B4-BE49-F238E27FC236}">
              <a16:creationId xmlns:a16="http://schemas.microsoft.com/office/drawing/2014/main" id="{253BACAC-D0B4-496C-8F50-B1B1D7F4089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24640" y="245686"/>
          <a:ext cx="1199896" cy="118763"/>
        </a:xfrm>
        <a:prstGeom xmlns:a="http://schemas.openxmlformats.org/drawingml/2006/main" prst="rect">
          <a:avLst/>
        </a:prstGeom>
        <a:solidFill xmlns:a="http://schemas.openxmlformats.org/drawingml/2006/main">
          <a:srgbClr val="7030A0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91440" tIns="45720" rIns="91440" bIns="45720" anchor="ctr" anchorCtr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fr-FR" sz="700" b="0" i="0" strike="noStrike">
              <a:solidFill>
                <a:schemeClr val="bg1"/>
              </a:solidFill>
              <a:latin typeface="Trebuchet MS" pitchFamily="34" charset="0"/>
              <a:cs typeface="Arial"/>
            </a:rPr>
            <a:t>Transports</a:t>
          </a:r>
        </a:p>
      </cdr:txBody>
    </cdr:sp>
  </cdr:relSizeAnchor>
  <cdr:relSizeAnchor xmlns:cdr="http://schemas.openxmlformats.org/drawingml/2006/chartDrawing">
    <cdr:from>
      <cdr:x>0.82976</cdr:x>
      <cdr:y>0.06206</cdr:y>
    </cdr:from>
    <cdr:to>
      <cdr:x>0.98477</cdr:x>
      <cdr:y>0.09182</cdr:y>
    </cdr:to>
    <cdr:sp macro="" textlink="">
      <cdr:nvSpPr>
        <cdr:cNvPr id="14" name="Text Box 36">
          <a:extLst xmlns:a="http://schemas.openxmlformats.org/drawingml/2006/main">
            <a:ext uri="{FF2B5EF4-FFF2-40B4-BE49-F238E27FC236}">
              <a16:creationId xmlns:a16="http://schemas.microsoft.com/office/drawing/2014/main" id="{31C59DC9-9733-467B-84FE-706118A4A10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22857" y="247683"/>
          <a:ext cx="1199896" cy="118763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91440" tIns="45720" rIns="91440" bIns="45720" anchor="ctr" anchorCtr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fr-FR" sz="700" b="0" i="0" strike="noStrike">
              <a:solidFill>
                <a:srgbClr val="000000"/>
              </a:solidFill>
              <a:latin typeface="Trebuchet MS" pitchFamily="34" charset="0"/>
              <a:cs typeface="Arial"/>
            </a:rPr>
            <a:t>UTCATF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0.20145</cdr:x>
      <cdr:y>0</cdr:y>
    </cdr:from>
    <cdr:to>
      <cdr:x>0.77068</cdr:x>
      <cdr:y>0.13333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7604737C-BCA5-4BFC-8790-F842A8288D30}"/>
            </a:ext>
          </a:extLst>
        </cdr:cNvPr>
        <cdr:cNvSpPr txBox="1"/>
      </cdr:nvSpPr>
      <cdr:spPr>
        <a:xfrm xmlns:a="http://schemas.openxmlformats.org/drawingml/2006/main">
          <a:off x="361376" y="0"/>
          <a:ext cx="1021127" cy="215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fr-FR" sz="1000" b="1">
              <a:latin typeface="Trebuchet MS" panose="020B0603020202020204" pitchFamily="34" charset="0"/>
            </a:rPr>
            <a:t>2019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21</xdr:row>
      <xdr:rowOff>215900</xdr:rowOff>
    </xdr:from>
    <xdr:to>
      <xdr:col>12</xdr:col>
      <xdr:colOff>57150</xdr:colOff>
      <xdr:row>43</xdr:row>
      <xdr:rowOff>28575</xdr:rowOff>
    </xdr:to>
    <xdr:graphicFrame macro="">
      <xdr:nvGraphicFramePr>
        <xdr:cNvPr id="2" name="Graphique 3">
          <a:extLst>
            <a:ext uri="{FF2B5EF4-FFF2-40B4-BE49-F238E27FC236}">
              <a16:creationId xmlns:a16="http://schemas.microsoft.com/office/drawing/2014/main" id="{5001A243-CB46-4DBF-A817-A0DC58D72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120650</xdr:colOff>
      <xdr:row>25</xdr:row>
      <xdr:rowOff>69850</xdr:rowOff>
    </xdr:from>
    <xdr:to>
      <xdr:col>16</xdr:col>
      <xdr:colOff>314324</xdr:colOff>
      <xdr:row>34</xdr:row>
      <xdr:rowOff>31750</xdr:rowOff>
    </xdr:to>
    <xdr:graphicFrame macro="">
      <xdr:nvGraphicFramePr>
        <xdr:cNvPr id="3" name="Graphique 28">
          <a:extLst>
            <a:ext uri="{FF2B5EF4-FFF2-40B4-BE49-F238E27FC236}">
              <a16:creationId xmlns:a16="http://schemas.microsoft.com/office/drawing/2014/main" id="{E5FCF4F4-7E08-416A-B27D-62575CD09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serveur\INVENTAIRE\windows\TEMP\Common%20Reporting%20Format%20V1.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itepa\INVENTAIRE\FICHES\En%20cours\En_chantier\06-AGRICULTURE\Elevag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4_Inventaires%20d'&#233;missions,%20prospective%20et%20&#233;valuation/42_Prospective/421_Sc&#233;narios%20prospectifs%20DGEC/4215_Sc&#233;narios%202023/22-Outre%20mer/Hypoth&#232;ses%20OM_run2/Hypoth&#232;ses%20AME_AMS%202023%20Martiniq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able1s1"/>
      <sheetName val="Table1s2"/>
      <sheetName val="Table1.A(a)s1"/>
      <sheetName val="Table1.A(a)s2"/>
      <sheetName val="Table1.A(a)s3"/>
      <sheetName val="Table1.A(a)s4"/>
      <sheetName val="Table1.A(b)"/>
      <sheetName val="Table1.A(c)"/>
      <sheetName val="Table1.A(d)"/>
      <sheetName val="Table1.B.1"/>
      <sheetName val="Table1.B.2"/>
      <sheetName val="Table1.C"/>
      <sheetName val="Table2(I)s1"/>
      <sheetName val="Table2(I)s2"/>
      <sheetName val="Table2(I).A-Gs1"/>
      <sheetName val="Table2(I).A-Gs2"/>
      <sheetName val="Table2(II)s1"/>
      <sheetName val="Table2(II)s2"/>
      <sheetName val="Table2(II).C,E"/>
      <sheetName val="Table2(II).Fs1"/>
      <sheetName val="Table2(II).Fs2"/>
      <sheetName val="Table3"/>
      <sheetName val="Table3.A-D"/>
      <sheetName val="Table4s1"/>
      <sheetName val="Table4s2"/>
      <sheetName val="Table4.A"/>
      <sheetName val="Table4.B(a)"/>
      <sheetName val="Table4.B(b)"/>
      <sheetName val="Table4.C"/>
      <sheetName val="Table4.D"/>
      <sheetName val="Table4.E"/>
      <sheetName val="Table4.F"/>
      <sheetName val="Table5"/>
      <sheetName val="Table5.A"/>
      <sheetName val="Table5.B"/>
      <sheetName val="Table5.C"/>
      <sheetName val="Table5.D"/>
      <sheetName val="Table6"/>
      <sheetName val="Table6.A,C"/>
      <sheetName val="Table6.B"/>
      <sheetName val="Summary1.As1"/>
      <sheetName val="Summary1.As2"/>
      <sheetName val="Summary1.As3"/>
      <sheetName val="Summary1.B"/>
      <sheetName val="Summary2"/>
      <sheetName val="Summary3s1"/>
      <sheetName val="Summary3s2"/>
      <sheetName val="Table7s1"/>
      <sheetName val="Table7s2"/>
      <sheetName val="Table7s3"/>
      <sheetName val="Table8(a)s1"/>
      <sheetName val="Table8(a)s2"/>
      <sheetName val="Table8(b)"/>
      <sheetName val="Table9s1"/>
      <sheetName val="Table9s2"/>
      <sheetName val="Table10s1"/>
      <sheetName val="Table10s2"/>
      <sheetName val="Table10s3"/>
      <sheetName val="Table10s4"/>
      <sheetName val="Table10s5"/>
      <sheetName val="Table11"/>
    </sheetNames>
    <sheetDataSet>
      <sheetData sheetId="0">
        <row r="4">
          <cell r="C4" t="str">
            <v>Country</v>
          </cell>
        </row>
        <row r="6">
          <cell r="C6" t="str">
            <v>Year</v>
          </cell>
        </row>
        <row r="30">
          <cell r="C30" t="str">
            <v>Submission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énérique"/>
      <sheetName val="Références"/>
      <sheetName val="Suivi"/>
      <sheetName val="Cheptels"/>
      <sheetName val="FE"/>
      <sheetName val="Emissions"/>
      <sheetName val="Mode_Gestion"/>
      <sheetName val="Fermentation_CH4"/>
      <sheetName val="Déjections_CH4"/>
      <sheetName val="Déjections_N2O"/>
      <sheetName val="Déjections_NH3"/>
      <sheetName val="Export_culture"/>
      <sheetName val="Export_ACTIV"/>
      <sheetName val="cheptels DT"/>
      <sheetName val="DOM-TOM 1 (CH4 et NH3)"/>
      <sheetName val="dom-Export_ACTIV"/>
      <sheetName val="tom-Export_EMIS"/>
      <sheetName val="dom-Export_EMIS"/>
      <sheetName val="Export_EMIS"/>
      <sheetName val="tom-Export_ACTIV"/>
      <sheetName val="DOM-TOM 2 (N2O)"/>
      <sheetName val="DOM-TOM 3 (TSP- PM10-PM2.5)"/>
      <sheetName val="Export CRF-int"/>
      <sheetName val="Export CRF"/>
      <sheetName val="déjection-old"/>
      <sheetName val="Beck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ur Enerdata"/>
      <sheetName val="Cadrage macroéconomique "/>
      <sheetName val="GES"/>
      <sheetName val="Prod Energie"/>
      <sheetName val="Bilan de l'énergie "/>
      <sheetName val="Transports"/>
      <sheetName val="Industrie"/>
      <sheetName val="Résidentiel-tertiaire"/>
      <sheetName val="Résidentiel-Tertiaire 2"/>
      <sheetName val="Agriculture"/>
      <sheetName val="UTCATF"/>
      <sheetName val="Déche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52">
          <cell r="D152">
            <v>760.85335631030102</v>
          </cell>
        </row>
        <row r="159">
          <cell r="D159">
            <v>673.34922536957004</v>
          </cell>
        </row>
      </sheetData>
      <sheetData sheetId="9">
        <row r="29">
          <cell r="J29">
            <v>155.597883335208</v>
          </cell>
        </row>
      </sheetData>
      <sheetData sheetId="10"/>
      <sheetData sheetId="1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268"/>
  <sheetViews>
    <sheetView topLeftCell="A193" zoomScale="70" zoomScaleNormal="70" workbookViewId="0">
      <selection activeCell="C10" sqref="C10"/>
    </sheetView>
  </sheetViews>
  <sheetFormatPr baseColWidth="10" defaultColWidth="8.88671875" defaultRowHeight="14.4"/>
  <cols>
    <col min="1" max="1032" width="10.44140625" customWidth="1"/>
  </cols>
  <sheetData>
    <row r="2" spans="2:30" ht="18">
      <c r="B2" s="497" t="s">
        <v>0</v>
      </c>
      <c r="C2" s="497"/>
      <c r="D2" s="497"/>
    </row>
    <row r="4" spans="2:30">
      <c r="B4" t="s">
        <v>1</v>
      </c>
      <c r="V4" t="s">
        <v>2</v>
      </c>
    </row>
    <row r="5" spans="2:30">
      <c r="B5" t="s">
        <v>3</v>
      </c>
      <c r="C5" s="1">
        <v>2019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  <c r="K5" s="30"/>
      <c r="L5" s="30"/>
      <c r="M5" s="30"/>
      <c r="N5" s="30"/>
      <c r="V5" t="s">
        <v>3</v>
      </c>
      <c r="W5" s="1">
        <v>2019</v>
      </c>
      <c r="X5" s="1">
        <v>2020</v>
      </c>
      <c r="Y5" s="1">
        <v>2025</v>
      </c>
      <c r="Z5" s="1">
        <v>2030</v>
      </c>
      <c r="AA5" s="1">
        <v>2035</v>
      </c>
      <c r="AB5" s="1">
        <v>2040</v>
      </c>
      <c r="AC5" s="1">
        <v>2045</v>
      </c>
      <c r="AD5" s="1">
        <v>2050</v>
      </c>
    </row>
    <row r="6" spans="2:30">
      <c r="B6" s="2" t="s">
        <v>4</v>
      </c>
      <c r="C6" s="2">
        <f t="shared" ref="C6:J6" si="0">C7+C8</f>
        <v>8.835657281438797</v>
      </c>
      <c r="D6" s="2">
        <f t="shared" si="0"/>
        <v>8.8780820005808643</v>
      </c>
      <c r="E6" s="2">
        <f t="shared" si="0"/>
        <v>9.0901581460300793</v>
      </c>
      <c r="F6" s="2">
        <f t="shared" si="0"/>
        <v>9.3021552077107561</v>
      </c>
      <c r="G6" s="2">
        <f t="shared" si="0"/>
        <v>9.5140731856228964</v>
      </c>
      <c r="H6" s="2">
        <f t="shared" si="0"/>
        <v>9.7259120797665002</v>
      </c>
      <c r="I6" s="2">
        <f t="shared" si="0"/>
        <v>9.9376718901415657</v>
      </c>
      <c r="J6" s="2">
        <f t="shared" si="0"/>
        <v>10.149352616748095</v>
      </c>
      <c r="K6" s="2"/>
      <c r="L6" s="2"/>
      <c r="M6" s="2"/>
      <c r="N6" s="2"/>
      <c r="V6" s="2" t="s">
        <v>4</v>
      </c>
      <c r="W6" s="2">
        <f t="shared" ref="W6:AD6" si="1">W7+W8</f>
        <v>8.835657281438797</v>
      </c>
      <c r="X6" s="2">
        <f t="shared" si="1"/>
        <v>8.8619226006957899</v>
      </c>
      <c r="Y6" s="2">
        <f t="shared" si="1"/>
        <v>8.990867322980213</v>
      </c>
      <c r="Z6" s="2">
        <f t="shared" si="1"/>
        <v>9.1158422552637344</v>
      </c>
      <c r="AA6" s="2">
        <f t="shared" si="1"/>
        <v>9.2368473975463594</v>
      </c>
      <c r="AB6" s="2">
        <f t="shared" si="1"/>
        <v>9.3538827498280863</v>
      </c>
      <c r="AC6" s="2">
        <f t="shared" si="1"/>
        <v>9.4669483121089133</v>
      </c>
      <c r="AD6" s="2">
        <f t="shared" si="1"/>
        <v>9.5760440843888421</v>
      </c>
    </row>
    <row r="7" spans="2:30">
      <c r="B7" s="2" t="s">
        <v>5</v>
      </c>
      <c r="C7" s="2">
        <f>Agriculture!D19</f>
        <v>0.20266533750472568</v>
      </c>
      <c r="D7" s="2">
        <f>Agriculture!G19</f>
        <v>0.20331751498259601</v>
      </c>
      <c r="E7" s="2">
        <f>Agriculture!J19</f>
        <v>0.20653095211082517</v>
      </c>
      <c r="F7" s="2">
        <f>Agriculture!M19</f>
        <v>0.20966530547051718</v>
      </c>
      <c r="G7" s="2">
        <f>Agriculture!P19</f>
        <v>0.21272057506167188</v>
      </c>
      <c r="H7" s="2">
        <f>Agriculture!S19</f>
        <v>0.21569676088428941</v>
      </c>
      <c r="I7" s="2">
        <f>Agriculture!V19</f>
        <v>0.21859386293836972</v>
      </c>
      <c r="J7" s="2">
        <f>Agriculture!Y19</f>
        <v>0.22141188122391275</v>
      </c>
      <c r="K7" s="2"/>
      <c r="L7" s="2"/>
      <c r="M7" s="2"/>
      <c r="N7" s="2"/>
      <c r="V7" s="2" t="s">
        <v>5</v>
      </c>
      <c r="W7" s="2">
        <f>Agriculture!D35</f>
        <v>0.20266533750472568</v>
      </c>
      <c r="X7" s="2">
        <f>Agriculture!G35</f>
        <v>0.20114967071945364</v>
      </c>
      <c r="Y7" s="2">
        <f>Agriculture!J35</f>
        <v>0.19321071480856347</v>
      </c>
      <c r="Z7" s="2">
        <f>Agriculture!M35</f>
        <v>0.18467072225679049</v>
      </c>
      <c r="AA7" s="2">
        <f>Agriculture!P35</f>
        <v>0.17552969306413457</v>
      </c>
      <c r="AB7" s="2">
        <f>Agriculture!S35</f>
        <v>0.16578762723059573</v>
      </c>
      <c r="AC7" s="2">
        <f>Agriculture!V35</f>
        <v>0.15544452475617401</v>
      </c>
      <c r="AD7" s="2">
        <f>Agriculture!Y35</f>
        <v>0.14450038564086939</v>
      </c>
    </row>
    <row r="8" spans="2:30">
      <c r="B8" s="2" t="s">
        <v>6</v>
      </c>
      <c r="C8" s="2">
        <f>Agriculture!D20</f>
        <v>8.632991943934071</v>
      </c>
      <c r="D8" s="2">
        <f>Agriculture!G20</f>
        <v>8.6747644855982688</v>
      </c>
      <c r="E8" s="2">
        <f>Agriculture!J20</f>
        <v>8.8836271939192546</v>
      </c>
      <c r="F8" s="2">
        <f>Agriculture!M20</f>
        <v>9.0924899022402386</v>
      </c>
      <c r="G8" s="2">
        <f>Agriculture!P20</f>
        <v>9.3013526105612243</v>
      </c>
      <c r="H8" s="2">
        <f>Agriculture!S20</f>
        <v>9.5102153188822101</v>
      </c>
      <c r="I8" s="2">
        <f>Agriculture!V20</f>
        <v>9.7190780272031958</v>
      </c>
      <c r="J8" s="2">
        <f>Agriculture!Y20</f>
        <v>9.9279407355241815</v>
      </c>
      <c r="K8" s="2"/>
      <c r="L8" s="2"/>
      <c r="M8" s="2"/>
      <c r="N8" s="2"/>
      <c r="V8" s="2" t="s">
        <v>6</v>
      </c>
      <c r="W8" s="2">
        <f>Agriculture!D36</f>
        <v>8.632991943934071</v>
      </c>
      <c r="X8" s="2">
        <f>Agriculture!G36</f>
        <v>8.6607729299763356</v>
      </c>
      <c r="Y8" s="2">
        <f>Agriculture!J36</f>
        <v>8.7976566081716499</v>
      </c>
      <c r="Z8" s="2">
        <f>Agriculture!M36</f>
        <v>8.9311715330069443</v>
      </c>
      <c r="AA8" s="2">
        <f>Agriculture!P36</f>
        <v>9.0613177044822244</v>
      </c>
      <c r="AB8" s="2">
        <f>Agriculture!S36</f>
        <v>9.1880951225974901</v>
      </c>
      <c r="AC8" s="2">
        <f>Agriculture!V36</f>
        <v>9.3115037873527395</v>
      </c>
      <c r="AD8" s="2">
        <f>Agriculture!Y36</f>
        <v>9.4315436987479728</v>
      </c>
    </row>
    <row r="9" spans="2:30">
      <c r="B9" s="2" t="s">
        <v>7</v>
      </c>
      <c r="C9" s="2">
        <f>Déchets!B21</f>
        <v>2.385381346123181</v>
      </c>
      <c r="D9" s="2">
        <f>Déchets!C21</f>
        <v>2.4456290390231428</v>
      </c>
      <c r="E9" s="2">
        <f>Déchets!D21</f>
        <v>2.3209657874862257</v>
      </c>
      <c r="F9" s="2">
        <f>Déchets!E21</f>
        <v>2.2313432370248245</v>
      </c>
      <c r="G9" s="2">
        <f>Déchets!F21</f>
        <v>2.1743242445965922</v>
      </c>
      <c r="H9" s="2">
        <f>Déchets!G21</f>
        <v>2.1342738606006977</v>
      </c>
      <c r="I9" s="2">
        <f>Déchets!H21</f>
        <v>2.0878056665932907</v>
      </c>
      <c r="J9" s="2">
        <f>Déchets!I21</f>
        <v>2.0246735070338393</v>
      </c>
      <c r="K9" s="2"/>
      <c r="L9" s="2"/>
      <c r="M9" s="2"/>
      <c r="N9" s="2"/>
      <c r="V9" s="2" t="s">
        <v>7</v>
      </c>
      <c r="W9" s="2">
        <f>Déchets!B34</f>
        <v>2.385381346123181</v>
      </c>
      <c r="X9" s="2">
        <f>Déchets!C34</f>
        <v>2.4022835983252371</v>
      </c>
      <c r="Y9" s="2">
        <f>Déchets!D34</f>
        <v>2.0754622795825819</v>
      </c>
      <c r="Z9" s="2">
        <f>Déchets!E34</f>
        <v>1.8010644317975835</v>
      </c>
      <c r="AA9" s="2">
        <f>Déchets!F34</f>
        <v>1.5680836025209355</v>
      </c>
      <c r="AB9" s="2">
        <f>Déchets!G34</f>
        <v>1.3581630381815295</v>
      </c>
      <c r="AC9" s="2">
        <f>Déchets!H34</f>
        <v>1.1541208803308227</v>
      </c>
      <c r="AD9" s="2">
        <f>Déchets!I34</f>
        <v>0.95278753272180661</v>
      </c>
    </row>
    <row r="10" spans="2:30">
      <c r="B10" s="2" t="s">
        <v>8</v>
      </c>
      <c r="C10" s="2">
        <f>UTCATF!B10</f>
        <v>0</v>
      </c>
      <c r="D10" s="2">
        <f>UTCATF!C10</f>
        <v>0</v>
      </c>
      <c r="E10" s="2">
        <f>UTCATF!D10</f>
        <v>0</v>
      </c>
      <c r="F10" s="2">
        <f>UTCATF!E10</f>
        <v>0</v>
      </c>
      <c r="G10" s="2">
        <f>UTCATF!F10</f>
        <v>0</v>
      </c>
      <c r="H10" s="2">
        <f>UTCATF!G10</f>
        <v>0</v>
      </c>
      <c r="I10" s="2">
        <f>UTCATF!H10</f>
        <v>0</v>
      </c>
      <c r="J10" s="2">
        <f>UTCATF!I10</f>
        <v>0</v>
      </c>
      <c r="K10" s="2"/>
      <c r="L10" s="2"/>
      <c r="M10" s="2"/>
      <c r="N10" s="2"/>
      <c r="V10" s="2" t="s">
        <v>8</v>
      </c>
      <c r="W10" s="2">
        <f>UTCATF!B16</f>
        <v>0</v>
      </c>
      <c r="X10" s="2">
        <f>UTCATF!C16</f>
        <v>0</v>
      </c>
      <c r="Y10" s="2">
        <f>UTCATF!D16</f>
        <v>0</v>
      </c>
      <c r="Z10" s="2">
        <f>UTCATF!E16</f>
        <v>0</v>
      </c>
      <c r="AA10" s="2">
        <f>UTCATF!F16</f>
        <v>0</v>
      </c>
      <c r="AB10" s="2">
        <f>UTCATF!G16</f>
        <v>0</v>
      </c>
      <c r="AC10" s="2">
        <f>UTCATF!H16</f>
        <v>0</v>
      </c>
      <c r="AD10" s="2">
        <f>UTCATF!I16</f>
        <v>0</v>
      </c>
    </row>
    <row r="13" spans="2:30" ht="18">
      <c r="B13" s="497" t="s">
        <v>9</v>
      </c>
      <c r="C13" s="497"/>
      <c r="D13" s="497"/>
    </row>
    <row r="16" spans="2:30">
      <c r="C16" s="3" t="s">
        <v>10</v>
      </c>
      <c r="V16" s="3" t="s">
        <v>11</v>
      </c>
    </row>
    <row r="17" spans="2:31">
      <c r="C17" t="s">
        <v>12</v>
      </c>
      <c r="V17" t="s">
        <v>12</v>
      </c>
    </row>
    <row r="18" spans="2:31">
      <c r="C18" t="s">
        <v>13</v>
      </c>
      <c r="V18" s="4" t="s">
        <v>13</v>
      </c>
    </row>
    <row r="19" spans="2:31" ht="57.6">
      <c r="B19" s="5"/>
      <c r="C19" s="6" t="s">
        <v>14</v>
      </c>
      <c r="D19" s="6" t="s">
        <v>15</v>
      </c>
      <c r="E19" s="6" t="s">
        <v>16</v>
      </c>
      <c r="F19" s="6" t="s">
        <v>17</v>
      </c>
      <c r="G19" s="6" t="s">
        <v>18</v>
      </c>
      <c r="H19" s="226" t="s">
        <v>371</v>
      </c>
      <c r="I19" s="226" t="s">
        <v>150</v>
      </c>
      <c r="J19" s="226" t="s">
        <v>372</v>
      </c>
      <c r="K19" s="226" t="s">
        <v>7</v>
      </c>
      <c r="L19" s="226" t="s">
        <v>373</v>
      </c>
      <c r="M19" s="226" t="s">
        <v>149</v>
      </c>
      <c r="N19" s="226" t="s">
        <v>374</v>
      </c>
      <c r="O19" s="229" t="s">
        <v>19</v>
      </c>
      <c r="P19" s="6" t="s">
        <v>20</v>
      </c>
      <c r="Q19" s="6" t="s">
        <v>21</v>
      </c>
      <c r="R19" s="7" t="s">
        <v>22</v>
      </c>
      <c r="S19" s="6" t="s">
        <v>23</v>
      </c>
      <c r="U19" s="5"/>
      <c r="V19" s="6" t="s">
        <v>14</v>
      </c>
      <c r="W19" s="6" t="s">
        <v>15</v>
      </c>
      <c r="X19" s="6" t="s">
        <v>16</v>
      </c>
      <c r="Y19" s="6" t="s">
        <v>17</v>
      </c>
      <c r="Z19" s="6" t="s">
        <v>18</v>
      </c>
      <c r="AA19" s="6" t="s">
        <v>19</v>
      </c>
      <c r="AB19" s="6" t="s">
        <v>20</v>
      </c>
      <c r="AC19" s="6" t="s">
        <v>21</v>
      </c>
      <c r="AD19" s="7" t="s">
        <v>22</v>
      </c>
      <c r="AE19" s="6" t="s">
        <v>23</v>
      </c>
    </row>
    <row r="20" spans="2:31">
      <c r="B20" s="8" t="s">
        <v>24</v>
      </c>
      <c r="C20" s="9">
        <v>0</v>
      </c>
      <c r="D20" s="9">
        <v>0</v>
      </c>
      <c r="E20" s="9">
        <v>0</v>
      </c>
      <c r="F20" s="9">
        <v>0</v>
      </c>
      <c r="G20" s="9">
        <v>678</v>
      </c>
      <c r="H20" s="227">
        <v>873.30980373516763</v>
      </c>
      <c r="I20" s="227">
        <v>70.756794291068672</v>
      </c>
      <c r="J20" s="227">
        <v>0</v>
      </c>
      <c r="K20" s="227">
        <v>90.647752968071387</v>
      </c>
      <c r="L20" s="227">
        <v>379.83668363960567</v>
      </c>
      <c r="M20" s="227">
        <v>485.31857264308019</v>
      </c>
      <c r="N20" s="227">
        <v>0</v>
      </c>
      <c r="O20" s="230">
        <v>1910</v>
      </c>
      <c r="P20" s="9">
        <v>0</v>
      </c>
      <c r="Q20" s="9">
        <v>0</v>
      </c>
      <c r="R20" s="11">
        <v>0</v>
      </c>
      <c r="S20" s="9">
        <v>2588</v>
      </c>
      <c r="U20" s="8" t="s">
        <v>24</v>
      </c>
      <c r="V20" s="9">
        <v>0</v>
      </c>
      <c r="W20" s="9">
        <v>0</v>
      </c>
      <c r="X20" s="9">
        <v>0</v>
      </c>
      <c r="Y20" s="9">
        <v>0</v>
      </c>
      <c r="Z20" s="9">
        <v>678</v>
      </c>
      <c r="AA20" s="10">
        <v>1910</v>
      </c>
      <c r="AB20" s="9">
        <v>0</v>
      </c>
      <c r="AC20" s="9">
        <v>0</v>
      </c>
      <c r="AD20" s="11">
        <v>0</v>
      </c>
      <c r="AE20" s="9">
        <v>2588</v>
      </c>
    </row>
    <row r="21" spans="2:31">
      <c r="B21" s="8" t="s">
        <v>25</v>
      </c>
      <c r="C21" s="9">
        <v>0</v>
      </c>
      <c r="D21" s="9">
        <v>0</v>
      </c>
      <c r="E21" s="9">
        <v>0</v>
      </c>
      <c r="F21" s="9">
        <v>0</v>
      </c>
      <c r="G21" s="9">
        <v>422</v>
      </c>
      <c r="H21" s="227">
        <v>0</v>
      </c>
      <c r="I21" s="227">
        <v>0</v>
      </c>
      <c r="J21" s="227">
        <v>0</v>
      </c>
      <c r="K21" s="227">
        <v>0</v>
      </c>
      <c r="L21" s="227">
        <v>0</v>
      </c>
      <c r="M21" s="227">
        <v>0</v>
      </c>
      <c r="N21" s="227">
        <v>0</v>
      </c>
      <c r="O21" s="230">
        <v>0</v>
      </c>
      <c r="P21" s="9">
        <v>0</v>
      </c>
      <c r="Q21" s="9">
        <v>0</v>
      </c>
      <c r="R21" s="11">
        <v>0</v>
      </c>
      <c r="S21" s="9">
        <v>422</v>
      </c>
      <c r="U21" s="8" t="s">
        <v>25</v>
      </c>
      <c r="V21" s="9">
        <v>0</v>
      </c>
      <c r="W21" s="9">
        <v>0</v>
      </c>
      <c r="X21" s="9">
        <v>0</v>
      </c>
      <c r="Y21" s="9">
        <v>0</v>
      </c>
      <c r="Z21" s="9">
        <v>422</v>
      </c>
      <c r="AA21" s="10">
        <v>0</v>
      </c>
      <c r="AB21" s="9">
        <v>0</v>
      </c>
      <c r="AC21" s="9">
        <v>0</v>
      </c>
      <c r="AD21" s="11">
        <v>0</v>
      </c>
      <c r="AE21" s="9">
        <v>422</v>
      </c>
    </row>
    <row r="22" spans="2:31">
      <c r="B22" s="8" t="s">
        <v>26</v>
      </c>
      <c r="C22" s="9">
        <v>0</v>
      </c>
      <c r="D22" s="9">
        <v>0</v>
      </c>
      <c r="E22" s="9">
        <v>0</v>
      </c>
      <c r="F22" s="9">
        <v>0</v>
      </c>
      <c r="G22" s="9">
        <v>12</v>
      </c>
      <c r="H22" s="227">
        <v>0</v>
      </c>
      <c r="I22" s="227">
        <v>0</v>
      </c>
      <c r="J22" s="227">
        <v>0</v>
      </c>
      <c r="K22" s="227">
        <v>0</v>
      </c>
      <c r="L22" s="227">
        <v>0</v>
      </c>
      <c r="M22" s="227">
        <v>0</v>
      </c>
      <c r="N22" s="227">
        <v>0</v>
      </c>
      <c r="O22" s="230">
        <v>0</v>
      </c>
      <c r="P22" s="9">
        <v>0</v>
      </c>
      <c r="Q22" s="9">
        <v>0</v>
      </c>
      <c r="R22" s="11">
        <v>0</v>
      </c>
      <c r="S22" s="9">
        <v>12</v>
      </c>
      <c r="U22" s="8" t="s">
        <v>26</v>
      </c>
      <c r="V22" s="9">
        <v>0</v>
      </c>
      <c r="W22" s="9">
        <v>0</v>
      </c>
      <c r="X22" s="9">
        <v>0</v>
      </c>
      <c r="Y22" s="9">
        <v>0</v>
      </c>
      <c r="Z22" s="9">
        <v>12</v>
      </c>
      <c r="AA22" s="10">
        <v>0</v>
      </c>
      <c r="AB22" s="9">
        <v>0</v>
      </c>
      <c r="AC22" s="9">
        <v>0</v>
      </c>
      <c r="AD22" s="11">
        <v>0</v>
      </c>
      <c r="AE22" s="9">
        <v>12</v>
      </c>
    </row>
    <row r="23" spans="2:31">
      <c r="B23" s="8" t="s">
        <v>27</v>
      </c>
      <c r="C23" s="9">
        <v>0</v>
      </c>
      <c r="D23" s="9">
        <v>0</v>
      </c>
      <c r="E23" s="9">
        <v>0</v>
      </c>
      <c r="F23" s="9">
        <v>0</v>
      </c>
      <c r="G23" s="9">
        <v>244</v>
      </c>
      <c r="H23" s="227">
        <v>0</v>
      </c>
      <c r="I23" s="227">
        <v>0</v>
      </c>
      <c r="J23" s="227">
        <v>0</v>
      </c>
      <c r="K23" s="227">
        <v>0</v>
      </c>
      <c r="L23" s="227">
        <v>0</v>
      </c>
      <c r="M23" s="227">
        <v>0</v>
      </c>
      <c r="N23" s="227">
        <v>0</v>
      </c>
      <c r="O23" s="230">
        <v>0</v>
      </c>
      <c r="P23" s="9">
        <v>0</v>
      </c>
      <c r="Q23" s="9">
        <v>0</v>
      </c>
      <c r="R23" s="11">
        <v>0</v>
      </c>
      <c r="S23" s="9">
        <v>244</v>
      </c>
      <c r="U23" s="8" t="s">
        <v>27</v>
      </c>
      <c r="V23" s="9">
        <v>0</v>
      </c>
      <c r="W23" s="9">
        <v>0</v>
      </c>
      <c r="X23" s="9">
        <v>0</v>
      </c>
      <c r="Y23" s="9">
        <v>0</v>
      </c>
      <c r="Z23" s="9">
        <v>244</v>
      </c>
      <c r="AA23" s="10">
        <v>0</v>
      </c>
      <c r="AB23" s="9">
        <v>0</v>
      </c>
      <c r="AC23" s="9">
        <v>0</v>
      </c>
      <c r="AD23" s="11">
        <v>0</v>
      </c>
      <c r="AE23" s="9">
        <v>244</v>
      </c>
    </row>
    <row r="24" spans="2:31">
      <c r="B24" s="8" t="s">
        <v>28</v>
      </c>
      <c r="C24" s="9">
        <v>3907</v>
      </c>
      <c r="D24" s="9">
        <v>0</v>
      </c>
      <c r="E24" s="9">
        <v>11017</v>
      </c>
      <c r="F24" s="9">
        <v>0</v>
      </c>
      <c r="G24" s="9">
        <v>0</v>
      </c>
      <c r="H24" s="227">
        <v>0</v>
      </c>
      <c r="I24" s="227">
        <v>0</v>
      </c>
      <c r="J24" s="227">
        <v>0</v>
      </c>
      <c r="K24" s="227">
        <v>0</v>
      </c>
      <c r="L24" s="227">
        <v>0</v>
      </c>
      <c r="M24" s="227">
        <v>0</v>
      </c>
      <c r="N24" s="227">
        <v>0</v>
      </c>
      <c r="O24" s="230">
        <v>0</v>
      </c>
      <c r="P24" s="9">
        <v>0</v>
      </c>
      <c r="Q24" s="9">
        <v>0</v>
      </c>
      <c r="R24" s="11">
        <v>0</v>
      </c>
      <c r="S24" s="9">
        <v>14923</v>
      </c>
      <c r="U24" s="8" t="s">
        <v>28</v>
      </c>
      <c r="V24" s="9">
        <v>3907</v>
      </c>
      <c r="W24" s="9">
        <v>0</v>
      </c>
      <c r="X24" s="9">
        <v>11017</v>
      </c>
      <c r="Y24" s="9">
        <v>0</v>
      </c>
      <c r="Z24" s="9">
        <v>0</v>
      </c>
      <c r="AA24" s="10">
        <v>0</v>
      </c>
      <c r="AB24" s="9">
        <v>0</v>
      </c>
      <c r="AC24" s="9">
        <v>0</v>
      </c>
      <c r="AD24" s="11">
        <v>0</v>
      </c>
      <c r="AE24" s="9">
        <v>14923</v>
      </c>
    </row>
    <row r="25" spans="2:31">
      <c r="B25" s="8" t="s">
        <v>29</v>
      </c>
      <c r="C25" s="9">
        <v>0</v>
      </c>
      <c r="D25" s="9">
        <v>0</v>
      </c>
      <c r="E25" s="9">
        <v>-23</v>
      </c>
      <c r="F25" s="9">
        <v>0</v>
      </c>
      <c r="G25" s="9">
        <v>0</v>
      </c>
      <c r="H25" s="227">
        <v>0</v>
      </c>
      <c r="I25" s="227">
        <v>0</v>
      </c>
      <c r="J25" s="227">
        <v>0</v>
      </c>
      <c r="K25" s="227">
        <v>0</v>
      </c>
      <c r="L25" s="227">
        <v>0</v>
      </c>
      <c r="M25" s="227">
        <v>0</v>
      </c>
      <c r="N25" s="227">
        <v>0</v>
      </c>
      <c r="O25" s="230">
        <v>0</v>
      </c>
      <c r="P25" s="9">
        <v>0</v>
      </c>
      <c r="Q25" s="9">
        <v>0</v>
      </c>
      <c r="R25" s="11">
        <v>0</v>
      </c>
      <c r="S25" s="9">
        <v>-23</v>
      </c>
      <c r="U25" s="8" t="s">
        <v>29</v>
      </c>
      <c r="V25" s="9">
        <v>0</v>
      </c>
      <c r="W25" s="9">
        <v>0</v>
      </c>
      <c r="X25" s="9">
        <v>-23</v>
      </c>
      <c r="Y25" s="9">
        <v>0</v>
      </c>
      <c r="Z25" s="9">
        <v>0</v>
      </c>
      <c r="AA25" s="10">
        <v>0</v>
      </c>
      <c r="AB25" s="9">
        <v>0</v>
      </c>
      <c r="AC25" s="9">
        <v>0</v>
      </c>
      <c r="AD25" s="11">
        <v>0</v>
      </c>
      <c r="AE25" s="9">
        <v>-23</v>
      </c>
    </row>
    <row r="26" spans="2:31">
      <c r="B26" s="8" t="s">
        <v>30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227">
        <v>0</v>
      </c>
      <c r="I26" s="227">
        <v>0</v>
      </c>
      <c r="J26" s="227">
        <v>0</v>
      </c>
      <c r="K26" s="227">
        <v>0</v>
      </c>
      <c r="L26" s="227">
        <v>0</v>
      </c>
      <c r="M26" s="227">
        <v>0</v>
      </c>
      <c r="N26" s="227">
        <v>0</v>
      </c>
      <c r="O26" s="230">
        <v>0</v>
      </c>
      <c r="P26" s="9">
        <v>0</v>
      </c>
      <c r="Q26" s="9">
        <v>0</v>
      </c>
      <c r="R26" s="11">
        <v>0</v>
      </c>
      <c r="S26" s="9">
        <v>0</v>
      </c>
      <c r="U26" s="8" t="s">
        <v>30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10">
        <v>0</v>
      </c>
      <c r="AB26" s="9">
        <v>0</v>
      </c>
      <c r="AC26" s="9">
        <v>0</v>
      </c>
      <c r="AD26" s="11">
        <v>0</v>
      </c>
      <c r="AE26" s="9">
        <v>0</v>
      </c>
    </row>
    <row r="27" spans="2:31">
      <c r="B27" s="8" t="s">
        <v>31</v>
      </c>
      <c r="C27" s="9">
        <v>0</v>
      </c>
      <c r="D27" s="9">
        <v>0</v>
      </c>
      <c r="E27" s="9">
        <v>-2459</v>
      </c>
      <c r="F27" s="9">
        <v>0</v>
      </c>
      <c r="G27" s="9">
        <v>0</v>
      </c>
      <c r="H27" s="227">
        <v>0</v>
      </c>
      <c r="I27" s="227">
        <v>0</v>
      </c>
      <c r="J27" s="227">
        <v>0</v>
      </c>
      <c r="K27" s="227">
        <v>0</v>
      </c>
      <c r="L27" s="227">
        <v>0</v>
      </c>
      <c r="M27" s="227">
        <v>0</v>
      </c>
      <c r="N27" s="227">
        <v>0</v>
      </c>
      <c r="O27" s="230">
        <v>0</v>
      </c>
      <c r="P27" s="9">
        <v>0</v>
      </c>
      <c r="Q27" s="9">
        <v>0</v>
      </c>
      <c r="R27" s="11">
        <v>0</v>
      </c>
      <c r="S27" s="9">
        <v>-2459</v>
      </c>
      <c r="U27" s="8" t="s">
        <v>31</v>
      </c>
      <c r="V27" s="9">
        <v>0</v>
      </c>
      <c r="W27" s="9">
        <v>0</v>
      </c>
      <c r="X27" s="9">
        <v>-2459</v>
      </c>
      <c r="Y27" s="9">
        <v>0</v>
      </c>
      <c r="Z27" s="9">
        <v>0</v>
      </c>
      <c r="AA27" s="10">
        <v>0</v>
      </c>
      <c r="AB27" s="9">
        <v>0</v>
      </c>
      <c r="AC27" s="9">
        <v>0</v>
      </c>
      <c r="AD27" s="11">
        <v>0</v>
      </c>
      <c r="AE27" s="9">
        <v>-2459</v>
      </c>
    </row>
    <row r="28" spans="2:31">
      <c r="B28" s="8" t="s">
        <v>32</v>
      </c>
      <c r="C28" s="9">
        <v>271</v>
      </c>
      <c r="D28" s="9">
        <v>0</v>
      </c>
      <c r="E28" s="9">
        <v>0</v>
      </c>
      <c r="F28" s="9">
        <v>0</v>
      </c>
      <c r="G28" s="9">
        <v>0</v>
      </c>
      <c r="H28" s="227">
        <v>0</v>
      </c>
      <c r="I28" s="227">
        <v>0</v>
      </c>
      <c r="J28" s="227">
        <v>0</v>
      </c>
      <c r="K28" s="227">
        <v>0</v>
      </c>
      <c r="L28" s="227">
        <v>0</v>
      </c>
      <c r="M28" s="227">
        <v>0</v>
      </c>
      <c r="N28" s="227">
        <v>0</v>
      </c>
      <c r="O28" s="230">
        <v>0</v>
      </c>
      <c r="P28" s="9">
        <v>0</v>
      </c>
      <c r="Q28" s="9">
        <v>0</v>
      </c>
      <c r="R28" s="11">
        <v>0</v>
      </c>
      <c r="S28" s="9">
        <v>271</v>
      </c>
      <c r="U28" s="8" t="s">
        <v>32</v>
      </c>
      <c r="V28" s="9">
        <v>271</v>
      </c>
      <c r="W28" s="9">
        <v>0</v>
      </c>
      <c r="X28" s="9">
        <v>0</v>
      </c>
      <c r="Y28" s="9">
        <v>0</v>
      </c>
      <c r="Z28" s="9">
        <v>0</v>
      </c>
      <c r="AA28" s="10">
        <v>0</v>
      </c>
      <c r="AB28" s="9">
        <v>0</v>
      </c>
      <c r="AC28" s="9">
        <v>0</v>
      </c>
      <c r="AD28" s="11">
        <v>0</v>
      </c>
      <c r="AE28" s="9">
        <v>271</v>
      </c>
    </row>
    <row r="29" spans="2:31">
      <c r="B29" s="12" t="s">
        <v>33</v>
      </c>
      <c r="C29" s="13">
        <v>4177</v>
      </c>
      <c r="D29" s="13">
        <v>0</v>
      </c>
      <c r="E29" s="13">
        <v>8535</v>
      </c>
      <c r="F29" s="13">
        <v>0</v>
      </c>
      <c r="G29" s="13">
        <v>678</v>
      </c>
      <c r="H29" s="13"/>
      <c r="I29" s="13"/>
      <c r="J29" s="13"/>
      <c r="K29" s="13"/>
      <c r="L29" s="13"/>
      <c r="M29" s="13"/>
      <c r="N29" s="13"/>
      <c r="O29" s="231">
        <v>1910</v>
      </c>
      <c r="P29" s="13">
        <v>0</v>
      </c>
      <c r="Q29" s="13">
        <v>0</v>
      </c>
      <c r="R29" s="15">
        <v>0</v>
      </c>
      <c r="S29" s="13">
        <v>15300</v>
      </c>
      <c r="U29" s="12" t="s">
        <v>33</v>
      </c>
      <c r="V29" s="13">
        <v>4177</v>
      </c>
      <c r="W29" s="13">
        <v>0</v>
      </c>
      <c r="X29" s="13">
        <v>8535</v>
      </c>
      <c r="Y29" s="13">
        <v>0</v>
      </c>
      <c r="Z29" s="13">
        <v>678</v>
      </c>
      <c r="AA29" s="14">
        <v>1910</v>
      </c>
      <c r="AB29" s="13">
        <v>0</v>
      </c>
      <c r="AC29" s="13">
        <v>0</v>
      </c>
      <c r="AD29" s="15">
        <v>0</v>
      </c>
      <c r="AE29" s="13">
        <v>15300</v>
      </c>
    </row>
    <row r="30" spans="2:31">
      <c r="B30" s="8" t="s">
        <v>34</v>
      </c>
      <c r="C30" s="9">
        <v>0</v>
      </c>
      <c r="D30" s="9">
        <v>0</v>
      </c>
      <c r="E30" s="9">
        <v>-459</v>
      </c>
      <c r="F30" s="9">
        <v>0</v>
      </c>
      <c r="G30" s="9">
        <v>0</v>
      </c>
      <c r="H30" s="227">
        <v>0</v>
      </c>
      <c r="I30" s="227">
        <v>0</v>
      </c>
      <c r="J30" s="227">
        <v>0</v>
      </c>
      <c r="K30" s="227">
        <v>0</v>
      </c>
      <c r="L30" s="227">
        <v>0</v>
      </c>
      <c r="M30" s="227">
        <v>0</v>
      </c>
      <c r="N30" s="227">
        <v>0</v>
      </c>
      <c r="O30" s="230">
        <v>0</v>
      </c>
      <c r="P30" s="9">
        <v>195</v>
      </c>
      <c r="Q30" s="9">
        <v>0</v>
      </c>
      <c r="R30" s="11">
        <v>0</v>
      </c>
      <c r="S30" s="9">
        <v>-289</v>
      </c>
      <c r="U30" s="8" t="s">
        <v>34</v>
      </c>
      <c r="V30" s="9">
        <v>0</v>
      </c>
      <c r="W30" s="9">
        <v>0</v>
      </c>
      <c r="X30" s="9">
        <v>-459</v>
      </c>
      <c r="Y30" s="9">
        <v>0</v>
      </c>
      <c r="Z30" s="9">
        <v>0</v>
      </c>
      <c r="AA30" s="10">
        <v>0</v>
      </c>
      <c r="AB30" s="9">
        <v>195</v>
      </c>
      <c r="AC30" s="9">
        <v>0</v>
      </c>
      <c r="AD30" s="11">
        <v>0</v>
      </c>
      <c r="AE30" s="9">
        <v>-289</v>
      </c>
    </row>
    <row r="31" spans="2:31">
      <c r="B31" s="8" t="s">
        <v>35</v>
      </c>
      <c r="C31" s="9">
        <v>4177</v>
      </c>
      <c r="D31" s="9">
        <v>0</v>
      </c>
      <c r="E31" s="9">
        <v>2289</v>
      </c>
      <c r="F31" s="9">
        <v>0</v>
      </c>
      <c r="G31" s="9">
        <v>678</v>
      </c>
      <c r="H31" s="227">
        <v>671.31942338672661</v>
      </c>
      <c r="I31" s="227">
        <v>52.63824397353865</v>
      </c>
      <c r="J31" s="227">
        <v>0</v>
      </c>
      <c r="K31" s="227">
        <v>65.650901767194625</v>
      </c>
      <c r="L31" s="227">
        <v>0</v>
      </c>
      <c r="M31" s="227">
        <v>404.99600473519394</v>
      </c>
      <c r="N31" s="227">
        <v>0</v>
      </c>
      <c r="O31" s="230">
        <v>1203</v>
      </c>
      <c r="P31" s="9">
        <v>-3179</v>
      </c>
      <c r="Q31" s="9">
        <v>-473</v>
      </c>
      <c r="R31" s="11">
        <v>0</v>
      </c>
      <c r="S31" s="9">
        <v>4697</v>
      </c>
      <c r="U31" s="8" t="s">
        <v>35</v>
      </c>
      <c r="V31" s="9">
        <v>4177</v>
      </c>
      <c r="W31" s="9">
        <v>0</v>
      </c>
      <c r="X31" s="9">
        <v>2289</v>
      </c>
      <c r="Y31" s="9">
        <v>0</v>
      </c>
      <c r="Z31" s="9">
        <v>678</v>
      </c>
      <c r="AA31" s="10">
        <v>1203</v>
      </c>
      <c r="AB31" s="9">
        <v>-3179</v>
      </c>
      <c r="AC31" s="9">
        <v>-473</v>
      </c>
      <c r="AD31" s="11">
        <v>0</v>
      </c>
      <c r="AE31" s="9">
        <v>4697</v>
      </c>
    </row>
    <row r="32" spans="2:31">
      <c r="B32" s="8" t="s">
        <v>36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227">
        <v>0</v>
      </c>
      <c r="I32" s="227">
        <v>0</v>
      </c>
      <c r="J32" s="227">
        <v>0</v>
      </c>
      <c r="K32" s="227">
        <v>0</v>
      </c>
      <c r="L32" s="227">
        <v>0</v>
      </c>
      <c r="M32" s="227">
        <v>0</v>
      </c>
      <c r="N32" s="227">
        <v>0</v>
      </c>
      <c r="O32" s="230">
        <v>0</v>
      </c>
      <c r="P32" s="9">
        <v>0</v>
      </c>
      <c r="Q32" s="9">
        <v>0</v>
      </c>
      <c r="R32" s="11">
        <v>0</v>
      </c>
      <c r="S32" s="9">
        <v>0</v>
      </c>
      <c r="U32" s="8" t="s">
        <v>36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10">
        <v>0</v>
      </c>
      <c r="AB32" s="9">
        <v>0</v>
      </c>
      <c r="AC32" s="9">
        <v>0</v>
      </c>
      <c r="AD32" s="11">
        <v>0</v>
      </c>
      <c r="AE32" s="9">
        <v>0</v>
      </c>
    </row>
    <row r="33" spans="2:31">
      <c r="B33" s="8" t="s">
        <v>37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227">
        <v>0</v>
      </c>
      <c r="I33" s="227">
        <v>0</v>
      </c>
      <c r="J33" s="227">
        <v>0</v>
      </c>
      <c r="K33" s="227">
        <v>0</v>
      </c>
      <c r="L33" s="227">
        <v>0</v>
      </c>
      <c r="M33" s="227">
        <v>0</v>
      </c>
      <c r="N33" s="227">
        <v>0</v>
      </c>
      <c r="O33" s="230">
        <v>0</v>
      </c>
      <c r="P33" s="9">
        <v>0</v>
      </c>
      <c r="Q33" s="9">
        <v>0</v>
      </c>
      <c r="R33" s="11">
        <v>0</v>
      </c>
      <c r="S33" s="9">
        <v>0</v>
      </c>
      <c r="U33" s="8" t="s">
        <v>37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10">
        <v>0</v>
      </c>
      <c r="AB33" s="9">
        <v>0</v>
      </c>
      <c r="AC33" s="9">
        <v>0</v>
      </c>
      <c r="AD33" s="11">
        <v>0</v>
      </c>
      <c r="AE33" s="9">
        <v>0</v>
      </c>
    </row>
    <row r="34" spans="2:31">
      <c r="B34" s="8" t="s">
        <v>38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227">
        <v>0</v>
      </c>
      <c r="I34" s="227">
        <v>0</v>
      </c>
      <c r="J34" s="227">
        <v>0</v>
      </c>
      <c r="K34" s="227">
        <v>0</v>
      </c>
      <c r="L34" s="227">
        <v>0</v>
      </c>
      <c r="M34" s="227">
        <v>0</v>
      </c>
      <c r="N34" s="227">
        <v>0</v>
      </c>
      <c r="O34" s="230">
        <v>0</v>
      </c>
      <c r="P34" s="9">
        <v>35</v>
      </c>
      <c r="Q34" s="9">
        <v>0</v>
      </c>
      <c r="R34" s="11">
        <v>0</v>
      </c>
      <c r="S34" s="9">
        <v>35</v>
      </c>
      <c r="U34" s="8" t="s">
        <v>38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10">
        <v>0</v>
      </c>
      <c r="AB34" s="9">
        <v>35</v>
      </c>
      <c r="AC34" s="9">
        <v>0</v>
      </c>
      <c r="AD34" s="11">
        <v>0</v>
      </c>
      <c r="AE34" s="9">
        <v>35</v>
      </c>
    </row>
    <row r="35" spans="2:31">
      <c r="B35" s="8" t="s">
        <v>39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227">
        <v>0</v>
      </c>
      <c r="I35" s="227">
        <v>0</v>
      </c>
      <c r="J35" s="227">
        <v>0</v>
      </c>
      <c r="K35" s="227">
        <v>0</v>
      </c>
      <c r="L35" s="227">
        <v>0</v>
      </c>
      <c r="M35" s="227">
        <v>0</v>
      </c>
      <c r="N35" s="227">
        <v>0</v>
      </c>
      <c r="O35" s="230">
        <v>0</v>
      </c>
      <c r="P35" s="9">
        <v>204</v>
      </c>
      <c r="Q35" s="9">
        <v>37</v>
      </c>
      <c r="R35" s="11">
        <v>0</v>
      </c>
      <c r="S35" s="9">
        <v>266</v>
      </c>
      <c r="U35" s="8" t="s">
        <v>39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10">
        <v>0</v>
      </c>
      <c r="AB35" s="9">
        <v>204</v>
      </c>
      <c r="AC35" s="9">
        <v>37</v>
      </c>
      <c r="AD35" s="11">
        <v>0</v>
      </c>
      <c r="AE35" s="9">
        <v>266</v>
      </c>
    </row>
    <row r="36" spans="2:31">
      <c r="B36" s="12" t="s">
        <v>40</v>
      </c>
      <c r="C36" s="13">
        <v>4177</v>
      </c>
      <c r="D36" s="13">
        <v>0</v>
      </c>
      <c r="E36" s="13">
        <v>1830</v>
      </c>
      <c r="F36" s="13">
        <v>0</v>
      </c>
      <c r="G36" s="13">
        <v>678</v>
      </c>
      <c r="H36" s="13"/>
      <c r="I36" s="13"/>
      <c r="J36" s="13"/>
      <c r="K36" s="13"/>
      <c r="L36" s="13"/>
      <c r="M36" s="13"/>
      <c r="N36" s="13"/>
      <c r="O36" s="231">
        <v>1203</v>
      </c>
      <c r="P36" s="13">
        <v>-2745</v>
      </c>
      <c r="Q36" s="13">
        <v>-436</v>
      </c>
      <c r="R36" s="15">
        <v>0</v>
      </c>
      <c r="S36" s="13">
        <v>4708</v>
      </c>
      <c r="U36" s="12" t="s">
        <v>40</v>
      </c>
      <c r="V36" s="13">
        <v>4177</v>
      </c>
      <c r="W36" s="13">
        <v>0</v>
      </c>
      <c r="X36" s="13">
        <v>1830</v>
      </c>
      <c r="Y36" s="13">
        <v>0</v>
      </c>
      <c r="Z36" s="13">
        <v>678</v>
      </c>
      <c r="AA36" s="14">
        <v>1203</v>
      </c>
      <c r="AB36" s="13">
        <v>-2745</v>
      </c>
      <c r="AC36" s="13">
        <v>-436</v>
      </c>
      <c r="AD36" s="15">
        <v>0</v>
      </c>
      <c r="AE36" s="13">
        <v>4708</v>
      </c>
    </row>
    <row r="37" spans="2:31">
      <c r="B37" s="8" t="s">
        <v>41</v>
      </c>
      <c r="C37" s="9">
        <v>0</v>
      </c>
      <c r="D37" s="9">
        <v>0</v>
      </c>
      <c r="E37" s="9">
        <v>289</v>
      </c>
      <c r="F37" s="9">
        <v>0</v>
      </c>
      <c r="G37" s="9">
        <v>0</v>
      </c>
      <c r="H37" s="227">
        <v>23.767778734832124</v>
      </c>
      <c r="I37" s="227">
        <v>3.9638354669455418</v>
      </c>
      <c r="J37" s="227">
        <v>0</v>
      </c>
      <c r="K37" s="227">
        <v>0.2060607988509226</v>
      </c>
      <c r="L37" s="227">
        <v>8.0809279371498566E-2</v>
      </c>
      <c r="M37" s="227">
        <v>0</v>
      </c>
      <c r="N37" s="227">
        <v>0</v>
      </c>
      <c r="O37" s="230">
        <v>28</v>
      </c>
      <c r="P37" s="9">
        <v>308</v>
      </c>
      <c r="Q37" s="9">
        <v>436</v>
      </c>
      <c r="R37" s="11">
        <v>0</v>
      </c>
      <c r="S37" s="9">
        <v>1061</v>
      </c>
      <c r="U37" s="8" t="s">
        <v>41</v>
      </c>
      <c r="V37" s="9">
        <v>0</v>
      </c>
      <c r="W37" s="9">
        <v>0</v>
      </c>
      <c r="X37" s="9">
        <v>289</v>
      </c>
      <c r="Y37" s="9">
        <v>0</v>
      </c>
      <c r="Z37" s="9">
        <v>0</v>
      </c>
      <c r="AA37" s="10">
        <v>28</v>
      </c>
      <c r="AB37" s="9">
        <v>308</v>
      </c>
      <c r="AC37" s="9">
        <v>436</v>
      </c>
      <c r="AD37" s="11">
        <v>0</v>
      </c>
      <c r="AE37" s="9">
        <v>1061</v>
      </c>
    </row>
    <row r="38" spans="2:31">
      <c r="B38" s="8" t="s">
        <v>42</v>
      </c>
      <c r="C38" s="9">
        <v>0</v>
      </c>
      <c r="D38" s="9">
        <v>0</v>
      </c>
      <c r="E38" s="9">
        <v>5620</v>
      </c>
      <c r="F38" s="9">
        <v>0</v>
      </c>
      <c r="G38" s="9">
        <v>0</v>
      </c>
      <c r="H38" s="227">
        <v>0</v>
      </c>
      <c r="I38" s="227">
        <v>0</v>
      </c>
      <c r="J38" s="227">
        <v>0</v>
      </c>
      <c r="K38" s="227">
        <v>0</v>
      </c>
      <c r="L38" s="227">
        <v>0</v>
      </c>
      <c r="M38" s="227">
        <v>0</v>
      </c>
      <c r="N38" s="227">
        <v>0</v>
      </c>
      <c r="O38" s="230">
        <v>0</v>
      </c>
      <c r="P38" s="9">
        <v>0</v>
      </c>
      <c r="Q38" s="9">
        <v>0</v>
      </c>
      <c r="R38" s="11">
        <v>0</v>
      </c>
      <c r="S38" s="9">
        <v>5620</v>
      </c>
      <c r="U38" s="8" t="s">
        <v>42</v>
      </c>
      <c r="V38" s="9">
        <v>0</v>
      </c>
      <c r="W38" s="9">
        <v>0</v>
      </c>
      <c r="X38" s="9">
        <v>5620</v>
      </c>
      <c r="Y38" s="9">
        <v>0</v>
      </c>
      <c r="Z38" s="9">
        <v>0</v>
      </c>
      <c r="AA38" s="10">
        <v>0</v>
      </c>
      <c r="AB38" s="9">
        <v>0</v>
      </c>
      <c r="AC38" s="9">
        <v>0</v>
      </c>
      <c r="AD38" s="11">
        <v>0</v>
      </c>
      <c r="AE38" s="9">
        <v>5620</v>
      </c>
    </row>
    <row r="39" spans="2:31">
      <c r="B39" s="8" t="s">
        <v>43</v>
      </c>
      <c r="C39" s="9">
        <v>0</v>
      </c>
      <c r="D39" s="9">
        <v>0</v>
      </c>
      <c r="E39" s="9">
        <v>92</v>
      </c>
      <c r="F39" s="9">
        <v>0</v>
      </c>
      <c r="G39" s="9">
        <v>0</v>
      </c>
      <c r="H39" s="227">
        <v>0</v>
      </c>
      <c r="I39" s="227">
        <v>0</v>
      </c>
      <c r="J39" s="227">
        <v>0</v>
      </c>
      <c r="K39" s="227">
        <v>0</v>
      </c>
      <c r="L39" s="227">
        <v>633.16894990000003</v>
      </c>
      <c r="M39" s="227">
        <v>0</v>
      </c>
      <c r="N39" s="227">
        <v>0</v>
      </c>
      <c r="O39" s="230">
        <v>633</v>
      </c>
      <c r="P39" s="9">
        <v>1230</v>
      </c>
      <c r="Q39" s="9">
        <v>0</v>
      </c>
      <c r="R39" s="11">
        <v>0</v>
      </c>
      <c r="S39" s="9">
        <v>1955</v>
      </c>
      <c r="U39" s="8" t="s">
        <v>43</v>
      </c>
      <c r="V39" s="9">
        <v>0</v>
      </c>
      <c r="W39" s="9">
        <v>0</v>
      </c>
      <c r="X39" s="9">
        <v>92</v>
      </c>
      <c r="Y39" s="9">
        <v>0</v>
      </c>
      <c r="Z39" s="9">
        <v>0</v>
      </c>
      <c r="AA39" s="10">
        <v>633</v>
      </c>
      <c r="AB39" s="9">
        <v>1230</v>
      </c>
      <c r="AC39" s="9">
        <v>0</v>
      </c>
      <c r="AD39" s="11">
        <v>0</v>
      </c>
      <c r="AE39" s="9">
        <v>1955</v>
      </c>
    </row>
    <row r="40" spans="2:31">
      <c r="B40" s="8" t="s">
        <v>44</v>
      </c>
      <c r="C40" s="9">
        <v>0</v>
      </c>
      <c r="D40" s="9">
        <v>0</v>
      </c>
      <c r="E40" s="9">
        <v>333</v>
      </c>
      <c r="F40" s="9">
        <v>0</v>
      </c>
      <c r="G40" s="9">
        <v>0</v>
      </c>
      <c r="H40" s="227">
        <v>0</v>
      </c>
      <c r="I40" s="227">
        <v>0</v>
      </c>
      <c r="J40" s="227">
        <v>0</v>
      </c>
      <c r="K40" s="227">
        <v>0.94548943890085779</v>
      </c>
      <c r="L40" s="227">
        <v>9.0697041099142284E-2</v>
      </c>
      <c r="M40" s="227">
        <v>0</v>
      </c>
      <c r="N40" s="227">
        <v>0</v>
      </c>
      <c r="O40" s="230">
        <v>1</v>
      </c>
      <c r="P40" s="9">
        <v>1187</v>
      </c>
      <c r="Q40" s="9">
        <v>0</v>
      </c>
      <c r="R40" s="11">
        <v>0</v>
      </c>
      <c r="S40" s="9">
        <v>1521</v>
      </c>
      <c r="U40" s="8" t="s">
        <v>44</v>
      </c>
      <c r="V40" s="9">
        <v>0</v>
      </c>
      <c r="W40" s="9">
        <v>0</v>
      </c>
      <c r="X40" s="9">
        <v>333</v>
      </c>
      <c r="Y40" s="9">
        <v>0</v>
      </c>
      <c r="Z40" s="9">
        <v>0</v>
      </c>
      <c r="AA40" s="10">
        <v>1</v>
      </c>
      <c r="AB40" s="9">
        <v>1187</v>
      </c>
      <c r="AC40" s="9">
        <v>0</v>
      </c>
      <c r="AD40" s="11">
        <v>0</v>
      </c>
      <c r="AE40" s="9">
        <v>1521</v>
      </c>
    </row>
    <row r="41" spans="2:31">
      <c r="B41" s="8" t="s">
        <v>4</v>
      </c>
      <c r="C41" s="9">
        <v>0</v>
      </c>
      <c r="D41" s="9">
        <v>0</v>
      </c>
      <c r="E41" s="9">
        <v>102</v>
      </c>
      <c r="F41" s="9">
        <v>0</v>
      </c>
      <c r="G41" s="9">
        <v>0</v>
      </c>
      <c r="H41" s="227">
        <v>44.642446280000001</v>
      </c>
      <c r="I41" s="227">
        <v>0</v>
      </c>
      <c r="J41" s="227">
        <v>0</v>
      </c>
      <c r="K41" s="227">
        <v>0</v>
      </c>
      <c r="L41" s="227">
        <v>0</v>
      </c>
      <c r="M41" s="227">
        <v>0</v>
      </c>
      <c r="N41" s="227">
        <v>0</v>
      </c>
      <c r="O41" s="230">
        <v>45</v>
      </c>
      <c r="P41" s="9">
        <v>20</v>
      </c>
      <c r="Q41" s="9">
        <v>0</v>
      </c>
      <c r="R41" s="11">
        <v>0</v>
      </c>
      <c r="S41" s="9">
        <v>166</v>
      </c>
      <c r="U41" s="8" t="s">
        <v>4</v>
      </c>
      <c r="V41" s="9">
        <v>0</v>
      </c>
      <c r="W41" s="9">
        <v>0</v>
      </c>
      <c r="X41" s="9">
        <v>102</v>
      </c>
      <c r="Y41" s="9">
        <v>0</v>
      </c>
      <c r="Z41" s="9">
        <v>0</v>
      </c>
      <c r="AA41" s="10">
        <v>45</v>
      </c>
      <c r="AB41" s="9">
        <v>20</v>
      </c>
      <c r="AC41" s="9">
        <v>0</v>
      </c>
      <c r="AD41" s="11">
        <v>0</v>
      </c>
      <c r="AE41" s="9">
        <v>166</v>
      </c>
    </row>
    <row r="42" spans="2:31">
      <c r="B42" s="16" t="s">
        <v>45</v>
      </c>
      <c r="C42" s="17">
        <v>0</v>
      </c>
      <c r="D42" s="17">
        <v>0</v>
      </c>
      <c r="E42" s="17">
        <v>6437</v>
      </c>
      <c r="F42" s="17">
        <v>0</v>
      </c>
      <c r="G42" s="17">
        <v>0</v>
      </c>
      <c r="H42" s="228">
        <v>68.410225014832122</v>
      </c>
      <c r="I42" s="228">
        <v>3.9638354669455418</v>
      </c>
      <c r="J42" s="228">
        <v>0</v>
      </c>
      <c r="K42" s="228">
        <v>1.1515502377517803</v>
      </c>
      <c r="L42" s="228">
        <v>633.34045622047063</v>
      </c>
      <c r="M42" s="228">
        <v>0</v>
      </c>
      <c r="N42" s="228">
        <v>0</v>
      </c>
      <c r="O42" s="232">
        <v>707</v>
      </c>
      <c r="P42" s="17">
        <v>2745</v>
      </c>
      <c r="Q42" s="17">
        <v>436</v>
      </c>
      <c r="R42" s="19">
        <v>0</v>
      </c>
      <c r="S42" s="17">
        <v>10324</v>
      </c>
      <c r="U42" s="16" t="s">
        <v>45</v>
      </c>
      <c r="V42" s="17">
        <v>0</v>
      </c>
      <c r="W42" s="17">
        <v>0</v>
      </c>
      <c r="X42" s="17">
        <v>6437</v>
      </c>
      <c r="Y42" s="17">
        <v>0</v>
      </c>
      <c r="Z42" s="17">
        <v>0</v>
      </c>
      <c r="AA42" s="18">
        <v>707</v>
      </c>
      <c r="AB42" s="17">
        <v>2745</v>
      </c>
      <c r="AC42" s="17">
        <v>436</v>
      </c>
      <c r="AD42" s="19">
        <v>0</v>
      </c>
      <c r="AE42" s="17">
        <v>10324</v>
      </c>
    </row>
    <row r="43" spans="2:31">
      <c r="B43" s="16" t="s">
        <v>46</v>
      </c>
      <c r="C43" s="17">
        <v>0</v>
      </c>
      <c r="D43" s="17">
        <v>0</v>
      </c>
      <c r="E43" s="17">
        <v>268</v>
      </c>
      <c r="F43" s="17">
        <v>0</v>
      </c>
      <c r="G43" s="17">
        <v>0</v>
      </c>
      <c r="H43" s="228">
        <v>0</v>
      </c>
      <c r="I43" s="228">
        <v>0</v>
      </c>
      <c r="J43" s="228">
        <v>0</v>
      </c>
      <c r="K43" s="228">
        <v>0</v>
      </c>
      <c r="L43" s="228">
        <v>0</v>
      </c>
      <c r="M43" s="228">
        <v>0</v>
      </c>
      <c r="N43" s="228">
        <v>0</v>
      </c>
      <c r="O43" s="232">
        <v>0</v>
      </c>
      <c r="P43" s="17">
        <v>0</v>
      </c>
      <c r="Q43" s="17">
        <v>0</v>
      </c>
      <c r="R43" s="19">
        <v>0</v>
      </c>
      <c r="S43" s="17">
        <v>268</v>
      </c>
      <c r="U43" s="16" t="s">
        <v>46</v>
      </c>
      <c r="V43" s="17">
        <v>0</v>
      </c>
      <c r="W43" s="17">
        <v>0</v>
      </c>
      <c r="X43" s="17">
        <v>268</v>
      </c>
      <c r="Y43" s="17">
        <v>0</v>
      </c>
      <c r="Z43" s="17">
        <v>0</v>
      </c>
      <c r="AA43" s="18">
        <v>0</v>
      </c>
      <c r="AB43" s="17">
        <v>0</v>
      </c>
      <c r="AC43" s="17">
        <v>0</v>
      </c>
      <c r="AD43" s="19">
        <v>0</v>
      </c>
      <c r="AE43" s="17">
        <v>268</v>
      </c>
    </row>
    <row r="44" spans="2:31">
      <c r="B44" s="12" t="s">
        <v>47</v>
      </c>
      <c r="C44" s="13">
        <v>0</v>
      </c>
      <c r="D44" s="13">
        <v>0</v>
      </c>
      <c r="E44" s="13">
        <v>6705</v>
      </c>
      <c r="F44" s="13">
        <v>0</v>
      </c>
      <c r="G44" s="13">
        <v>0</v>
      </c>
      <c r="H44" s="13"/>
      <c r="I44" s="13"/>
      <c r="J44" s="13"/>
      <c r="K44" s="13"/>
      <c r="L44" s="13"/>
      <c r="M44" s="13"/>
      <c r="N44" s="13"/>
      <c r="O44" s="231">
        <v>707</v>
      </c>
      <c r="P44" s="13">
        <v>2745</v>
      </c>
      <c r="Q44" s="13">
        <v>436</v>
      </c>
      <c r="R44" s="15">
        <v>0</v>
      </c>
      <c r="S44" s="13">
        <v>10592</v>
      </c>
      <c r="U44" s="12" t="s">
        <v>47</v>
      </c>
      <c r="V44" s="13">
        <v>0</v>
      </c>
      <c r="W44" s="13">
        <v>0</v>
      </c>
      <c r="X44" s="13">
        <v>6705</v>
      </c>
      <c r="Y44" s="13">
        <v>0</v>
      </c>
      <c r="Z44" s="13">
        <v>0</v>
      </c>
      <c r="AA44" s="14">
        <v>707</v>
      </c>
      <c r="AB44" s="13">
        <v>2745</v>
      </c>
      <c r="AC44" s="13">
        <v>436</v>
      </c>
      <c r="AD44" s="15">
        <v>0</v>
      </c>
      <c r="AE44" s="13">
        <v>10592</v>
      </c>
    </row>
    <row r="45" spans="2:31">
      <c r="P45" t="s">
        <v>48</v>
      </c>
      <c r="Q45" t="s">
        <v>49</v>
      </c>
    </row>
    <row r="46" spans="2:31">
      <c r="C46" t="s">
        <v>50</v>
      </c>
      <c r="D46">
        <f>Q35/Q31</f>
        <v>-7.8224101479915431E-2</v>
      </c>
      <c r="E46">
        <v>0</v>
      </c>
      <c r="G46" t="s">
        <v>51</v>
      </c>
      <c r="O46">
        <v>2019</v>
      </c>
      <c r="P46">
        <f>P34/P31</f>
        <v>-1.1009751494180559E-2</v>
      </c>
      <c r="Q46">
        <f>P35/P31</f>
        <v>-6.4171122994652413E-2</v>
      </c>
      <c r="S46">
        <f>1+P46+Q46</f>
        <v>0.92481912551116696</v>
      </c>
      <c r="T46">
        <f>(P36-P30)/P31</f>
        <v>0.92481912551116707</v>
      </c>
      <c r="V46" t="s">
        <v>52</v>
      </c>
      <c r="X46">
        <f>(SUM(C31:O31)-SUM(H31:N31))/(P31+Q31)</f>
        <v>-2.2855969331872945</v>
      </c>
    </row>
    <row r="47" spans="2:31">
      <c r="D47">
        <f>Q67/Q63</f>
        <v>-9.0909090909090912E-2</v>
      </c>
      <c r="E47">
        <v>0</v>
      </c>
      <c r="O47">
        <v>2020</v>
      </c>
      <c r="P47">
        <f>P66/P63</f>
        <v>-1.2872841444270016E-2</v>
      </c>
      <c r="Q47">
        <f>P67/P63</f>
        <v>-6.3736263736263732E-2</v>
      </c>
      <c r="X47">
        <f>SUM(C63:O63)/(P63+Q63)</f>
        <v>-2.3666206896551722</v>
      </c>
    </row>
    <row r="48" spans="2:31">
      <c r="D48">
        <f>AVERAGE(D46:D47)</f>
        <v>-8.4566596194503171E-2</v>
      </c>
      <c r="E48">
        <v>0</v>
      </c>
      <c r="O48" t="s">
        <v>53</v>
      </c>
      <c r="P48">
        <f>AVERAGE(P46:P47)</f>
        <v>-1.1941296469225288E-2</v>
      </c>
      <c r="Q48">
        <f>AVERAGE(Q46:Q47)</f>
        <v>-6.3953693365458072E-2</v>
      </c>
      <c r="X48">
        <f>AVERAGE(X46:X47)</f>
        <v>-2.3261088114212334</v>
      </c>
    </row>
    <row r="50" spans="2:31">
      <c r="C50" t="s">
        <v>13</v>
      </c>
      <c r="V50" s="4" t="s">
        <v>13</v>
      </c>
    </row>
    <row r="51" spans="2:31" ht="43.2">
      <c r="B51" s="5"/>
      <c r="C51" s="6" t="s">
        <v>14</v>
      </c>
      <c r="D51" s="6" t="s">
        <v>15</v>
      </c>
      <c r="E51" s="6" t="s">
        <v>16</v>
      </c>
      <c r="F51" s="6" t="s">
        <v>17</v>
      </c>
      <c r="G51" s="6" t="s">
        <v>18</v>
      </c>
      <c r="H51" s="226" t="s">
        <v>371</v>
      </c>
      <c r="I51" s="226" t="s">
        <v>150</v>
      </c>
      <c r="J51" s="226" t="s">
        <v>372</v>
      </c>
      <c r="K51" s="226" t="s">
        <v>7</v>
      </c>
      <c r="L51" s="226" t="s">
        <v>373</v>
      </c>
      <c r="M51" s="226" t="s">
        <v>149</v>
      </c>
      <c r="N51" s="226" t="s">
        <v>374</v>
      </c>
      <c r="O51" s="6" t="s">
        <v>19</v>
      </c>
      <c r="P51" s="6" t="s">
        <v>20</v>
      </c>
      <c r="Q51" s="6" t="s">
        <v>21</v>
      </c>
      <c r="R51" s="7" t="s">
        <v>22</v>
      </c>
      <c r="S51" s="6" t="s">
        <v>23</v>
      </c>
      <c r="U51" s="5"/>
      <c r="V51" s="6" t="s">
        <v>14</v>
      </c>
      <c r="W51" s="6" t="s">
        <v>15</v>
      </c>
      <c r="X51" s="6" t="s">
        <v>16</v>
      </c>
      <c r="Y51" s="6" t="s">
        <v>17</v>
      </c>
      <c r="Z51" s="6" t="s">
        <v>18</v>
      </c>
      <c r="AA51" s="6" t="s">
        <v>19</v>
      </c>
      <c r="AB51" s="6" t="s">
        <v>20</v>
      </c>
      <c r="AC51" s="6" t="s">
        <v>21</v>
      </c>
      <c r="AD51" s="7" t="s">
        <v>22</v>
      </c>
      <c r="AE51" s="6" t="s">
        <v>23</v>
      </c>
    </row>
    <row r="52" spans="2:31">
      <c r="B52" s="8" t="s">
        <v>24</v>
      </c>
      <c r="C52" s="9">
        <v>0</v>
      </c>
      <c r="D52" s="9">
        <v>0</v>
      </c>
      <c r="E52" s="9">
        <v>0</v>
      </c>
      <c r="F52" s="9">
        <v>0</v>
      </c>
      <c r="G52" s="9">
        <v>665</v>
      </c>
      <c r="H52" s="11"/>
      <c r="I52" s="11"/>
      <c r="J52" s="11"/>
      <c r="K52" s="11"/>
      <c r="L52" s="11"/>
      <c r="M52" s="11"/>
      <c r="N52" s="11"/>
      <c r="O52" s="10">
        <v>2108</v>
      </c>
      <c r="P52" s="9">
        <v>0</v>
      </c>
      <c r="Q52" s="9">
        <v>0</v>
      </c>
      <c r="R52" s="11">
        <v>0</v>
      </c>
      <c r="S52" s="9">
        <v>2773</v>
      </c>
      <c r="U52" s="8" t="s">
        <v>24</v>
      </c>
      <c r="V52" s="9">
        <v>0</v>
      </c>
      <c r="W52" s="9">
        <v>0</v>
      </c>
      <c r="X52" s="9">
        <v>0</v>
      </c>
      <c r="Y52" s="9">
        <v>0</v>
      </c>
      <c r="Z52" s="9">
        <v>665</v>
      </c>
      <c r="AA52" s="10">
        <v>2108</v>
      </c>
      <c r="AB52" s="9">
        <v>0</v>
      </c>
      <c r="AC52" s="9">
        <v>0</v>
      </c>
      <c r="AD52" s="11">
        <v>0</v>
      </c>
      <c r="AE52" s="9">
        <v>2773</v>
      </c>
    </row>
    <row r="53" spans="2:31">
      <c r="B53" s="8" t="s">
        <v>25</v>
      </c>
      <c r="C53" s="9">
        <v>0</v>
      </c>
      <c r="D53" s="9">
        <v>0</v>
      </c>
      <c r="E53" s="9">
        <v>0</v>
      </c>
      <c r="F53" s="9">
        <v>0</v>
      </c>
      <c r="G53" s="9">
        <v>423</v>
      </c>
      <c r="H53" s="11"/>
      <c r="I53" s="11"/>
      <c r="J53" s="11"/>
      <c r="K53" s="11"/>
      <c r="L53" s="11"/>
      <c r="M53" s="11"/>
      <c r="N53" s="11"/>
      <c r="O53" s="10">
        <v>0</v>
      </c>
      <c r="P53" s="9">
        <v>0</v>
      </c>
      <c r="Q53" s="9">
        <v>0</v>
      </c>
      <c r="R53" s="11">
        <v>0</v>
      </c>
      <c r="S53" s="9">
        <v>423</v>
      </c>
      <c r="U53" s="8" t="s">
        <v>25</v>
      </c>
      <c r="V53" s="9">
        <v>0</v>
      </c>
      <c r="W53" s="9">
        <v>0</v>
      </c>
      <c r="X53" s="9">
        <v>0</v>
      </c>
      <c r="Y53" s="9">
        <v>0</v>
      </c>
      <c r="Z53" s="9">
        <v>423</v>
      </c>
      <c r="AA53" s="10">
        <v>0</v>
      </c>
      <c r="AB53" s="9">
        <v>0</v>
      </c>
      <c r="AC53" s="9">
        <v>0</v>
      </c>
      <c r="AD53" s="11">
        <v>0</v>
      </c>
      <c r="AE53" s="9">
        <v>423</v>
      </c>
    </row>
    <row r="54" spans="2:31">
      <c r="B54" s="8" t="s">
        <v>26</v>
      </c>
      <c r="C54" s="9">
        <v>0</v>
      </c>
      <c r="D54" s="9">
        <v>0</v>
      </c>
      <c r="E54" s="9">
        <v>0</v>
      </c>
      <c r="F54" s="9">
        <v>0</v>
      </c>
      <c r="G54" s="9">
        <v>10</v>
      </c>
      <c r="H54" s="11"/>
      <c r="I54" s="11"/>
      <c r="J54" s="11"/>
      <c r="K54" s="11"/>
      <c r="L54" s="11"/>
      <c r="M54" s="11"/>
      <c r="N54" s="11"/>
      <c r="O54" s="10">
        <v>0</v>
      </c>
      <c r="P54" s="9">
        <v>0</v>
      </c>
      <c r="Q54" s="9">
        <v>0</v>
      </c>
      <c r="R54" s="11">
        <v>0</v>
      </c>
      <c r="S54" s="9">
        <v>10</v>
      </c>
      <c r="U54" s="8" t="s">
        <v>26</v>
      </c>
      <c r="V54" s="9">
        <v>0</v>
      </c>
      <c r="W54" s="9">
        <v>0</v>
      </c>
      <c r="X54" s="9">
        <v>0</v>
      </c>
      <c r="Y54" s="9">
        <v>0</v>
      </c>
      <c r="Z54" s="9">
        <v>10</v>
      </c>
      <c r="AA54" s="10">
        <v>0</v>
      </c>
      <c r="AB54" s="9">
        <v>0</v>
      </c>
      <c r="AC54" s="9">
        <v>0</v>
      </c>
      <c r="AD54" s="11">
        <v>0</v>
      </c>
      <c r="AE54" s="9">
        <v>10</v>
      </c>
    </row>
    <row r="55" spans="2:31">
      <c r="B55" s="8" t="s">
        <v>27</v>
      </c>
      <c r="C55" s="9">
        <v>0</v>
      </c>
      <c r="D55" s="9">
        <v>0</v>
      </c>
      <c r="E55" s="9">
        <v>0</v>
      </c>
      <c r="F55" s="9">
        <v>0</v>
      </c>
      <c r="G55" s="9">
        <v>232</v>
      </c>
      <c r="H55" s="11"/>
      <c r="I55" s="11"/>
      <c r="J55" s="11"/>
      <c r="K55" s="11"/>
      <c r="L55" s="11"/>
      <c r="M55" s="11"/>
      <c r="N55" s="11"/>
      <c r="O55" s="10">
        <v>0</v>
      </c>
      <c r="P55" s="9">
        <v>0</v>
      </c>
      <c r="Q55" s="9">
        <v>0</v>
      </c>
      <c r="R55" s="11">
        <v>0</v>
      </c>
      <c r="S55" s="9">
        <v>232</v>
      </c>
      <c r="U55" s="8" t="s">
        <v>27</v>
      </c>
      <c r="V55" s="9">
        <v>0</v>
      </c>
      <c r="W55" s="9">
        <v>0</v>
      </c>
      <c r="X55" s="9">
        <v>0</v>
      </c>
      <c r="Y55" s="9">
        <v>0</v>
      </c>
      <c r="Z55" s="9">
        <v>232</v>
      </c>
      <c r="AA55" s="10">
        <v>0</v>
      </c>
      <c r="AB55" s="9">
        <v>0</v>
      </c>
      <c r="AC55" s="9">
        <v>0</v>
      </c>
      <c r="AD55" s="11">
        <v>0</v>
      </c>
      <c r="AE55" s="9">
        <v>232</v>
      </c>
    </row>
    <row r="56" spans="2:31">
      <c r="B56" s="8" t="s">
        <v>28</v>
      </c>
      <c r="C56" s="9">
        <v>4389</v>
      </c>
      <c r="D56" s="9">
        <v>0</v>
      </c>
      <c r="E56" s="9">
        <v>9239</v>
      </c>
      <c r="F56" s="9">
        <v>0</v>
      </c>
      <c r="G56" s="9">
        <v>0</v>
      </c>
      <c r="H56" s="11"/>
      <c r="I56" s="11"/>
      <c r="J56" s="11"/>
      <c r="K56" s="11"/>
      <c r="L56" s="11"/>
      <c r="M56" s="11"/>
      <c r="N56" s="11"/>
      <c r="O56" s="10">
        <v>0</v>
      </c>
      <c r="P56" s="9">
        <v>0</v>
      </c>
      <c r="Q56" s="9">
        <v>0</v>
      </c>
      <c r="R56" s="11">
        <v>0</v>
      </c>
      <c r="S56" s="9">
        <v>13627</v>
      </c>
      <c r="U56" s="8" t="s">
        <v>28</v>
      </c>
      <c r="V56" s="9">
        <v>4389</v>
      </c>
      <c r="W56" s="9">
        <v>0</v>
      </c>
      <c r="X56" s="9">
        <v>9239</v>
      </c>
      <c r="Y56" s="9">
        <v>0</v>
      </c>
      <c r="Z56" s="9">
        <v>0</v>
      </c>
      <c r="AA56" s="10">
        <v>0</v>
      </c>
      <c r="AB56" s="9">
        <v>0</v>
      </c>
      <c r="AC56" s="9">
        <v>0</v>
      </c>
      <c r="AD56" s="11">
        <v>0</v>
      </c>
      <c r="AE56" s="9">
        <v>13627</v>
      </c>
    </row>
    <row r="57" spans="2:31">
      <c r="B57" s="8" t="s">
        <v>29</v>
      </c>
      <c r="C57" s="9">
        <v>0</v>
      </c>
      <c r="D57" s="9">
        <v>0</v>
      </c>
      <c r="E57" s="9">
        <v>-20</v>
      </c>
      <c r="F57" s="9">
        <v>0</v>
      </c>
      <c r="G57" s="9">
        <v>0</v>
      </c>
      <c r="H57" s="11"/>
      <c r="I57" s="11"/>
      <c r="J57" s="11"/>
      <c r="K57" s="11"/>
      <c r="L57" s="11"/>
      <c r="M57" s="11"/>
      <c r="N57" s="11"/>
      <c r="O57" s="10">
        <v>0</v>
      </c>
      <c r="P57" s="9">
        <v>0</v>
      </c>
      <c r="Q57" s="9">
        <v>0</v>
      </c>
      <c r="R57" s="11">
        <v>0</v>
      </c>
      <c r="S57" s="9">
        <v>-20</v>
      </c>
      <c r="U57" s="8" t="s">
        <v>29</v>
      </c>
      <c r="V57" s="9">
        <v>0</v>
      </c>
      <c r="W57" s="9">
        <v>0</v>
      </c>
      <c r="X57" s="9">
        <v>-20</v>
      </c>
      <c r="Y57" s="9">
        <v>0</v>
      </c>
      <c r="Z57" s="9">
        <v>0</v>
      </c>
      <c r="AA57" s="10">
        <v>0</v>
      </c>
      <c r="AB57" s="9">
        <v>0</v>
      </c>
      <c r="AC57" s="9">
        <v>0</v>
      </c>
      <c r="AD57" s="11">
        <v>0</v>
      </c>
      <c r="AE57" s="9">
        <v>-20</v>
      </c>
    </row>
    <row r="58" spans="2:31">
      <c r="B58" s="8" t="s">
        <v>30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11"/>
      <c r="I58" s="11"/>
      <c r="J58" s="11"/>
      <c r="K58" s="11"/>
      <c r="L58" s="11"/>
      <c r="M58" s="11"/>
      <c r="N58" s="11"/>
      <c r="O58" s="10">
        <v>0</v>
      </c>
      <c r="P58" s="9">
        <v>0</v>
      </c>
      <c r="Q58" s="9">
        <v>0</v>
      </c>
      <c r="R58" s="11">
        <v>0</v>
      </c>
      <c r="S58" s="9">
        <v>0</v>
      </c>
      <c r="U58" s="8" t="s">
        <v>30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10">
        <v>0</v>
      </c>
      <c r="AB58" s="9">
        <v>0</v>
      </c>
      <c r="AC58" s="9">
        <v>0</v>
      </c>
      <c r="AD58" s="11">
        <v>0</v>
      </c>
      <c r="AE58" s="9">
        <v>0</v>
      </c>
    </row>
    <row r="59" spans="2:31">
      <c r="B59" s="8" t="s">
        <v>31</v>
      </c>
      <c r="C59" s="9">
        <v>0</v>
      </c>
      <c r="D59" s="9">
        <v>0</v>
      </c>
      <c r="E59" s="9">
        <v>-1607</v>
      </c>
      <c r="F59" s="9">
        <v>0</v>
      </c>
      <c r="G59" s="9">
        <v>0</v>
      </c>
      <c r="H59" s="11"/>
      <c r="I59" s="11"/>
      <c r="J59" s="11"/>
      <c r="K59" s="11"/>
      <c r="L59" s="11"/>
      <c r="M59" s="11"/>
      <c r="N59" s="11"/>
      <c r="O59" s="10">
        <v>0</v>
      </c>
      <c r="P59" s="9">
        <v>0</v>
      </c>
      <c r="Q59" s="9">
        <v>0</v>
      </c>
      <c r="R59" s="11">
        <v>0</v>
      </c>
      <c r="S59" s="9">
        <v>-1607</v>
      </c>
      <c r="U59" s="8" t="s">
        <v>31</v>
      </c>
      <c r="V59" s="9">
        <v>0</v>
      </c>
      <c r="W59" s="9">
        <v>0</v>
      </c>
      <c r="X59" s="9">
        <v>-1607</v>
      </c>
      <c r="Y59" s="9">
        <v>0</v>
      </c>
      <c r="Z59" s="9">
        <v>0</v>
      </c>
      <c r="AA59" s="10">
        <v>0</v>
      </c>
      <c r="AB59" s="9">
        <v>0</v>
      </c>
      <c r="AC59" s="9">
        <v>0</v>
      </c>
      <c r="AD59" s="11">
        <v>0</v>
      </c>
      <c r="AE59" s="9">
        <v>-1607</v>
      </c>
    </row>
    <row r="60" spans="2:31">
      <c r="B60" s="8" t="s">
        <v>32</v>
      </c>
      <c r="C60" s="9">
        <v>-53</v>
      </c>
      <c r="D60" s="9">
        <v>0</v>
      </c>
      <c r="E60" s="9">
        <v>125</v>
      </c>
      <c r="F60" s="9">
        <v>0</v>
      </c>
      <c r="G60" s="9">
        <v>0</v>
      </c>
      <c r="H60" s="11"/>
      <c r="I60" s="11"/>
      <c r="J60" s="11"/>
      <c r="K60" s="11"/>
      <c r="L60" s="11"/>
      <c r="M60" s="11"/>
      <c r="N60" s="11"/>
      <c r="O60" s="10">
        <v>0</v>
      </c>
      <c r="P60" s="9">
        <v>0</v>
      </c>
      <c r="Q60" s="9">
        <v>0</v>
      </c>
      <c r="R60" s="11">
        <v>0</v>
      </c>
      <c r="S60" s="9">
        <v>72</v>
      </c>
      <c r="U60" s="8" t="s">
        <v>32</v>
      </c>
      <c r="V60" s="9">
        <v>-53</v>
      </c>
      <c r="W60" s="9">
        <v>0</v>
      </c>
      <c r="X60" s="9">
        <v>125</v>
      </c>
      <c r="Y60" s="9">
        <v>0</v>
      </c>
      <c r="Z60" s="9">
        <v>0</v>
      </c>
      <c r="AA60" s="10">
        <v>0</v>
      </c>
      <c r="AB60" s="9">
        <v>0</v>
      </c>
      <c r="AC60" s="9">
        <v>0</v>
      </c>
      <c r="AD60" s="11">
        <v>0</v>
      </c>
      <c r="AE60" s="9">
        <v>72</v>
      </c>
    </row>
    <row r="61" spans="2:31">
      <c r="B61" s="12" t="s">
        <v>33</v>
      </c>
      <c r="C61" s="13">
        <v>4336</v>
      </c>
      <c r="D61" s="13">
        <v>0</v>
      </c>
      <c r="E61" s="13">
        <v>7736</v>
      </c>
      <c r="F61" s="13">
        <v>0</v>
      </c>
      <c r="G61" s="13">
        <v>665</v>
      </c>
      <c r="H61" s="13"/>
      <c r="I61" s="13"/>
      <c r="J61" s="13"/>
      <c r="K61" s="13"/>
      <c r="L61" s="13"/>
      <c r="M61" s="13"/>
      <c r="N61" s="13"/>
      <c r="O61" s="14">
        <v>2108</v>
      </c>
      <c r="P61" s="13">
        <v>0</v>
      </c>
      <c r="Q61" s="13">
        <v>0</v>
      </c>
      <c r="R61" s="15">
        <v>0</v>
      </c>
      <c r="S61" s="13">
        <v>14845</v>
      </c>
      <c r="U61" s="12" t="s">
        <v>33</v>
      </c>
      <c r="V61" s="13">
        <v>4336</v>
      </c>
      <c r="W61" s="13">
        <v>0</v>
      </c>
      <c r="X61" s="13">
        <v>7736</v>
      </c>
      <c r="Y61" s="13">
        <v>0</v>
      </c>
      <c r="Z61" s="13">
        <v>665</v>
      </c>
      <c r="AA61" s="14">
        <v>2108</v>
      </c>
      <c r="AB61" s="13">
        <v>0</v>
      </c>
      <c r="AC61" s="13">
        <v>0</v>
      </c>
      <c r="AD61" s="15">
        <v>0</v>
      </c>
      <c r="AE61" s="13">
        <v>14845</v>
      </c>
    </row>
    <row r="62" spans="2:31">
      <c r="B62" s="8" t="s">
        <v>34</v>
      </c>
      <c r="C62" s="9">
        <v>0</v>
      </c>
      <c r="D62" s="9">
        <v>0</v>
      </c>
      <c r="E62" s="9">
        <v>-491</v>
      </c>
      <c r="F62" s="9">
        <v>0</v>
      </c>
      <c r="G62" s="9">
        <v>0</v>
      </c>
      <c r="H62" s="11"/>
      <c r="I62" s="11"/>
      <c r="J62" s="11"/>
      <c r="K62" s="11"/>
      <c r="L62" s="11"/>
      <c r="M62" s="11"/>
      <c r="N62" s="11"/>
      <c r="O62" s="10">
        <v>0</v>
      </c>
      <c r="P62" s="9">
        <v>221</v>
      </c>
      <c r="Q62" s="9">
        <v>0</v>
      </c>
      <c r="R62" s="11">
        <v>0</v>
      </c>
      <c r="S62" s="9">
        <v>-270</v>
      </c>
      <c r="U62" s="8" t="s">
        <v>34</v>
      </c>
      <c r="V62" s="9">
        <v>0</v>
      </c>
      <c r="W62" s="9">
        <v>0</v>
      </c>
      <c r="X62" s="9">
        <v>-491</v>
      </c>
      <c r="Y62" s="9">
        <v>0</v>
      </c>
      <c r="Z62" s="9">
        <v>0</v>
      </c>
      <c r="AA62" s="10">
        <v>0</v>
      </c>
      <c r="AB62" s="9">
        <v>221</v>
      </c>
      <c r="AC62" s="9">
        <v>0</v>
      </c>
      <c r="AD62" s="11">
        <v>0</v>
      </c>
      <c r="AE62" s="9">
        <v>-270</v>
      </c>
    </row>
    <row r="63" spans="2:31">
      <c r="B63" s="8" t="s">
        <v>35</v>
      </c>
      <c r="C63" s="9">
        <v>4336</v>
      </c>
      <c r="D63" s="9">
        <v>0</v>
      </c>
      <c r="E63" s="9">
        <v>2173</v>
      </c>
      <c r="F63" s="9">
        <v>0</v>
      </c>
      <c r="G63" s="9">
        <v>665</v>
      </c>
      <c r="H63" s="11"/>
      <c r="I63" s="11"/>
      <c r="J63" s="11"/>
      <c r="K63" s="11"/>
      <c r="L63" s="11"/>
      <c r="M63" s="11"/>
      <c r="N63" s="11"/>
      <c r="O63" s="10">
        <v>1405</v>
      </c>
      <c r="P63" s="9">
        <v>-3185</v>
      </c>
      <c r="Q63" s="9">
        <v>-440</v>
      </c>
      <c r="R63" s="11">
        <v>0</v>
      </c>
      <c r="S63" s="9">
        <v>4954</v>
      </c>
      <c r="U63" s="8" t="s">
        <v>35</v>
      </c>
      <c r="V63" s="9">
        <v>4336</v>
      </c>
      <c r="W63" s="9">
        <v>0</v>
      </c>
      <c r="X63" s="9">
        <v>2173</v>
      </c>
      <c r="Y63" s="9">
        <v>0</v>
      </c>
      <c r="Z63" s="9">
        <v>665</v>
      </c>
      <c r="AA63" s="10">
        <v>1405</v>
      </c>
      <c r="AB63" s="9">
        <v>-3185</v>
      </c>
      <c r="AC63" s="9">
        <v>-440</v>
      </c>
      <c r="AD63" s="11">
        <v>0</v>
      </c>
      <c r="AE63" s="9">
        <v>4954</v>
      </c>
    </row>
    <row r="64" spans="2:31">
      <c r="B64" s="8" t="s">
        <v>36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11"/>
      <c r="I64" s="11"/>
      <c r="J64" s="11"/>
      <c r="K64" s="11"/>
      <c r="L64" s="11"/>
      <c r="M64" s="11"/>
      <c r="N64" s="11"/>
      <c r="O64" s="10">
        <v>0</v>
      </c>
      <c r="P64" s="9">
        <v>0</v>
      </c>
      <c r="Q64" s="9">
        <v>0</v>
      </c>
      <c r="R64" s="11">
        <v>0</v>
      </c>
      <c r="S64" s="9">
        <v>0</v>
      </c>
      <c r="U64" s="8" t="s">
        <v>36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10">
        <v>0</v>
      </c>
      <c r="AB64" s="9">
        <v>0</v>
      </c>
      <c r="AC64" s="9">
        <v>0</v>
      </c>
      <c r="AD64" s="11">
        <v>0</v>
      </c>
      <c r="AE64" s="9">
        <v>0</v>
      </c>
    </row>
    <row r="65" spans="2:31">
      <c r="B65" s="8" t="s">
        <v>37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11"/>
      <c r="I65" s="11"/>
      <c r="J65" s="11"/>
      <c r="K65" s="11"/>
      <c r="L65" s="11"/>
      <c r="M65" s="11"/>
      <c r="N65" s="11"/>
      <c r="O65" s="10">
        <v>0</v>
      </c>
      <c r="P65" s="9">
        <v>0</v>
      </c>
      <c r="Q65" s="9">
        <v>0</v>
      </c>
      <c r="R65" s="11">
        <v>0</v>
      </c>
      <c r="S65" s="9">
        <v>0</v>
      </c>
      <c r="U65" s="8" t="s">
        <v>37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10">
        <v>0</v>
      </c>
      <c r="AB65" s="9">
        <v>0</v>
      </c>
      <c r="AC65" s="9">
        <v>0</v>
      </c>
      <c r="AD65" s="11">
        <v>0</v>
      </c>
      <c r="AE65" s="9">
        <v>0</v>
      </c>
    </row>
    <row r="66" spans="2:31">
      <c r="B66" s="8" t="s">
        <v>38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11"/>
      <c r="I66" s="11"/>
      <c r="J66" s="11"/>
      <c r="K66" s="11"/>
      <c r="L66" s="11"/>
      <c r="M66" s="11"/>
      <c r="N66" s="11"/>
      <c r="O66" s="10">
        <v>0</v>
      </c>
      <c r="P66" s="9">
        <v>41</v>
      </c>
      <c r="Q66" s="9">
        <v>0</v>
      </c>
      <c r="R66" s="11">
        <v>0</v>
      </c>
      <c r="S66" s="9">
        <v>41</v>
      </c>
      <c r="U66" s="8" t="s">
        <v>38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10">
        <v>0</v>
      </c>
      <c r="AB66" s="9">
        <v>41</v>
      </c>
      <c r="AC66" s="9">
        <v>0</v>
      </c>
      <c r="AD66" s="11">
        <v>0</v>
      </c>
      <c r="AE66" s="9">
        <v>41</v>
      </c>
    </row>
    <row r="67" spans="2:31">
      <c r="B67" s="8" t="s">
        <v>39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11"/>
      <c r="I67" s="11"/>
      <c r="J67" s="11"/>
      <c r="K67" s="11"/>
      <c r="L67" s="11"/>
      <c r="M67" s="11"/>
      <c r="N67" s="11"/>
      <c r="O67" s="10">
        <v>0</v>
      </c>
      <c r="P67" s="9">
        <v>203</v>
      </c>
      <c r="Q67" s="9">
        <v>40</v>
      </c>
      <c r="R67" s="11">
        <v>0</v>
      </c>
      <c r="S67" s="9">
        <v>243</v>
      </c>
      <c r="U67" s="8" t="s">
        <v>39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10">
        <v>0</v>
      </c>
      <c r="AB67" s="9">
        <v>203</v>
      </c>
      <c r="AC67" s="9">
        <v>40</v>
      </c>
      <c r="AD67" s="11">
        <v>0</v>
      </c>
      <c r="AE67" s="9">
        <v>243</v>
      </c>
    </row>
    <row r="68" spans="2:31">
      <c r="B68" s="12" t="s">
        <v>40</v>
      </c>
      <c r="C68" s="13">
        <v>4336</v>
      </c>
      <c r="D68" s="13">
        <v>0</v>
      </c>
      <c r="E68" s="13">
        <v>1682</v>
      </c>
      <c r="F68" s="13">
        <v>0</v>
      </c>
      <c r="G68" s="13">
        <v>665</v>
      </c>
      <c r="H68" s="13"/>
      <c r="I68" s="13"/>
      <c r="J68" s="13"/>
      <c r="K68" s="13"/>
      <c r="L68" s="13"/>
      <c r="M68" s="13"/>
      <c r="N68" s="13"/>
      <c r="O68" s="14">
        <v>1405</v>
      </c>
      <c r="P68" s="13">
        <v>-2721</v>
      </c>
      <c r="Q68" s="13">
        <v>-400</v>
      </c>
      <c r="R68" s="15">
        <v>0</v>
      </c>
      <c r="S68" s="13">
        <v>4967</v>
      </c>
      <c r="U68" s="12" t="s">
        <v>40</v>
      </c>
      <c r="V68" s="13">
        <v>4336</v>
      </c>
      <c r="W68" s="13">
        <v>0</v>
      </c>
      <c r="X68" s="13">
        <v>1682</v>
      </c>
      <c r="Y68" s="13">
        <v>0</v>
      </c>
      <c r="Z68" s="13">
        <v>665</v>
      </c>
      <c r="AA68" s="14">
        <v>1405</v>
      </c>
      <c r="AB68" s="13">
        <v>-2721</v>
      </c>
      <c r="AC68" s="13">
        <v>-400</v>
      </c>
      <c r="AD68" s="15">
        <v>0</v>
      </c>
      <c r="AE68" s="13">
        <v>4967</v>
      </c>
    </row>
    <row r="69" spans="2:31">
      <c r="B69" s="8" t="s">
        <v>41</v>
      </c>
      <c r="C69" s="9">
        <v>0</v>
      </c>
      <c r="D69" s="9">
        <v>0</v>
      </c>
      <c r="E69" s="9">
        <v>237</v>
      </c>
      <c r="F69" s="9">
        <v>0</v>
      </c>
      <c r="G69" s="9">
        <v>0</v>
      </c>
      <c r="H69" s="11"/>
      <c r="I69" s="11"/>
      <c r="J69" s="11"/>
      <c r="K69" s="11"/>
      <c r="L69" s="11"/>
      <c r="M69" s="11"/>
      <c r="N69" s="11"/>
      <c r="O69" s="10">
        <v>0</v>
      </c>
      <c r="P69" s="9">
        <v>289</v>
      </c>
      <c r="Q69" s="9">
        <v>400</v>
      </c>
      <c r="R69" s="11">
        <v>0</v>
      </c>
      <c r="S69" s="9">
        <v>927</v>
      </c>
      <c r="U69" s="8" t="s">
        <v>41</v>
      </c>
      <c r="V69" s="9">
        <v>0</v>
      </c>
      <c r="W69" s="9">
        <v>0</v>
      </c>
      <c r="X69" s="9">
        <v>237</v>
      </c>
      <c r="Y69" s="9">
        <v>0</v>
      </c>
      <c r="Z69" s="9">
        <v>0</v>
      </c>
      <c r="AA69" s="10">
        <v>0</v>
      </c>
      <c r="AB69" s="9">
        <v>289</v>
      </c>
      <c r="AC69" s="9">
        <v>400</v>
      </c>
      <c r="AD69" s="11">
        <v>0</v>
      </c>
      <c r="AE69" s="9">
        <v>927</v>
      </c>
    </row>
    <row r="70" spans="2:31">
      <c r="B70" s="8" t="s">
        <v>42</v>
      </c>
      <c r="C70" s="9">
        <v>0</v>
      </c>
      <c r="D70" s="9">
        <v>0</v>
      </c>
      <c r="E70" s="9">
        <v>5084</v>
      </c>
      <c r="F70" s="9">
        <v>0</v>
      </c>
      <c r="G70" s="9">
        <v>0</v>
      </c>
      <c r="H70" s="11"/>
      <c r="I70" s="11"/>
      <c r="J70" s="11"/>
      <c r="K70" s="11"/>
      <c r="L70" s="11"/>
      <c r="M70" s="11"/>
      <c r="N70" s="11"/>
      <c r="O70" s="10">
        <v>0</v>
      </c>
      <c r="P70" s="9">
        <v>0</v>
      </c>
      <c r="Q70" s="9">
        <v>0</v>
      </c>
      <c r="R70" s="11">
        <v>0</v>
      </c>
      <c r="S70" s="9">
        <v>5084</v>
      </c>
      <c r="U70" s="8" t="s">
        <v>42</v>
      </c>
      <c r="V70" s="9">
        <v>0</v>
      </c>
      <c r="W70" s="9">
        <v>0</v>
      </c>
      <c r="X70" s="9">
        <v>5084</v>
      </c>
      <c r="Y70" s="9">
        <v>0</v>
      </c>
      <c r="Z70" s="9">
        <v>0</v>
      </c>
      <c r="AA70" s="10">
        <v>0</v>
      </c>
      <c r="AB70" s="9">
        <v>0</v>
      </c>
      <c r="AC70" s="9">
        <v>0</v>
      </c>
      <c r="AD70" s="11">
        <v>0</v>
      </c>
      <c r="AE70" s="9">
        <v>5084</v>
      </c>
    </row>
    <row r="71" spans="2:31">
      <c r="B71" s="8" t="s">
        <v>43</v>
      </c>
      <c r="C71" s="9">
        <v>0</v>
      </c>
      <c r="D71" s="9">
        <v>0</v>
      </c>
      <c r="E71" s="9">
        <v>131</v>
      </c>
      <c r="F71" s="9">
        <v>0</v>
      </c>
      <c r="G71" s="9">
        <v>0</v>
      </c>
      <c r="H71" s="11"/>
      <c r="I71" s="11"/>
      <c r="J71" s="11"/>
      <c r="K71" s="11"/>
      <c r="L71" s="11"/>
      <c r="M71" s="11"/>
      <c r="N71" s="11"/>
      <c r="O71" s="10">
        <v>655</v>
      </c>
      <c r="P71" s="9">
        <v>1273</v>
      </c>
      <c r="Q71" s="9">
        <v>0</v>
      </c>
      <c r="R71" s="11">
        <v>0</v>
      </c>
      <c r="S71" s="9">
        <v>2059</v>
      </c>
      <c r="U71" s="8" t="s">
        <v>43</v>
      </c>
      <c r="V71" s="9">
        <v>0</v>
      </c>
      <c r="W71" s="9">
        <v>0</v>
      </c>
      <c r="X71" s="9">
        <v>131</v>
      </c>
      <c r="Y71" s="9">
        <v>0</v>
      </c>
      <c r="Z71" s="9">
        <v>0</v>
      </c>
      <c r="AA71" s="10">
        <v>655</v>
      </c>
      <c r="AB71" s="9">
        <v>1273</v>
      </c>
      <c r="AC71" s="9">
        <v>0</v>
      </c>
      <c r="AD71" s="11">
        <v>0</v>
      </c>
      <c r="AE71" s="9">
        <v>2059</v>
      </c>
    </row>
    <row r="72" spans="2:31">
      <c r="B72" s="8" t="s">
        <v>44</v>
      </c>
      <c r="C72" s="9">
        <v>0</v>
      </c>
      <c r="D72" s="9">
        <v>0</v>
      </c>
      <c r="E72" s="9">
        <v>280</v>
      </c>
      <c r="F72" s="9">
        <v>0</v>
      </c>
      <c r="G72" s="9">
        <v>0</v>
      </c>
      <c r="H72" s="11"/>
      <c r="I72" s="11"/>
      <c r="J72" s="11"/>
      <c r="K72" s="11"/>
      <c r="L72" s="11"/>
      <c r="M72" s="11"/>
      <c r="N72" s="11"/>
      <c r="O72" s="10">
        <v>1</v>
      </c>
      <c r="P72" s="9">
        <v>1139</v>
      </c>
      <c r="Q72" s="9">
        <v>0</v>
      </c>
      <c r="R72" s="11">
        <v>0</v>
      </c>
      <c r="S72" s="9">
        <v>1420</v>
      </c>
      <c r="U72" s="8" t="s">
        <v>44</v>
      </c>
      <c r="V72" s="9">
        <v>0</v>
      </c>
      <c r="W72" s="9">
        <v>0</v>
      </c>
      <c r="X72" s="9">
        <v>280</v>
      </c>
      <c r="Y72" s="9">
        <v>0</v>
      </c>
      <c r="Z72" s="9">
        <v>0</v>
      </c>
      <c r="AA72" s="10">
        <v>1</v>
      </c>
      <c r="AB72" s="9">
        <v>1139</v>
      </c>
      <c r="AC72" s="9">
        <v>0</v>
      </c>
      <c r="AD72" s="11">
        <v>0</v>
      </c>
      <c r="AE72" s="9">
        <v>1420</v>
      </c>
    </row>
    <row r="73" spans="2:31">
      <c r="B73" s="8" t="s">
        <v>4</v>
      </c>
      <c r="C73" s="9">
        <v>0</v>
      </c>
      <c r="D73" s="9">
        <v>0</v>
      </c>
      <c r="E73" s="9">
        <v>84</v>
      </c>
      <c r="F73" s="9">
        <v>0</v>
      </c>
      <c r="G73" s="9">
        <v>0</v>
      </c>
      <c r="H73" s="11"/>
      <c r="I73" s="11"/>
      <c r="J73" s="11"/>
      <c r="K73" s="11"/>
      <c r="L73" s="11"/>
      <c r="M73" s="11"/>
      <c r="N73" s="11"/>
      <c r="O73" s="10">
        <v>46</v>
      </c>
      <c r="P73" s="9">
        <v>20</v>
      </c>
      <c r="Q73" s="9">
        <v>0</v>
      </c>
      <c r="R73" s="11">
        <v>0</v>
      </c>
      <c r="S73" s="9">
        <v>150</v>
      </c>
      <c r="U73" s="8" t="s">
        <v>4</v>
      </c>
      <c r="V73" s="9">
        <v>0</v>
      </c>
      <c r="W73" s="9">
        <v>0</v>
      </c>
      <c r="X73" s="9">
        <v>84</v>
      </c>
      <c r="Y73" s="9">
        <v>0</v>
      </c>
      <c r="Z73" s="9">
        <v>0</v>
      </c>
      <c r="AA73" s="10">
        <v>46</v>
      </c>
      <c r="AB73" s="9">
        <v>20</v>
      </c>
      <c r="AC73" s="9">
        <v>0</v>
      </c>
      <c r="AD73" s="11">
        <v>0</v>
      </c>
      <c r="AE73" s="9">
        <v>150</v>
      </c>
    </row>
    <row r="74" spans="2:31">
      <c r="B74" s="16" t="s">
        <v>45</v>
      </c>
      <c r="C74" s="17">
        <v>0</v>
      </c>
      <c r="D74" s="17">
        <v>0</v>
      </c>
      <c r="E74" s="17">
        <v>5816</v>
      </c>
      <c r="F74" s="17">
        <v>0</v>
      </c>
      <c r="G74" s="17">
        <v>0</v>
      </c>
      <c r="H74" s="17"/>
      <c r="I74" s="17"/>
      <c r="J74" s="17"/>
      <c r="K74" s="17"/>
      <c r="L74" s="17"/>
      <c r="M74" s="17"/>
      <c r="N74" s="17"/>
      <c r="O74" s="18">
        <v>702</v>
      </c>
      <c r="P74" s="17">
        <v>2721</v>
      </c>
      <c r="Q74" s="17">
        <v>400</v>
      </c>
      <c r="R74" s="19">
        <v>0</v>
      </c>
      <c r="S74" s="17">
        <v>9640</v>
      </c>
      <c r="U74" s="16" t="s">
        <v>45</v>
      </c>
      <c r="V74" s="17">
        <v>0</v>
      </c>
      <c r="W74" s="17">
        <v>0</v>
      </c>
      <c r="X74" s="17">
        <v>5816</v>
      </c>
      <c r="Y74" s="17">
        <v>0</v>
      </c>
      <c r="Z74" s="17">
        <v>0</v>
      </c>
      <c r="AA74" s="18">
        <v>702</v>
      </c>
      <c r="AB74" s="17">
        <v>2721</v>
      </c>
      <c r="AC74" s="17">
        <v>400</v>
      </c>
      <c r="AD74" s="19">
        <v>0</v>
      </c>
      <c r="AE74" s="17">
        <v>9640</v>
      </c>
    </row>
    <row r="75" spans="2:31">
      <c r="B75" s="16" t="s">
        <v>46</v>
      </c>
      <c r="C75" s="17">
        <v>0</v>
      </c>
      <c r="D75" s="17">
        <v>0</v>
      </c>
      <c r="E75" s="17">
        <v>238</v>
      </c>
      <c r="F75" s="17">
        <v>0</v>
      </c>
      <c r="G75" s="17">
        <v>0</v>
      </c>
      <c r="H75" s="17"/>
      <c r="I75" s="17"/>
      <c r="J75" s="17"/>
      <c r="K75" s="17"/>
      <c r="L75" s="17"/>
      <c r="M75" s="17"/>
      <c r="N75" s="17"/>
      <c r="O75" s="18">
        <v>0</v>
      </c>
      <c r="P75" s="17">
        <v>0</v>
      </c>
      <c r="Q75" s="17">
        <v>0</v>
      </c>
      <c r="R75" s="19">
        <v>0</v>
      </c>
      <c r="S75" s="17">
        <v>238</v>
      </c>
      <c r="U75" s="16" t="s">
        <v>46</v>
      </c>
      <c r="V75" s="17">
        <v>0</v>
      </c>
      <c r="W75" s="17">
        <v>0</v>
      </c>
      <c r="X75" s="17">
        <v>238</v>
      </c>
      <c r="Y75" s="17">
        <v>0</v>
      </c>
      <c r="Z75" s="17">
        <v>0</v>
      </c>
      <c r="AA75" s="18">
        <v>0</v>
      </c>
      <c r="AB75" s="17">
        <v>0</v>
      </c>
      <c r="AC75" s="17">
        <v>0</v>
      </c>
      <c r="AD75" s="19">
        <v>0</v>
      </c>
      <c r="AE75" s="17">
        <v>238</v>
      </c>
    </row>
    <row r="76" spans="2:31">
      <c r="B76" s="12" t="s">
        <v>47</v>
      </c>
      <c r="C76" s="13">
        <v>0</v>
      </c>
      <c r="D76" s="13">
        <v>0</v>
      </c>
      <c r="E76" s="13">
        <v>6054</v>
      </c>
      <c r="F76" s="13">
        <v>0</v>
      </c>
      <c r="G76" s="13">
        <v>0</v>
      </c>
      <c r="H76" s="13"/>
      <c r="I76" s="13"/>
      <c r="J76" s="13"/>
      <c r="K76" s="13"/>
      <c r="L76" s="13"/>
      <c r="M76" s="13"/>
      <c r="N76" s="13"/>
      <c r="O76" s="14">
        <v>702</v>
      </c>
      <c r="P76" s="13">
        <v>2721</v>
      </c>
      <c r="Q76" s="13">
        <v>400</v>
      </c>
      <c r="R76" s="15">
        <v>0</v>
      </c>
      <c r="S76" s="13">
        <v>9878</v>
      </c>
      <c r="U76" s="12" t="s">
        <v>47</v>
      </c>
      <c r="V76" s="13">
        <v>0</v>
      </c>
      <c r="W76" s="13">
        <v>0</v>
      </c>
      <c r="X76" s="13">
        <v>6054</v>
      </c>
      <c r="Y76" s="13">
        <v>0</v>
      </c>
      <c r="Z76" s="13">
        <v>0</v>
      </c>
      <c r="AA76" s="14">
        <v>702</v>
      </c>
      <c r="AB76" s="13">
        <v>2721</v>
      </c>
      <c r="AC76" s="13">
        <v>400</v>
      </c>
      <c r="AD76" s="15">
        <v>0</v>
      </c>
      <c r="AE76" s="13">
        <v>9878</v>
      </c>
    </row>
    <row r="82" spans="2:31">
      <c r="C82" t="s">
        <v>54</v>
      </c>
      <c r="V82" s="4" t="s">
        <v>54</v>
      </c>
    </row>
    <row r="83" spans="2:31" ht="43.2">
      <c r="B83" s="20">
        <v>2025</v>
      </c>
      <c r="C83" s="7" t="s">
        <v>14</v>
      </c>
      <c r="D83" s="7" t="s">
        <v>15</v>
      </c>
      <c r="E83" s="7" t="s">
        <v>16</v>
      </c>
      <c r="F83" s="7" t="s">
        <v>17</v>
      </c>
      <c r="G83" s="7" t="s">
        <v>18</v>
      </c>
      <c r="H83" s="226" t="s">
        <v>371</v>
      </c>
      <c r="I83" s="226" t="s">
        <v>150</v>
      </c>
      <c r="J83" s="226" t="s">
        <v>372</v>
      </c>
      <c r="K83" s="226" t="s">
        <v>7</v>
      </c>
      <c r="L83" s="226" t="s">
        <v>373</v>
      </c>
      <c r="M83" s="226" t="s">
        <v>149</v>
      </c>
      <c r="N83" s="226" t="s">
        <v>374</v>
      </c>
      <c r="O83" s="7" t="s">
        <v>19</v>
      </c>
      <c r="P83" s="7" t="s">
        <v>20</v>
      </c>
      <c r="Q83" s="7" t="s">
        <v>21</v>
      </c>
      <c r="R83" s="7" t="s">
        <v>22</v>
      </c>
      <c r="S83" s="7" t="s">
        <v>23</v>
      </c>
      <c r="U83" s="21">
        <v>2025</v>
      </c>
      <c r="V83" s="7" t="s">
        <v>14</v>
      </c>
      <c r="W83" s="7" t="s">
        <v>15</v>
      </c>
      <c r="X83" s="7" t="s">
        <v>16</v>
      </c>
      <c r="Y83" s="7" t="s">
        <v>17</v>
      </c>
      <c r="Z83" s="7" t="s">
        <v>18</v>
      </c>
      <c r="AA83" s="7" t="s">
        <v>19</v>
      </c>
      <c r="AB83" s="7" t="s">
        <v>20</v>
      </c>
      <c r="AC83" s="7" t="s">
        <v>21</v>
      </c>
      <c r="AD83" s="7" t="s">
        <v>22</v>
      </c>
      <c r="AE83" s="7" t="s">
        <v>23</v>
      </c>
    </row>
    <row r="84" spans="2:31">
      <c r="B84" s="22" t="s">
        <v>24</v>
      </c>
      <c r="C84" s="11">
        <v>0</v>
      </c>
      <c r="D84" s="11">
        <v>0</v>
      </c>
      <c r="E84" s="11">
        <v>0</v>
      </c>
      <c r="F84" s="11">
        <v>0</v>
      </c>
      <c r="G84" s="11">
        <v>0</v>
      </c>
      <c r="H84" s="11"/>
      <c r="I84" s="11"/>
      <c r="J84" s="11"/>
      <c r="K84" s="11"/>
      <c r="L84" s="11"/>
      <c r="M84" s="11"/>
      <c r="N84" s="11"/>
      <c r="O84" s="11">
        <v>0</v>
      </c>
      <c r="P84" s="11">
        <v>0</v>
      </c>
      <c r="Q84" s="11">
        <v>0</v>
      </c>
      <c r="R84" s="11">
        <v>0</v>
      </c>
      <c r="S84" s="11">
        <f>SUM(C84:R84)</f>
        <v>0</v>
      </c>
      <c r="U84" s="22" t="s">
        <v>24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f>SUM(V84:AD84)</f>
        <v>0</v>
      </c>
    </row>
    <row r="85" spans="2:31">
      <c r="B85" s="22" t="s">
        <v>25</v>
      </c>
      <c r="C85" s="11">
        <v>0</v>
      </c>
      <c r="D85" s="11">
        <v>0</v>
      </c>
      <c r="E85" s="11">
        <v>0</v>
      </c>
      <c r="F85" s="11">
        <v>0</v>
      </c>
      <c r="G85" s="11">
        <v>0</v>
      </c>
      <c r="H85" s="11"/>
      <c r="I85" s="11"/>
      <c r="J85" s="11"/>
      <c r="K85" s="11"/>
      <c r="L85" s="11"/>
      <c r="M85" s="11"/>
      <c r="N85" s="11"/>
      <c r="O85" s="11">
        <v>0</v>
      </c>
      <c r="P85" s="11">
        <v>0</v>
      </c>
      <c r="Q85" s="11">
        <v>0</v>
      </c>
      <c r="R85" s="11">
        <v>0</v>
      </c>
      <c r="S85" s="11">
        <f t="shared" ref="S85:S92" si="2">SUM(C85:R85)</f>
        <v>0</v>
      </c>
      <c r="U85" s="22" t="s">
        <v>25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f t="shared" ref="AE85:AE92" si="3">SUM(V85:AD85)</f>
        <v>0</v>
      </c>
    </row>
    <row r="86" spans="2:31">
      <c r="B86" s="22" t="s">
        <v>26</v>
      </c>
      <c r="C86" s="11">
        <v>0</v>
      </c>
      <c r="D86" s="11">
        <v>0</v>
      </c>
      <c r="E86" s="11">
        <v>0</v>
      </c>
      <c r="F86" s="11">
        <v>0</v>
      </c>
      <c r="G86" s="11">
        <v>0</v>
      </c>
      <c r="H86" s="11"/>
      <c r="I86" s="11"/>
      <c r="J86" s="11"/>
      <c r="K86" s="11"/>
      <c r="L86" s="11"/>
      <c r="M86" s="11"/>
      <c r="N86" s="11"/>
      <c r="O86" s="11">
        <v>0</v>
      </c>
      <c r="P86" s="11">
        <v>0</v>
      </c>
      <c r="Q86" s="11">
        <v>0</v>
      </c>
      <c r="R86" s="11">
        <v>0</v>
      </c>
      <c r="S86" s="11">
        <f t="shared" si="2"/>
        <v>0</v>
      </c>
      <c r="U86" s="22" t="s">
        <v>26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f t="shared" si="3"/>
        <v>0</v>
      </c>
    </row>
    <row r="87" spans="2:31">
      <c r="B87" s="22" t="s">
        <v>27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/>
      <c r="I87" s="11"/>
      <c r="J87" s="11"/>
      <c r="K87" s="11"/>
      <c r="L87" s="11"/>
      <c r="M87" s="11"/>
      <c r="N87" s="11"/>
      <c r="O87" s="11">
        <v>0</v>
      </c>
      <c r="P87" s="11">
        <v>0</v>
      </c>
      <c r="Q87" s="11">
        <v>0</v>
      </c>
      <c r="R87" s="11">
        <v>0</v>
      </c>
      <c r="S87" s="11">
        <f t="shared" si="2"/>
        <v>0</v>
      </c>
      <c r="U87" s="22" t="s">
        <v>27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f t="shared" si="3"/>
        <v>0</v>
      </c>
    </row>
    <row r="88" spans="2:31">
      <c r="B88" s="22" t="s">
        <v>28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/>
      <c r="I88" s="11"/>
      <c r="J88" s="11"/>
      <c r="K88" s="11"/>
      <c r="L88" s="11"/>
      <c r="M88" s="11"/>
      <c r="N88" s="11"/>
      <c r="O88" s="11">
        <v>0</v>
      </c>
      <c r="P88" s="11">
        <v>0</v>
      </c>
      <c r="Q88" s="11">
        <v>0</v>
      </c>
      <c r="R88" s="11">
        <v>0</v>
      </c>
      <c r="S88" s="11">
        <f t="shared" si="2"/>
        <v>0</v>
      </c>
      <c r="U88" s="22" t="s">
        <v>28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f t="shared" si="3"/>
        <v>0</v>
      </c>
    </row>
    <row r="89" spans="2:31">
      <c r="B89" s="22" t="s">
        <v>29</v>
      </c>
      <c r="C89" s="11">
        <v>0</v>
      </c>
      <c r="D89" s="11">
        <v>0</v>
      </c>
      <c r="E89" s="11">
        <v>0</v>
      </c>
      <c r="F89" s="11">
        <v>0</v>
      </c>
      <c r="G89" s="11">
        <v>0</v>
      </c>
      <c r="H89" s="11"/>
      <c r="I89" s="11"/>
      <c r="J89" s="11"/>
      <c r="K89" s="11"/>
      <c r="L89" s="11"/>
      <c r="M89" s="11"/>
      <c r="N89" s="11"/>
      <c r="O89" s="11">
        <v>0</v>
      </c>
      <c r="P89" s="11">
        <v>0</v>
      </c>
      <c r="Q89" s="11">
        <v>0</v>
      </c>
      <c r="R89" s="11">
        <v>0</v>
      </c>
      <c r="S89" s="11">
        <f t="shared" si="2"/>
        <v>0</v>
      </c>
      <c r="U89" s="22" t="s">
        <v>29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f t="shared" si="3"/>
        <v>0</v>
      </c>
    </row>
    <row r="90" spans="2:31">
      <c r="B90" s="22" t="s">
        <v>30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/>
      <c r="I90" s="11"/>
      <c r="J90" s="11"/>
      <c r="K90" s="11"/>
      <c r="L90" s="11"/>
      <c r="M90" s="11"/>
      <c r="N90" s="11"/>
      <c r="O90" s="11">
        <v>0</v>
      </c>
      <c r="P90" s="11">
        <v>0</v>
      </c>
      <c r="Q90" s="11">
        <v>0</v>
      </c>
      <c r="R90" s="11">
        <v>0</v>
      </c>
      <c r="S90" s="11">
        <f t="shared" si="2"/>
        <v>0</v>
      </c>
      <c r="U90" s="22" t="s">
        <v>30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f t="shared" si="3"/>
        <v>0</v>
      </c>
    </row>
    <row r="91" spans="2:31">
      <c r="B91" s="22" t="s">
        <v>31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/>
      <c r="I91" s="11"/>
      <c r="J91" s="11"/>
      <c r="K91" s="11"/>
      <c r="L91" s="11"/>
      <c r="M91" s="11"/>
      <c r="N91" s="11"/>
      <c r="O91" s="11">
        <v>0</v>
      </c>
      <c r="P91" s="11">
        <v>0</v>
      </c>
      <c r="Q91" s="11">
        <v>0</v>
      </c>
      <c r="R91" s="11">
        <v>0</v>
      </c>
      <c r="S91" s="11">
        <f t="shared" si="2"/>
        <v>0</v>
      </c>
      <c r="U91" s="22" t="s">
        <v>31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f t="shared" si="3"/>
        <v>0</v>
      </c>
    </row>
    <row r="92" spans="2:31">
      <c r="B92" s="22" t="s">
        <v>32</v>
      </c>
      <c r="C92" s="11">
        <v>0</v>
      </c>
      <c r="D92" s="11">
        <v>0</v>
      </c>
      <c r="E92" s="23">
        <v>0</v>
      </c>
      <c r="F92" s="11">
        <v>0</v>
      </c>
      <c r="G92" s="11">
        <v>0</v>
      </c>
      <c r="H92" s="11"/>
      <c r="I92" s="11"/>
      <c r="J92" s="11"/>
      <c r="K92" s="11"/>
      <c r="L92" s="11"/>
      <c r="M92" s="11"/>
      <c r="N92" s="11"/>
      <c r="O92" s="11">
        <v>0</v>
      </c>
      <c r="P92" s="11">
        <v>0</v>
      </c>
      <c r="Q92" s="11">
        <v>0</v>
      </c>
      <c r="R92" s="11">
        <v>0</v>
      </c>
      <c r="S92" s="11">
        <f t="shared" si="2"/>
        <v>0</v>
      </c>
      <c r="U92" s="22" t="s">
        <v>32</v>
      </c>
      <c r="V92" s="11">
        <v>0</v>
      </c>
      <c r="W92" s="11">
        <v>0</v>
      </c>
      <c r="X92" s="23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f t="shared" si="3"/>
        <v>0</v>
      </c>
    </row>
    <row r="93" spans="2:31">
      <c r="B93" s="24" t="s">
        <v>33</v>
      </c>
      <c r="C93" s="15">
        <f>C84+C88+C89+C90+C91+C92</f>
        <v>0</v>
      </c>
      <c r="D93" s="15">
        <f t="shared" ref="D93:R93" si="4">D84+D88+D89+D90+D91+D92</f>
        <v>0</v>
      </c>
      <c r="E93" s="15">
        <f t="shared" si="4"/>
        <v>0</v>
      </c>
      <c r="F93" s="15">
        <f t="shared" si="4"/>
        <v>0</v>
      </c>
      <c r="G93" s="15">
        <f t="shared" si="4"/>
        <v>0</v>
      </c>
      <c r="H93" s="15">
        <f t="shared" si="4"/>
        <v>0</v>
      </c>
      <c r="I93" s="15">
        <f t="shared" si="4"/>
        <v>0</v>
      </c>
      <c r="J93" s="15">
        <f t="shared" si="4"/>
        <v>0</v>
      </c>
      <c r="K93" s="15">
        <f t="shared" si="4"/>
        <v>0</v>
      </c>
      <c r="L93" s="15">
        <f t="shared" si="4"/>
        <v>0</v>
      </c>
      <c r="M93" s="15">
        <f t="shared" si="4"/>
        <v>0</v>
      </c>
      <c r="N93" s="15">
        <f t="shared" si="4"/>
        <v>0</v>
      </c>
      <c r="O93" s="15">
        <f t="shared" si="4"/>
        <v>0</v>
      </c>
      <c r="P93" s="15">
        <f t="shared" si="4"/>
        <v>0</v>
      </c>
      <c r="Q93" s="15">
        <f t="shared" si="4"/>
        <v>0</v>
      </c>
      <c r="R93" s="15">
        <f t="shared" si="4"/>
        <v>0</v>
      </c>
      <c r="S93" s="15">
        <f>SUM(C93:R93)</f>
        <v>0</v>
      </c>
      <c r="U93" s="24" t="s">
        <v>33</v>
      </c>
      <c r="V93" s="15">
        <f>V84+V88+V89+V90+V91+V92</f>
        <v>0</v>
      </c>
      <c r="W93" s="15">
        <f t="shared" ref="W93:AD93" si="5">W84+W88+W89+W90+W91+W92</f>
        <v>0</v>
      </c>
      <c r="X93" s="15">
        <f t="shared" si="5"/>
        <v>0</v>
      </c>
      <c r="Y93" s="15">
        <f t="shared" si="5"/>
        <v>0</v>
      </c>
      <c r="Z93" s="15">
        <f t="shared" si="5"/>
        <v>0</v>
      </c>
      <c r="AA93" s="15">
        <f t="shared" si="5"/>
        <v>0</v>
      </c>
      <c r="AB93" s="15">
        <f t="shared" si="5"/>
        <v>0</v>
      </c>
      <c r="AC93" s="15">
        <f t="shared" si="5"/>
        <v>0</v>
      </c>
      <c r="AD93" s="15">
        <f t="shared" si="5"/>
        <v>0</v>
      </c>
      <c r="AE93" s="15">
        <f>SUM(V93:AD93)</f>
        <v>0</v>
      </c>
    </row>
    <row r="94" spans="2:31">
      <c r="B94" s="22" t="s">
        <v>34</v>
      </c>
      <c r="C94" s="11">
        <v>0</v>
      </c>
      <c r="D94" s="11">
        <v>0</v>
      </c>
      <c r="E94" s="11">
        <v>0</v>
      </c>
      <c r="F94" s="11">
        <v>0</v>
      </c>
      <c r="G94" s="11">
        <v>0</v>
      </c>
      <c r="H94" s="11"/>
      <c r="I94" s="11"/>
      <c r="J94" s="11"/>
      <c r="K94" s="11"/>
      <c r="L94" s="11"/>
      <c r="M94" s="11"/>
      <c r="N94" s="11"/>
      <c r="O94" s="11">
        <v>0</v>
      </c>
      <c r="P94" s="11">
        <v>0</v>
      </c>
      <c r="Q94" s="11">
        <v>0</v>
      </c>
      <c r="R94" s="11">
        <v>0</v>
      </c>
      <c r="S94" s="11">
        <f>SUM(C94:R94)</f>
        <v>0</v>
      </c>
      <c r="U94" s="22" t="s">
        <v>34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f t="shared" ref="AE94:AE101" si="6">SUM(V94:AD94)</f>
        <v>0</v>
      </c>
    </row>
    <row r="95" spans="2:31">
      <c r="B95" s="22" t="s">
        <v>35</v>
      </c>
      <c r="C95" s="11">
        <f>(P95-Q95)*$X$48*('Prod Energie'!D32)</f>
        <v>0</v>
      </c>
      <c r="D95" s="11">
        <v>0</v>
      </c>
      <c r="E95" s="11">
        <f>(P95-Q95)*$X$48*('Prod Energie'!D33)</f>
        <v>18.553078867082775</v>
      </c>
      <c r="F95" s="11">
        <v>0</v>
      </c>
      <c r="G95" s="11">
        <f>(P95-Q95)*$X$48*('Prod Energie'!D40+'Prod Energie'!D39+'Prod Energie'!D34)</f>
        <v>19.74939336889619</v>
      </c>
      <c r="H95" s="11">
        <f>(P95-Q95)*$X$48*'Prod Energie'!D38</f>
        <v>9.5465345589830513</v>
      </c>
      <c r="I95" s="11">
        <f>(P95-Q95)*$X$48*'Prod Energie'!D41</f>
        <v>1.9093069117966106</v>
      </c>
      <c r="J95" s="11">
        <f>(P95-Q95)*$X$48*'Prod Energie'!D37</f>
        <v>0</v>
      </c>
      <c r="K95" s="11">
        <f>(P95-Q95)*$X$48*'Prod Energie'!D36</f>
        <v>0</v>
      </c>
      <c r="L95" s="11"/>
      <c r="M95" s="11">
        <f>(P95-Q95)*$X$48*'Prod Energie'!D35</f>
        <v>0</v>
      </c>
      <c r="N95" s="11"/>
      <c r="O95" s="11">
        <f>(P95-Q95)*$X$48*('Prod Energie'!D38+'Prod Energie'!D37+'Prod Energie'!D41+'Prod Energie'!D36+'Prod Energie'!D35)</f>
        <v>11.455841470779662</v>
      </c>
      <c r="P95" s="11">
        <f>P100/(1+$P$48+$Q$48)</f>
        <v>-21.391223601597858</v>
      </c>
      <c r="Q95" s="11">
        <f>Q100/(1+$D$48)</f>
        <v>0</v>
      </c>
      <c r="R95" s="11">
        <v>0</v>
      </c>
      <c r="S95" s="11">
        <f>SUM(C95:R95)-SUM(H95:N95)</f>
        <v>28.367090105160777</v>
      </c>
      <c r="U95" s="22" t="s">
        <v>35</v>
      </c>
      <c r="V95" s="11">
        <f>(AB95-AC95)*$X$48*('Prod Energie'!D53)</f>
        <v>0</v>
      </c>
      <c r="W95" s="11">
        <v>0</v>
      </c>
      <c r="X95" s="11">
        <f>(AB95-AC95)*$X$48*('Prod Energie'!D54)</f>
        <v>12.875399422754661</v>
      </c>
      <c r="Y95" s="11">
        <v>0</v>
      </c>
      <c r="Z95" s="11">
        <f>(AB95-AC95)*$X$48*('Prod Energie'!D61+'Prod Energie'!D60)</f>
        <v>5.1758359097120641</v>
      </c>
      <c r="AA95" s="11">
        <f>(AB95-AC95)*$X$48*('Prod Energie'!D59)</f>
        <v>6.6250699644314421</v>
      </c>
      <c r="AB95" s="11">
        <f>AB100/(1+$P$48+$Q$48)</f>
        <v>-14.845004971152541</v>
      </c>
      <c r="AC95" s="11">
        <f>AC100/(1+$D$48)</f>
        <v>0</v>
      </c>
      <c r="AD95" s="11">
        <v>0</v>
      </c>
      <c r="AE95" s="11">
        <f t="shared" si="6"/>
        <v>9.8313003257456266</v>
      </c>
    </row>
    <row r="96" spans="2:31">
      <c r="B96" s="22" t="s">
        <v>36</v>
      </c>
      <c r="C96" s="11">
        <v>0</v>
      </c>
      <c r="D96" s="11">
        <v>0</v>
      </c>
      <c r="E96" s="11">
        <v>0</v>
      </c>
      <c r="F96" s="11">
        <v>0</v>
      </c>
      <c r="G96" s="11">
        <v>0</v>
      </c>
      <c r="H96" s="11"/>
      <c r="I96" s="11"/>
      <c r="J96" s="11"/>
      <c r="K96" s="11"/>
      <c r="L96" s="11"/>
      <c r="M96" s="11"/>
      <c r="N96" s="11"/>
      <c r="O96" s="11">
        <v>0</v>
      </c>
      <c r="P96" s="11">
        <v>0</v>
      </c>
      <c r="Q96" s="11">
        <v>0</v>
      </c>
      <c r="R96" s="11">
        <v>0</v>
      </c>
      <c r="S96" s="11">
        <f t="shared" ref="S96:S101" si="7">SUM(C96:R96)</f>
        <v>0</v>
      </c>
      <c r="U96" s="22" t="s">
        <v>36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f t="shared" si="6"/>
        <v>0</v>
      </c>
    </row>
    <row r="97" spans="2:32">
      <c r="B97" s="22" t="s">
        <v>37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/>
      <c r="I97" s="11"/>
      <c r="J97" s="11"/>
      <c r="K97" s="11"/>
      <c r="L97" s="11"/>
      <c r="M97" s="11"/>
      <c r="N97" s="11"/>
      <c r="O97" s="11">
        <v>0</v>
      </c>
      <c r="P97" s="11">
        <v>0</v>
      </c>
      <c r="Q97" s="11">
        <v>0</v>
      </c>
      <c r="R97" s="11">
        <v>0</v>
      </c>
      <c r="S97" s="11">
        <f t="shared" si="7"/>
        <v>0</v>
      </c>
      <c r="U97" s="22" t="s">
        <v>37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f t="shared" si="6"/>
        <v>0</v>
      </c>
    </row>
    <row r="98" spans="2:32">
      <c r="B98" s="22" t="s">
        <v>38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/>
      <c r="I98" s="11"/>
      <c r="J98" s="11"/>
      <c r="K98" s="11"/>
      <c r="L98" s="11"/>
      <c r="M98" s="11"/>
      <c r="N98" s="11"/>
      <c r="O98" s="11">
        <v>0</v>
      </c>
      <c r="P98" s="11">
        <f>P95*$P$48</f>
        <v>0.25543894286616914</v>
      </c>
      <c r="Q98" s="11">
        <v>0</v>
      </c>
      <c r="R98" s="11">
        <v>0</v>
      </c>
      <c r="S98" s="11">
        <f t="shared" si="7"/>
        <v>0.25543894286616914</v>
      </c>
      <c r="U98" s="22" t="s">
        <v>38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f>AB95*$P$48</f>
        <v>0.17726860544765569</v>
      </c>
      <c r="AC98" s="11">
        <v>0</v>
      </c>
      <c r="AD98" s="11">
        <v>0</v>
      </c>
      <c r="AE98" s="11">
        <f t="shared" si="6"/>
        <v>0.17726860544765569</v>
      </c>
    </row>
    <row r="99" spans="2:32">
      <c r="B99" s="22" t="s">
        <v>39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/>
      <c r="I99" s="11"/>
      <c r="J99" s="11"/>
      <c r="K99" s="11"/>
      <c r="L99" s="11"/>
      <c r="M99" s="11"/>
      <c r="N99" s="11"/>
      <c r="O99" s="11">
        <v>0</v>
      </c>
      <c r="P99" s="11">
        <f>P95*$Q$48</f>
        <v>1.368047754928539</v>
      </c>
      <c r="Q99" s="11">
        <f>Q95*$D$48</f>
        <v>0</v>
      </c>
      <c r="R99" s="11">
        <v>0</v>
      </c>
      <c r="S99" s="11">
        <f t="shared" si="7"/>
        <v>1.368047754928539</v>
      </c>
      <c r="U99" s="22" t="s">
        <v>39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f>AB95*$Q$48</f>
        <v>0.94939289593379039</v>
      </c>
      <c r="AC99" s="11">
        <f>AC95*$D$48</f>
        <v>0</v>
      </c>
      <c r="AD99" s="11">
        <v>0</v>
      </c>
      <c r="AE99" s="11">
        <f t="shared" si="6"/>
        <v>0.94939289593379039</v>
      </c>
    </row>
    <row r="100" spans="2:32">
      <c r="B100" s="24" t="s">
        <v>40</v>
      </c>
      <c r="C100" s="15">
        <f>SUM(C94:C99)</f>
        <v>0</v>
      </c>
      <c r="D100" s="15">
        <f>SUM(D94:D99)</f>
        <v>0</v>
      </c>
      <c r="E100" s="15">
        <f>SUM(E94:E99)</f>
        <v>18.553078867082775</v>
      </c>
      <c r="F100" s="15">
        <f>SUM(F94:F99)</f>
        <v>0</v>
      </c>
      <c r="G100" s="15">
        <f>SUM(G94:G99)</f>
        <v>19.74939336889619</v>
      </c>
      <c r="H100" s="15"/>
      <c r="I100" s="15"/>
      <c r="J100" s="15"/>
      <c r="K100" s="15"/>
      <c r="L100" s="15"/>
      <c r="M100" s="15"/>
      <c r="N100" s="15"/>
      <c r="O100" s="15"/>
      <c r="P100" s="15">
        <f>-P108</f>
        <v>-19.767736903803151</v>
      </c>
      <c r="Q100" s="15">
        <f>-Q108</f>
        <v>0</v>
      </c>
      <c r="R100" s="15">
        <v>0</v>
      </c>
      <c r="S100" s="15">
        <f t="shared" si="7"/>
        <v>18.534735332175817</v>
      </c>
      <c r="U100" s="24" t="s">
        <v>40</v>
      </c>
      <c r="V100" s="15">
        <f t="shared" ref="V100:AA100" si="8">SUM(V94:V99)</f>
        <v>0</v>
      </c>
      <c r="W100" s="15">
        <f t="shared" si="8"/>
        <v>0</v>
      </c>
      <c r="X100" s="15">
        <f t="shared" si="8"/>
        <v>12.875399422754661</v>
      </c>
      <c r="Y100" s="15">
        <f t="shared" si="8"/>
        <v>0</v>
      </c>
      <c r="Z100" s="15">
        <f t="shared" si="8"/>
        <v>5.1758359097120641</v>
      </c>
      <c r="AA100" s="15">
        <f t="shared" si="8"/>
        <v>6.6250699644314421</v>
      </c>
      <c r="AB100" s="15">
        <f>-AB108</f>
        <v>-13.718343469771096</v>
      </c>
      <c r="AC100" s="15">
        <f>-AC108</f>
        <v>0</v>
      </c>
      <c r="AD100" s="15">
        <v>0</v>
      </c>
      <c r="AE100" s="15">
        <f t="shared" si="6"/>
        <v>10.957961827127072</v>
      </c>
    </row>
    <row r="101" spans="2:32">
      <c r="B101" s="22" t="s">
        <v>41</v>
      </c>
      <c r="C101" s="11">
        <v>0</v>
      </c>
      <c r="D101" s="11">
        <v>0</v>
      </c>
      <c r="E101" s="11">
        <f>Industrie!D35</f>
        <v>0</v>
      </c>
      <c r="F101" s="11">
        <v>0</v>
      </c>
      <c r="G101" s="11">
        <v>0</v>
      </c>
      <c r="H101" s="11"/>
      <c r="I101" s="11"/>
      <c r="J101" s="11"/>
      <c r="K101" s="11"/>
      <c r="L101" s="11"/>
      <c r="M101" s="11"/>
      <c r="N101" s="11"/>
      <c r="O101" s="11">
        <f>Industrie!D38</f>
        <v>0</v>
      </c>
      <c r="P101" s="11">
        <f>Industrie!D36</f>
        <v>1.3181923848649233</v>
      </c>
      <c r="Q101" s="11">
        <f>Industrie!D39</f>
        <v>0</v>
      </c>
      <c r="R101" s="11">
        <v>0</v>
      </c>
      <c r="S101" s="11">
        <f t="shared" si="7"/>
        <v>1.3181923848649233</v>
      </c>
      <c r="U101" s="22" t="s">
        <v>41</v>
      </c>
      <c r="V101" s="11">
        <v>0</v>
      </c>
      <c r="W101" s="11">
        <v>0</v>
      </c>
      <c r="X101" s="11">
        <f>Industrie!D56</f>
        <v>0</v>
      </c>
      <c r="Y101" s="11">
        <v>0</v>
      </c>
      <c r="Z101" s="11">
        <v>0</v>
      </c>
      <c r="AA101" s="11">
        <f>Industrie!D62</f>
        <v>0</v>
      </c>
      <c r="AB101" s="11">
        <f>Industrie!D57</f>
        <v>1.2193279560000541</v>
      </c>
      <c r="AC101" s="11">
        <f>Industrie!D63</f>
        <v>0</v>
      </c>
      <c r="AD101" s="11">
        <v>0</v>
      </c>
      <c r="AE101" s="11">
        <f t="shared" si="6"/>
        <v>1.2193279560000541</v>
      </c>
    </row>
    <row r="102" spans="2:32">
      <c r="B102" s="22" t="s">
        <v>42</v>
      </c>
      <c r="C102" s="11">
        <v>0</v>
      </c>
      <c r="D102" s="11">
        <v>0</v>
      </c>
      <c r="E102" s="11">
        <f>Transports!F49</f>
        <v>37.79746003994584</v>
      </c>
      <c r="F102" s="11">
        <v>0</v>
      </c>
      <c r="G102" s="11">
        <v>0</v>
      </c>
      <c r="H102" s="11"/>
      <c r="I102" s="11"/>
      <c r="J102" s="11"/>
      <c r="K102" s="11"/>
      <c r="L102" s="11"/>
      <c r="M102" s="11"/>
      <c r="N102" s="11"/>
      <c r="O102" s="11">
        <v>0</v>
      </c>
      <c r="P102" s="11">
        <f>Transports!F50</f>
        <v>0.14969409304749795</v>
      </c>
      <c r="Q102" s="11">
        <v>0</v>
      </c>
      <c r="R102" s="11">
        <v>0</v>
      </c>
      <c r="S102" s="11">
        <f>Transports!F51</f>
        <v>37.94715413299334</v>
      </c>
      <c r="U102" s="22" t="s">
        <v>42</v>
      </c>
      <c r="V102" s="11">
        <v>0</v>
      </c>
      <c r="W102" s="11">
        <v>0</v>
      </c>
      <c r="X102" s="11">
        <f>Transports!F76</f>
        <v>35.748816077113133</v>
      </c>
      <c r="Y102" s="11">
        <v>0</v>
      </c>
      <c r="Z102" s="11">
        <v>0</v>
      </c>
      <c r="AA102" s="11">
        <v>0</v>
      </c>
      <c r="AB102" s="11">
        <f>Transports!F77</f>
        <v>0.7081550578799396</v>
      </c>
      <c r="AC102" s="11">
        <v>0</v>
      </c>
      <c r="AD102" s="11">
        <v>0</v>
      </c>
      <c r="AE102" s="11">
        <f>Transports!F78</f>
        <v>36.456971134993076</v>
      </c>
    </row>
    <row r="103" spans="2:32">
      <c r="B103" s="22" t="s">
        <v>43</v>
      </c>
      <c r="C103" s="11">
        <v>0</v>
      </c>
      <c r="D103" s="11">
        <v>0</v>
      </c>
      <c r="E103" s="11">
        <f>'Résidentiel-tertiaire'!D172</f>
        <v>1.9564578944738906</v>
      </c>
      <c r="F103" s="11">
        <v>0</v>
      </c>
      <c r="G103" s="11">
        <v>0</v>
      </c>
      <c r="H103" s="11"/>
      <c r="I103" s="11"/>
      <c r="J103" s="11"/>
      <c r="K103" s="11"/>
      <c r="L103" s="11"/>
      <c r="M103" s="11"/>
      <c r="N103" s="11"/>
      <c r="O103" s="11">
        <f>'Résidentiel-tertiaire'!D173</f>
        <v>0</v>
      </c>
      <c r="P103" s="11">
        <f>'Résidentiel-tertiaire'!D174</f>
        <v>8.1085512411335436</v>
      </c>
      <c r="Q103" s="11">
        <v>0</v>
      </c>
      <c r="R103" s="11">
        <v>0</v>
      </c>
      <c r="S103" s="11">
        <f>SUM(C103:R103)</f>
        <v>10.065009135607434</v>
      </c>
      <c r="T103" s="25">
        <f>'[3]Résidentiel-Tertiaire 2'!D152</f>
        <v>760.85335631030102</v>
      </c>
      <c r="U103" s="22" t="s">
        <v>43</v>
      </c>
      <c r="V103" s="11">
        <v>0</v>
      </c>
      <c r="W103" s="11">
        <v>0</v>
      </c>
      <c r="X103" s="11">
        <f>'Résidentiel-tertiaire'!D187</f>
        <v>1.6291666666666667</v>
      </c>
      <c r="Y103" s="11">
        <v>0</v>
      </c>
      <c r="Z103" s="11">
        <v>0</v>
      </c>
      <c r="AA103" s="11">
        <f>'Résidentiel-tertiaire'!D188</f>
        <v>0.60147624520754006</v>
      </c>
      <c r="AB103" s="11">
        <f>'Résidentiel-tertiaire'!D189</f>
        <v>7.0522513225954091</v>
      </c>
      <c r="AC103" s="11">
        <v>0</v>
      </c>
      <c r="AD103" s="11">
        <v>0</v>
      </c>
      <c r="AE103" s="11">
        <f>SUM(V103:AD103)</f>
        <v>9.2828942344696159</v>
      </c>
    </row>
    <row r="104" spans="2:32">
      <c r="B104" s="22" t="s">
        <v>44</v>
      </c>
      <c r="C104" s="11">
        <v>0</v>
      </c>
      <c r="D104" s="11">
        <v>0</v>
      </c>
      <c r="E104" s="11">
        <f>'Résidentiel-tertiaire'!D177</f>
        <v>0.92961363347296921</v>
      </c>
      <c r="F104" s="11">
        <v>0</v>
      </c>
      <c r="G104" s="11">
        <v>0</v>
      </c>
      <c r="H104" s="11"/>
      <c r="I104" s="11"/>
      <c r="J104" s="11"/>
      <c r="K104" s="11"/>
      <c r="L104" s="11"/>
      <c r="M104" s="11"/>
      <c r="N104" s="11"/>
      <c r="O104" s="11">
        <f>'Résidentiel-tertiaire'!D178</f>
        <v>0</v>
      </c>
      <c r="P104" s="11">
        <f>'Résidentiel-tertiaire'!D179</f>
        <v>10.191299184757186</v>
      </c>
      <c r="Q104" s="11">
        <v>0</v>
      </c>
      <c r="R104" s="11">
        <v>0</v>
      </c>
      <c r="S104" s="11">
        <f>SUM(C104:R104)</f>
        <v>11.120912818230156</v>
      </c>
      <c r="T104" s="25">
        <f>'[3]Résidentiel-Tertiaire 2'!D159</f>
        <v>673.34922536957004</v>
      </c>
      <c r="U104" s="22" t="s">
        <v>44</v>
      </c>
      <c r="V104" s="11">
        <v>0</v>
      </c>
      <c r="W104" s="11">
        <v>0</v>
      </c>
      <c r="X104" s="11">
        <f>'Résidentiel-tertiaire'!D192</f>
        <v>0.81990740740740742</v>
      </c>
      <c r="Y104" s="11">
        <v>0</v>
      </c>
      <c r="Z104" s="11">
        <v>0</v>
      </c>
      <c r="AA104" s="11">
        <f>'Résidentiel-tertiaire'!D193</f>
        <v>0</v>
      </c>
      <c r="AB104" s="11">
        <f>'Résidentiel-tertiaire'!D194</f>
        <v>4.7386091332956921</v>
      </c>
      <c r="AC104" s="11">
        <v>0</v>
      </c>
      <c r="AD104" s="11">
        <v>0</v>
      </c>
      <c r="AE104" s="11">
        <f>SUM(V104:AD104)</f>
        <v>5.5585165407030992</v>
      </c>
    </row>
    <row r="105" spans="2:32">
      <c r="B105" s="22" t="s">
        <v>4</v>
      </c>
      <c r="C105" s="11">
        <v>0</v>
      </c>
      <c r="D105" s="11">
        <v>0</v>
      </c>
      <c r="E105" s="11">
        <f>Agriculture!J27</f>
        <v>0.33525059544456004</v>
      </c>
      <c r="F105" s="11">
        <v>0</v>
      </c>
      <c r="G105" s="11">
        <v>0</v>
      </c>
      <c r="H105" s="11"/>
      <c r="I105" s="11"/>
      <c r="J105" s="11"/>
      <c r="K105" s="11"/>
      <c r="L105" s="11"/>
      <c r="M105" s="11"/>
      <c r="N105" s="11"/>
      <c r="O105" s="11">
        <v>0</v>
      </c>
      <c r="P105" s="11">
        <f>Agriculture!J28</f>
        <v>0</v>
      </c>
      <c r="Q105" s="11">
        <v>0</v>
      </c>
      <c r="R105" s="11">
        <v>0</v>
      </c>
      <c r="S105" s="11">
        <f>SUM(C105:R105)</f>
        <v>0.33525059544456004</v>
      </c>
      <c r="T105" s="25">
        <f>[3]Agriculture!J29</f>
        <v>155.597883335208</v>
      </c>
      <c r="U105" s="22" t="s">
        <v>4</v>
      </c>
      <c r="V105" s="11">
        <v>0</v>
      </c>
      <c r="W105" s="11">
        <v>0</v>
      </c>
      <c r="X105" s="11">
        <f>Agriculture!M43</f>
        <v>0.26792114695340496</v>
      </c>
      <c r="Y105" s="11">
        <v>0</v>
      </c>
      <c r="Z105" s="11">
        <v>0</v>
      </c>
      <c r="AA105" s="11">
        <f>Agriculture!M45</f>
        <v>5.9896451612903218E-2</v>
      </c>
      <c r="AB105" s="11">
        <f>Agriculture!M44</f>
        <v>0</v>
      </c>
      <c r="AC105" s="11">
        <v>0</v>
      </c>
      <c r="AD105" s="11">
        <v>0</v>
      </c>
      <c r="AE105" s="11">
        <f>SUM(V105:AD105)</f>
        <v>0.32781759856630821</v>
      </c>
    </row>
    <row r="106" spans="2:32">
      <c r="B106" s="26" t="s">
        <v>45</v>
      </c>
      <c r="C106" s="19" t="e">
        <f>#REF!</f>
        <v>#REF!</v>
      </c>
      <c r="D106" s="19" t="e">
        <f>#REF!</f>
        <v>#REF!</v>
      </c>
      <c r="E106" s="19">
        <f t="shared" ref="E106:S106" si="9">SUM(E101:E105)</f>
        <v>41.018782163337264</v>
      </c>
      <c r="F106" s="19">
        <f t="shared" si="9"/>
        <v>0</v>
      </c>
      <c r="G106" s="19">
        <f t="shared" si="9"/>
        <v>0</v>
      </c>
      <c r="H106" s="19"/>
      <c r="I106" s="19"/>
      <c r="J106" s="19"/>
      <c r="K106" s="19"/>
      <c r="L106" s="19"/>
      <c r="M106" s="19"/>
      <c r="N106" s="19"/>
      <c r="O106" s="19">
        <f t="shared" si="9"/>
        <v>0</v>
      </c>
      <c r="P106" s="19">
        <f t="shared" si="9"/>
        <v>19.767736903803151</v>
      </c>
      <c r="Q106" s="19">
        <f t="shared" si="9"/>
        <v>0</v>
      </c>
      <c r="R106" s="19">
        <f t="shared" si="9"/>
        <v>0</v>
      </c>
      <c r="S106" s="19">
        <f t="shared" si="9"/>
        <v>60.786519067140418</v>
      </c>
      <c r="U106" s="26" t="s">
        <v>45</v>
      </c>
      <c r="V106" s="19" t="e">
        <f>#REF!</f>
        <v>#REF!</v>
      </c>
      <c r="W106" s="19" t="e">
        <f>#REF!</f>
        <v>#REF!</v>
      </c>
      <c r="X106" s="19">
        <f t="shared" ref="X106:AE106" si="10">SUM(X101:X105)</f>
        <v>38.465811298140615</v>
      </c>
      <c r="Y106" s="19">
        <f t="shared" si="10"/>
        <v>0</v>
      </c>
      <c r="Z106" s="19">
        <f t="shared" si="10"/>
        <v>0</v>
      </c>
      <c r="AA106" s="19">
        <f t="shared" si="10"/>
        <v>0.66137269682044331</v>
      </c>
      <c r="AB106" s="19">
        <f t="shared" si="10"/>
        <v>13.718343469771096</v>
      </c>
      <c r="AC106" s="19">
        <f t="shared" si="10"/>
        <v>0</v>
      </c>
      <c r="AD106" s="19">
        <f t="shared" si="10"/>
        <v>0</v>
      </c>
      <c r="AE106" s="19">
        <f t="shared" si="10"/>
        <v>52.84552746473215</v>
      </c>
    </row>
    <row r="107" spans="2:32">
      <c r="B107" s="26" t="s">
        <v>46</v>
      </c>
      <c r="C107" s="19">
        <v>0</v>
      </c>
      <c r="D107" s="19">
        <v>0</v>
      </c>
      <c r="E107" s="19">
        <f>Industrie!D37</f>
        <v>0</v>
      </c>
      <c r="F107" s="19">
        <v>0</v>
      </c>
      <c r="G107" s="19">
        <v>0</v>
      </c>
      <c r="H107" s="19"/>
      <c r="I107" s="19"/>
      <c r="J107" s="19"/>
      <c r="K107" s="19"/>
      <c r="L107" s="19"/>
      <c r="M107" s="19"/>
      <c r="N107" s="19"/>
      <c r="O107" s="19">
        <v>0</v>
      </c>
      <c r="P107" s="19">
        <v>0</v>
      </c>
      <c r="Q107" s="19">
        <v>0</v>
      </c>
      <c r="R107" s="19">
        <v>0</v>
      </c>
      <c r="S107" s="19">
        <f>SUM(C107:R107)</f>
        <v>0</v>
      </c>
      <c r="U107" s="26" t="s">
        <v>46</v>
      </c>
      <c r="V107" s="19">
        <v>0</v>
      </c>
      <c r="W107" s="19">
        <v>0</v>
      </c>
      <c r="X107" s="19">
        <f>Industrie!D59</f>
        <v>0</v>
      </c>
      <c r="Y107" s="19">
        <v>0</v>
      </c>
      <c r="Z107" s="19">
        <v>0</v>
      </c>
      <c r="AA107" s="19">
        <f>Industrie!D61</f>
        <v>0</v>
      </c>
      <c r="AB107" s="19">
        <v>0</v>
      </c>
      <c r="AC107" s="19">
        <v>0</v>
      </c>
      <c r="AD107" s="19">
        <v>0</v>
      </c>
      <c r="AE107" s="19">
        <f>SUM(V107:AD107)</f>
        <v>0</v>
      </c>
    </row>
    <row r="108" spans="2:32">
      <c r="B108" s="24" t="s">
        <v>47</v>
      </c>
      <c r="C108" s="15" t="e">
        <f>#REF!</f>
        <v>#REF!</v>
      </c>
      <c r="D108" s="15" t="e">
        <f>#REF!</f>
        <v>#REF!</v>
      </c>
      <c r="E108" s="15">
        <f t="shared" ref="E108:S108" si="11">SUM(E106:E107)</f>
        <v>41.018782163337264</v>
      </c>
      <c r="F108" s="15">
        <f t="shared" si="11"/>
        <v>0</v>
      </c>
      <c r="G108" s="15">
        <f t="shared" si="11"/>
        <v>0</v>
      </c>
      <c r="H108" s="15"/>
      <c r="I108" s="15"/>
      <c r="J108" s="15"/>
      <c r="K108" s="15"/>
      <c r="L108" s="15"/>
      <c r="M108" s="15"/>
      <c r="N108" s="15"/>
      <c r="O108" s="15">
        <f t="shared" si="11"/>
        <v>0</v>
      </c>
      <c r="P108" s="15">
        <f t="shared" si="11"/>
        <v>19.767736903803151</v>
      </c>
      <c r="Q108" s="15">
        <f t="shared" si="11"/>
        <v>0</v>
      </c>
      <c r="R108" s="15">
        <f t="shared" si="11"/>
        <v>0</v>
      </c>
      <c r="S108" s="15">
        <f t="shared" si="11"/>
        <v>60.786519067140418</v>
      </c>
      <c r="T108" s="27" t="e">
        <f>SUM(C108:R108)</f>
        <v>#REF!</v>
      </c>
      <c r="U108" s="24" t="s">
        <v>47</v>
      </c>
      <c r="V108" s="15" t="e">
        <f>#REF!</f>
        <v>#REF!</v>
      </c>
      <c r="W108" s="15" t="e">
        <f>#REF!</f>
        <v>#REF!</v>
      </c>
      <c r="X108" s="15">
        <f t="shared" ref="X108:AE108" si="12">SUM(X106:X107)</f>
        <v>38.465811298140615</v>
      </c>
      <c r="Y108" s="15">
        <f t="shared" si="12"/>
        <v>0</v>
      </c>
      <c r="Z108" s="15">
        <f t="shared" si="12"/>
        <v>0</v>
      </c>
      <c r="AA108" s="15">
        <f t="shared" si="12"/>
        <v>0.66137269682044331</v>
      </c>
      <c r="AB108" s="15">
        <f t="shared" si="12"/>
        <v>13.718343469771096</v>
      </c>
      <c r="AC108" s="15">
        <f t="shared" si="12"/>
        <v>0</v>
      </c>
      <c r="AD108" s="15">
        <f t="shared" si="12"/>
        <v>0</v>
      </c>
      <c r="AE108" s="15">
        <f t="shared" si="12"/>
        <v>52.84552746473215</v>
      </c>
      <c r="AF108" s="27" t="e">
        <f>SUM(V108:AD108)</f>
        <v>#REF!</v>
      </c>
    </row>
    <row r="111" spans="2:32">
      <c r="AA111" s="233">
        <f>AB95-AC95</f>
        <v>-14.845004971152541</v>
      </c>
    </row>
    <row r="114" spans="2:31">
      <c r="C114" s="4" t="s">
        <v>54</v>
      </c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 t="s">
        <v>54</v>
      </c>
      <c r="W114" s="4"/>
    </row>
    <row r="115" spans="2:31" ht="43.2">
      <c r="B115" s="20">
        <v>2030</v>
      </c>
      <c r="C115" s="7" t="s">
        <v>14</v>
      </c>
      <c r="D115" s="7" t="s">
        <v>15</v>
      </c>
      <c r="E115" s="7" t="s">
        <v>16</v>
      </c>
      <c r="F115" s="7" t="s">
        <v>17</v>
      </c>
      <c r="G115" s="7" t="s">
        <v>18</v>
      </c>
      <c r="H115" s="222"/>
      <c r="I115" s="222"/>
      <c r="J115" s="222"/>
      <c r="K115" s="222"/>
      <c r="L115" s="222"/>
      <c r="M115" s="222"/>
      <c r="N115" s="222"/>
      <c r="O115" s="7" t="s">
        <v>19</v>
      </c>
      <c r="P115" s="7" t="s">
        <v>20</v>
      </c>
      <c r="Q115" s="7" t="s">
        <v>21</v>
      </c>
      <c r="R115" s="7"/>
      <c r="S115" s="7" t="s">
        <v>23</v>
      </c>
      <c r="U115" s="21">
        <v>2030</v>
      </c>
      <c r="V115" s="7" t="s">
        <v>14</v>
      </c>
      <c r="W115" s="7" t="s">
        <v>15</v>
      </c>
      <c r="X115" s="7" t="s">
        <v>16</v>
      </c>
      <c r="Y115" s="7" t="s">
        <v>17</v>
      </c>
      <c r="Z115" s="7" t="s">
        <v>18</v>
      </c>
      <c r="AA115" s="7" t="s">
        <v>19</v>
      </c>
      <c r="AB115" s="7" t="s">
        <v>20</v>
      </c>
      <c r="AC115" s="7" t="s">
        <v>21</v>
      </c>
      <c r="AD115" s="7"/>
      <c r="AE115" s="7" t="s">
        <v>23</v>
      </c>
    </row>
    <row r="116" spans="2:31">
      <c r="B116" s="22" t="s">
        <v>24</v>
      </c>
      <c r="C116" s="11">
        <v>0</v>
      </c>
      <c r="D116" s="11">
        <v>0</v>
      </c>
      <c r="E116" s="11">
        <v>0</v>
      </c>
      <c r="F116" s="11">
        <v>0</v>
      </c>
      <c r="G116" s="11">
        <v>0</v>
      </c>
      <c r="H116" s="11"/>
      <c r="I116" s="11"/>
      <c r="J116" s="11"/>
      <c r="K116" s="11"/>
      <c r="L116" s="11"/>
      <c r="M116" s="11"/>
      <c r="N116" s="11"/>
      <c r="O116" s="11">
        <v>0</v>
      </c>
      <c r="P116" s="11">
        <v>0</v>
      </c>
      <c r="Q116" s="11">
        <v>0</v>
      </c>
      <c r="R116" s="11">
        <v>0</v>
      </c>
      <c r="S116" s="11">
        <f>SUM(C116:R116)</f>
        <v>0</v>
      </c>
      <c r="U116" s="22" t="s">
        <v>24</v>
      </c>
      <c r="V116" s="11">
        <v>0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11">
        <v>0</v>
      </c>
      <c r="AC116" s="11">
        <v>0</v>
      </c>
      <c r="AD116" s="11">
        <v>0</v>
      </c>
      <c r="AE116" s="11">
        <f>SUM(V116:AD116)</f>
        <v>0</v>
      </c>
    </row>
    <row r="117" spans="2:31">
      <c r="B117" s="22" t="s">
        <v>25</v>
      </c>
      <c r="C117" s="11">
        <v>0</v>
      </c>
      <c r="D117" s="11">
        <v>0</v>
      </c>
      <c r="E117" s="11">
        <v>0</v>
      </c>
      <c r="F117" s="11">
        <v>0</v>
      </c>
      <c r="G117" s="11">
        <v>0</v>
      </c>
      <c r="H117" s="11"/>
      <c r="I117" s="11"/>
      <c r="J117" s="11"/>
      <c r="K117" s="11"/>
      <c r="L117" s="11"/>
      <c r="M117" s="11"/>
      <c r="N117" s="11"/>
      <c r="O117" s="11">
        <v>0</v>
      </c>
      <c r="P117" s="11">
        <v>0</v>
      </c>
      <c r="Q117" s="11">
        <v>0</v>
      </c>
      <c r="R117" s="11">
        <v>0</v>
      </c>
      <c r="S117" s="11">
        <f t="shared" ref="S117:S125" si="13">SUM(C117:R117)</f>
        <v>0</v>
      </c>
      <c r="U117" s="22" t="s">
        <v>25</v>
      </c>
      <c r="V117" s="11">
        <v>0</v>
      </c>
      <c r="W117" s="11">
        <v>0</v>
      </c>
      <c r="X117" s="11">
        <v>0</v>
      </c>
      <c r="Y117" s="11">
        <v>0</v>
      </c>
      <c r="Z117" s="11">
        <v>0</v>
      </c>
      <c r="AA117" s="11">
        <v>0</v>
      </c>
      <c r="AB117" s="11">
        <v>0</v>
      </c>
      <c r="AC117" s="11">
        <v>0</v>
      </c>
      <c r="AD117" s="11">
        <v>0</v>
      </c>
      <c r="AE117" s="11">
        <f t="shared" ref="AE117:AE124" si="14">SUM(V117:AD117)</f>
        <v>0</v>
      </c>
    </row>
    <row r="118" spans="2:31">
      <c r="B118" s="22" t="s">
        <v>26</v>
      </c>
      <c r="C118" s="11">
        <v>0</v>
      </c>
      <c r="D118" s="11">
        <v>0</v>
      </c>
      <c r="E118" s="11">
        <v>0</v>
      </c>
      <c r="F118" s="11">
        <v>0</v>
      </c>
      <c r="G118" s="11">
        <v>0</v>
      </c>
      <c r="H118" s="11"/>
      <c r="I118" s="11"/>
      <c r="J118" s="11"/>
      <c r="K118" s="11"/>
      <c r="L118" s="11"/>
      <c r="M118" s="11"/>
      <c r="N118" s="11"/>
      <c r="O118" s="11">
        <v>0</v>
      </c>
      <c r="P118" s="11">
        <v>0</v>
      </c>
      <c r="Q118" s="11">
        <v>0</v>
      </c>
      <c r="R118" s="11">
        <v>0</v>
      </c>
      <c r="S118" s="11">
        <f t="shared" si="13"/>
        <v>0</v>
      </c>
      <c r="U118" s="22" t="s">
        <v>26</v>
      </c>
      <c r="V118" s="11">
        <v>0</v>
      </c>
      <c r="W118" s="11">
        <v>0</v>
      </c>
      <c r="X118" s="11">
        <v>0</v>
      </c>
      <c r="Y118" s="11">
        <v>0</v>
      </c>
      <c r="Z118" s="11">
        <v>0</v>
      </c>
      <c r="AA118" s="11">
        <v>0</v>
      </c>
      <c r="AB118" s="11">
        <v>0</v>
      </c>
      <c r="AC118" s="11">
        <v>0</v>
      </c>
      <c r="AD118" s="11">
        <v>0</v>
      </c>
      <c r="AE118" s="11">
        <f t="shared" si="14"/>
        <v>0</v>
      </c>
    </row>
    <row r="119" spans="2:31">
      <c r="B119" s="22" t="s">
        <v>27</v>
      </c>
      <c r="C119" s="11">
        <v>0</v>
      </c>
      <c r="D119" s="11">
        <v>0</v>
      </c>
      <c r="E119" s="11">
        <v>0</v>
      </c>
      <c r="F119" s="11">
        <v>0</v>
      </c>
      <c r="G119" s="11">
        <v>0</v>
      </c>
      <c r="H119" s="11"/>
      <c r="I119" s="11"/>
      <c r="J119" s="11"/>
      <c r="K119" s="11"/>
      <c r="L119" s="11"/>
      <c r="M119" s="11"/>
      <c r="N119" s="11"/>
      <c r="O119" s="11">
        <v>0</v>
      </c>
      <c r="P119" s="11">
        <v>0</v>
      </c>
      <c r="Q119" s="11">
        <v>0</v>
      </c>
      <c r="R119" s="11">
        <v>0</v>
      </c>
      <c r="S119" s="11">
        <f t="shared" si="13"/>
        <v>0</v>
      </c>
      <c r="U119" s="22" t="s">
        <v>27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11">
        <v>0</v>
      </c>
      <c r="AC119" s="11">
        <v>0</v>
      </c>
      <c r="AD119" s="11">
        <v>0</v>
      </c>
      <c r="AE119" s="11">
        <f t="shared" si="14"/>
        <v>0</v>
      </c>
    </row>
    <row r="120" spans="2:31">
      <c r="B120" s="22" t="s">
        <v>28</v>
      </c>
      <c r="C120" s="11">
        <v>0</v>
      </c>
      <c r="D120" s="11">
        <v>0</v>
      </c>
      <c r="E120" s="11">
        <v>0</v>
      </c>
      <c r="F120" s="11">
        <v>0</v>
      </c>
      <c r="G120" s="11">
        <v>0</v>
      </c>
      <c r="H120" s="11"/>
      <c r="I120" s="11"/>
      <c r="J120" s="11"/>
      <c r="K120" s="11"/>
      <c r="L120" s="11"/>
      <c r="M120" s="11"/>
      <c r="N120" s="11"/>
      <c r="O120" s="11">
        <v>0</v>
      </c>
      <c r="P120" s="11">
        <v>0</v>
      </c>
      <c r="Q120" s="11">
        <v>0</v>
      </c>
      <c r="R120" s="11">
        <v>0</v>
      </c>
      <c r="S120" s="11">
        <f t="shared" si="13"/>
        <v>0</v>
      </c>
      <c r="U120" s="22" t="s">
        <v>28</v>
      </c>
      <c r="V120" s="11">
        <v>0</v>
      </c>
      <c r="W120" s="11">
        <v>0</v>
      </c>
      <c r="X120" s="11">
        <v>0</v>
      </c>
      <c r="Y120" s="11">
        <v>0</v>
      </c>
      <c r="Z120" s="11">
        <v>0</v>
      </c>
      <c r="AA120" s="11">
        <v>0</v>
      </c>
      <c r="AB120" s="11">
        <v>0</v>
      </c>
      <c r="AC120" s="11">
        <v>0</v>
      </c>
      <c r="AD120" s="11">
        <v>0</v>
      </c>
      <c r="AE120" s="11">
        <f t="shared" si="14"/>
        <v>0</v>
      </c>
    </row>
    <row r="121" spans="2:31">
      <c r="B121" s="22" t="s">
        <v>29</v>
      </c>
      <c r="C121" s="11">
        <v>0</v>
      </c>
      <c r="D121" s="11">
        <v>0</v>
      </c>
      <c r="E121" s="11">
        <v>0</v>
      </c>
      <c r="F121" s="11">
        <v>0</v>
      </c>
      <c r="G121" s="11">
        <v>0</v>
      </c>
      <c r="H121" s="11"/>
      <c r="I121" s="11"/>
      <c r="J121" s="11"/>
      <c r="K121" s="11"/>
      <c r="L121" s="11"/>
      <c r="M121" s="11"/>
      <c r="N121" s="11"/>
      <c r="O121" s="11">
        <v>0</v>
      </c>
      <c r="P121" s="11">
        <v>0</v>
      </c>
      <c r="Q121" s="11">
        <v>0</v>
      </c>
      <c r="R121" s="11">
        <v>0</v>
      </c>
      <c r="S121" s="11">
        <f t="shared" si="13"/>
        <v>0</v>
      </c>
      <c r="U121" s="22" t="s">
        <v>29</v>
      </c>
      <c r="V121" s="11">
        <v>0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11">
        <v>0</v>
      </c>
      <c r="AC121" s="11">
        <v>0</v>
      </c>
      <c r="AD121" s="11">
        <v>0</v>
      </c>
      <c r="AE121" s="11">
        <f t="shared" si="14"/>
        <v>0</v>
      </c>
    </row>
    <row r="122" spans="2:31">
      <c r="B122" s="22" t="s">
        <v>30</v>
      </c>
      <c r="C122" s="11">
        <v>0</v>
      </c>
      <c r="D122" s="11">
        <v>0</v>
      </c>
      <c r="E122" s="11">
        <v>0</v>
      </c>
      <c r="F122" s="11">
        <v>0</v>
      </c>
      <c r="G122" s="11">
        <v>0</v>
      </c>
      <c r="H122" s="11"/>
      <c r="I122" s="11"/>
      <c r="J122" s="11"/>
      <c r="K122" s="11"/>
      <c r="L122" s="11"/>
      <c r="M122" s="11"/>
      <c r="N122" s="11"/>
      <c r="O122" s="11">
        <v>0</v>
      </c>
      <c r="P122" s="11">
        <v>0</v>
      </c>
      <c r="Q122" s="11">
        <v>0</v>
      </c>
      <c r="R122" s="11">
        <v>0</v>
      </c>
      <c r="S122" s="11">
        <f t="shared" si="13"/>
        <v>0</v>
      </c>
      <c r="U122" s="22" t="s">
        <v>30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>
        <v>0</v>
      </c>
      <c r="AC122" s="11">
        <v>0</v>
      </c>
      <c r="AD122" s="11">
        <v>0</v>
      </c>
      <c r="AE122" s="11">
        <f t="shared" si="14"/>
        <v>0</v>
      </c>
    </row>
    <row r="123" spans="2:31">
      <c r="B123" s="22" t="s">
        <v>31</v>
      </c>
      <c r="C123" s="11">
        <v>0</v>
      </c>
      <c r="D123" s="11">
        <v>0</v>
      </c>
      <c r="E123" s="11">
        <v>0</v>
      </c>
      <c r="F123" s="11">
        <v>0</v>
      </c>
      <c r="G123" s="11">
        <v>0</v>
      </c>
      <c r="H123" s="11"/>
      <c r="I123" s="11"/>
      <c r="J123" s="11"/>
      <c r="K123" s="11"/>
      <c r="L123" s="11"/>
      <c r="M123" s="11"/>
      <c r="N123" s="11"/>
      <c r="O123" s="11">
        <v>0</v>
      </c>
      <c r="P123" s="11">
        <v>0</v>
      </c>
      <c r="Q123" s="11">
        <v>0</v>
      </c>
      <c r="R123" s="11">
        <v>0</v>
      </c>
      <c r="S123" s="11">
        <f t="shared" si="13"/>
        <v>0</v>
      </c>
      <c r="U123" s="22" t="s">
        <v>31</v>
      </c>
      <c r="V123" s="11">
        <v>0</v>
      </c>
      <c r="W123" s="11">
        <v>0</v>
      </c>
      <c r="X123" s="11">
        <v>0</v>
      </c>
      <c r="Y123" s="11">
        <v>0</v>
      </c>
      <c r="Z123" s="11">
        <v>0</v>
      </c>
      <c r="AA123" s="11">
        <v>0</v>
      </c>
      <c r="AB123" s="11">
        <v>0</v>
      </c>
      <c r="AC123" s="11">
        <v>0</v>
      </c>
      <c r="AD123" s="11">
        <v>0</v>
      </c>
      <c r="AE123" s="11">
        <f t="shared" si="14"/>
        <v>0</v>
      </c>
    </row>
    <row r="124" spans="2:31">
      <c r="B124" s="22" t="s">
        <v>32</v>
      </c>
      <c r="C124" s="11">
        <v>0</v>
      </c>
      <c r="D124" s="11">
        <v>0</v>
      </c>
      <c r="E124" s="23">
        <v>0</v>
      </c>
      <c r="F124" s="11">
        <v>0</v>
      </c>
      <c r="G124" s="11">
        <v>0</v>
      </c>
      <c r="H124" s="11"/>
      <c r="I124" s="11"/>
      <c r="J124" s="11"/>
      <c r="K124" s="11"/>
      <c r="L124" s="11"/>
      <c r="M124" s="11"/>
      <c r="N124" s="11"/>
      <c r="O124" s="11">
        <v>0</v>
      </c>
      <c r="P124" s="11">
        <v>0</v>
      </c>
      <c r="Q124" s="11">
        <v>0</v>
      </c>
      <c r="R124" s="11">
        <v>0</v>
      </c>
      <c r="S124" s="11">
        <f t="shared" si="13"/>
        <v>0</v>
      </c>
      <c r="U124" s="22" t="s">
        <v>32</v>
      </c>
      <c r="V124" s="11">
        <v>0</v>
      </c>
      <c r="W124" s="11">
        <v>0</v>
      </c>
      <c r="X124" s="23">
        <v>0</v>
      </c>
      <c r="Y124" s="11">
        <v>0</v>
      </c>
      <c r="Z124" s="11">
        <v>0</v>
      </c>
      <c r="AA124" s="11">
        <v>0</v>
      </c>
      <c r="AB124" s="11">
        <v>0</v>
      </c>
      <c r="AC124" s="11">
        <v>0</v>
      </c>
      <c r="AD124" s="11">
        <v>0</v>
      </c>
      <c r="AE124" s="11">
        <f t="shared" si="14"/>
        <v>0</v>
      </c>
    </row>
    <row r="125" spans="2:31">
      <c r="B125" s="24" t="s">
        <v>33</v>
      </c>
      <c r="C125" s="15">
        <f>C116+C120+C121+C122+C123+C124</f>
        <v>0</v>
      </c>
      <c r="D125" s="15">
        <f t="shared" ref="D125:R125" si="15">D116+D120+D121+D122+D123+D124</f>
        <v>0</v>
      </c>
      <c r="E125" s="15">
        <f t="shared" si="15"/>
        <v>0</v>
      </c>
      <c r="F125" s="15">
        <f t="shared" si="15"/>
        <v>0</v>
      </c>
      <c r="G125" s="15">
        <f t="shared" si="15"/>
        <v>0</v>
      </c>
      <c r="H125" s="15">
        <f t="shared" si="15"/>
        <v>0</v>
      </c>
      <c r="I125" s="15">
        <f t="shared" si="15"/>
        <v>0</v>
      </c>
      <c r="J125" s="15">
        <f t="shared" si="15"/>
        <v>0</v>
      </c>
      <c r="K125" s="15">
        <f t="shared" si="15"/>
        <v>0</v>
      </c>
      <c r="L125" s="15">
        <f t="shared" si="15"/>
        <v>0</v>
      </c>
      <c r="M125" s="15">
        <f t="shared" si="15"/>
        <v>0</v>
      </c>
      <c r="N125" s="15">
        <f t="shared" si="15"/>
        <v>0</v>
      </c>
      <c r="O125" s="15">
        <f t="shared" si="15"/>
        <v>0</v>
      </c>
      <c r="P125" s="15">
        <f t="shared" si="15"/>
        <v>0</v>
      </c>
      <c r="Q125" s="15">
        <f t="shared" si="15"/>
        <v>0</v>
      </c>
      <c r="R125" s="15">
        <f t="shared" si="15"/>
        <v>0</v>
      </c>
      <c r="S125" s="15">
        <f t="shared" si="13"/>
        <v>0</v>
      </c>
      <c r="U125" s="24" t="s">
        <v>33</v>
      </c>
      <c r="V125" s="15">
        <f>V116+V120+V121+V122+V123+V124</f>
        <v>0</v>
      </c>
      <c r="W125" s="15">
        <f t="shared" ref="W125:AD125" si="16">W116+W120+W121+W122+W123+W124</f>
        <v>0</v>
      </c>
      <c r="X125" s="15">
        <f t="shared" si="16"/>
        <v>0</v>
      </c>
      <c r="Y125" s="15">
        <f t="shared" si="16"/>
        <v>0</v>
      </c>
      <c r="Z125" s="15">
        <f t="shared" si="16"/>
        <v>0</v>
      </c>
      <c r="AA125" s="15">
        <f t="shared" si="16"/>
        <v>0</v>
      </c>
      <c r="AB125" s="15">
        <f t="shared" si="16"/>
        <v>0</v>
      </c>
      <c r="AC125" s="15">
        <f t="shared" si="16"/>
        <v>0</v>
      </c>
      <c r="AD125" s="15">
        <f t="shared" si="16"/>
        <v>0</v>
      </c>
      <c r="AE125" s="15">
        <f>SUM(V125:AD125)</f>
        <v>0</v>
      </c>
    </row>
    <row r="126" spans="2:31">
      <c r="B126" s="22" t="s">
        <v>34</v>
      </c>
      <c r="C126" s="11">
        <v>0</v>
      </c>
      <c r="D126" s="11">
        <v>0</v>
      </c>
      <c r="E126" s="11">
        <v>0</v>
      </c>
      <c r="F126" s="11">
        <v>0</v>
      </c>
      <c r="G126" s="11">
        <v>0</v>
      </c>
      <c r="H126" s="11"/>
      <c r="I126" s="11"/>
      <c r="J126" s="11"/>
      <c r="K126" s="11"/>
      <c r="L126" s="11"/>
      <c r="M126" s="11"/>
      <c r="N126" s="11"/>
      <c r="O126" s="11">
        <v>0</v>
      </c>
      <c r="P126" s="11">
        <v>0</v>
      </c>
      <c r="Q126" s="11">
        <v>0</v>
      </c>
      <c r="R126" s="11">
        <v>0</v>
      </c>
      <c r="S126" s="11">
        <f t="shared" ref="S126:S133" si="17">SUM(C126:R126)</f>
        <v>0</v>
      </c>
      <c r="U126" s="22" t="s">
        <v>34</v>
      </c>
      <c r="V126" s="11">
        <v>0</v>
      </c>
      <c r="W126" s="11">
        <v>0</v>
      </c>
      <c r="X126" s="11">
        <v>0</v>
      </c>
      <c r="Y126" s="11">
        <v>0</v>
      </c>
      <c r="Z126" s="11">
        <v>0</v>
      </c>
      <c r="AA126" s="11">
        <v>0</v>
      </c>
      <c r="AB126" s="11">
        <v>0</v>
      </c>
      <c r="AC126" s="11">
        <v>0</v>
      </c>
      <c r="AD126" s="11">
        <v>0</v>
      </c>
      <c r="AE126" s="11">
        <f t="shared" ref="AE126:AE133" si="18">SUM(V126:AD126)</f>
        <v>0</v>
      </c>
    </row>
    <row r="127" spans="2:31">
      <c r="B127" s="22" t="s">
        <v>35</v>
      </c>
      <c r="C127" s="11">
        <f>(P127-Q127)*$X$48*('Prod Energie'!E32)</f>
        <v>0</v>
      </c>
      <c r="D127" s="11">
        <v>0</v>
      </c>
      <c r="E127" s="11">
        <f>(P127-Q127)*$X$48*('Prod Energie'!E33)</f>
        <v>17.735104389645006</v>
      </c>
      <c r="F127" s="11">
        <v>0</v>
      </c>
      <c r="G127" s="11">
        <f>(P127-Q127)*$X$48*('Prod Energie'!E40+'Prod Energie'!D39)</f>
        <v>7.3993794942642079</v>
      </c>
      <c r="H127" s="11"/>
      <c r="I127" s="11"/>
      <c r="J127" s="11"/>
      <c r="K127" s="11"/>
      <c r="L127" s="11"/>
      <c r="M127" s="11"/>
      <c r="N127" s="11"/>
      <c r="O127" s="11">
        <f>(P127-Q127)*$X$48*('Prod Energie'!E38)</f>
        <v>9.546534558983053</v>
      </c>
      <c r="P127" s="11">
        <f>P132/(1+$P$48+$Q$48)</f>
        <v>-21.039574326455824</v>
      </c>
      <c r="Q127" s="11">
        <f>Q132/(1+$D$48)</f>
        <v>0</v>
      </c>
      <c r="R127" s="11">
        <v>0</v>
      </c>
      <c r="S127" s="11">
        <f t="shared" si="17"/>
        <v>13.641444116436443</v>
      </c>
      <c r="U127" s="22" t="s">
        <v>35</v>
      </c>
      <c r="V127" s="11">
        <f>(AB127-AC127)*$X$48*('Prod Energie'!E53)</f>
        <v>0</v>
      </c>
      <c r="W127" s="11">
        <v>0</v>
      </c>
      <c r="X127" s="11">
        <f>(AB127-AC127)*$X$48*('Prod Energie'!E54)</f>
        <v>12.837407437668379</v>
      </c>
      <c r="Y127" s="11">
        <v>0</v>
      </c>
      <c r="Z127" s="11">
        <f>(AB127-AC127)*$X$48*('Prod Energie'!E61+'Prod Energie'!D60)</f>
        <v>5.3559791511156467</v>
      </c>
      <c r="AA127" s="11">
        <f>(AB127-AC127)*$X$48*('Prod Energie'!E59)</f>
        <v>6.9101794417969229</v>
      </c>
      <c r="AB127" s="11">
        <f>AB132/(1+$P$48+$Q$48)</f>
        <v>-15.229320448856237</v>
      </c>
      <c r="AC127" s="11">
        <f>AC132/(1+$D$48)</f>
        <v>0</v>
      </c>
      <c r="AD127" s="11">
        <v>0</v>
      </c>
      <c r="AE127" s="11">
        <f t="shared" si="18"/>
        <v>9.874245581724713</v>
      </c>
    </row>
    <row r="128" spans="2:31">
      <c r="B128" s="22" t="s">
        <v>36</v>
      </c>
      <c r="C128" s="11">
        <v>0</v>
      </c>
      <c r="D128" s="11">
        <v>0</v>
      </c>
      <c r="E128" s="11">
        <v>0</v>
      </c>
      <c r="F128" s="11">
        <v>0</v>
      </c>
      <c r="G128" s="11">
        <v>0</v>
      </c>
      <c r="H128" s="11"/>
      <c r="I128" s="11"/>
      <c r="J128" s="11"/>
      <c r="K128" s="11"/>
      <c r="L128" s="11"/>
      <c r="M128" s="11"/>
      <c r="N128" s="11"/>
      <c r="O128" s="11">
        <v>0</v>
      </c>
      <c r="P128" s="11">
        <v>0</v>
      </c>
      <c r="Q128" s="11">
        <v>0</v>
      </c>
      <c r="R128" s="11">
        <v>0</v>
      </c>
      <c r="S128" s="11">
        <f t="shared" si="17"/>
        <v>0</v>
      </c>
      <c r="U128" s="22" t="s">
        <v>36</v>
      </c>
      <c r="V128" s="11">
        <v>0</v>
      </c>
      <c r="W128" s="11">
        <v>0</v>
      </c>
      <c r="X128" s="11">
        <v>0</v>
      </c>
      <c r="Y128" s="11">
        <v>0</v>
      </c>
      <c r="Z128" s="11">
        <v>0</v>
      </c>
      <c r="AA128" s="11">
        <v>0</v>
      </c>
      <c r="AB128" s="11">
        <v>0</v>
      </c>
      <c r="AC128" s="11">
        <v>0</v>
      </c>
      <c r="AD128" s="11">
        <v>0</v>
      </c>
      <c r="AE128" s="11">
        <f t="shared" si="18"/>
        <v>0</v>
      </c>
    </row>
    <row r="129" spans="2:32">
      <c r="B129" s="22" t="s">
        <v>37</v>
      </c>
      <c r="C129" s="11">
        <v>0</v>
      </c>
      <c r="D129" s="11">
        <v>0</v>
      </c>
      <c r="E129" s="11">
        <v>0</v>
      </c>
      <c r="F129" s="11">
        <v>0</v>
      </c>
      <c r="G129" s="11">
        <v>0</v>
      </c>
      <c r="H129" s="11"/>
      <c r="I129" s="11"/>
      <c r="J129" s="11"/>
      <c r="K129" s="11"/>
      <c r="L129" s="11"/>
      <c r="M129" s="11"/>
      <c r="N129" s="11"/>
      <c r="O129" s="11">
        <v>0</v>
      </c>
      <c r="P129" s="11">
        <v>0</v>
      </c>
      <c r="Q129" s="11">
        <v>0</v>
      </c>
      <c r="R129" s="11">
        <v>0</v>
      </c>
      <c r="S129" s="11">
        <f t="shared" si="17"/>
        <v>0</v>
      </c>
      <c r="U129" s="22" t="s">
        <v>37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11">
        <v>0</v>
      </c>
      <c r="AC129" s="11">
        <v>0</v>
      </c>
      <c r="AD129" s="11">
        <v>0</v>
      </c>
      <c r="AE129" s="11">
        <f t="shared" si="18"/>
        <v>0</v>
      </c>
    </row>
    <row r="130" spans="2:32">
      <c r="B130" s="22" t="s">
        <v>38</v>
      </c>
      <c r="C130" s="11">
        <v>0</v>
      </c>
      <c r="D130" s="11">
        <v>0</v>
      </c>
      <c r="E130" s="11">
        <v>0</v>
      </c>
      <c r="F130" s="11">
        <v>0</v>
      </c>
      <c r="G130" s="11">
        <v>0</v>
      </c>
      <c r="H130" s="11"/>
      <c r="I130" s="11"/>
      <c r="J130" s="11"/>
      <c r="K130" s="11"/>
      <c r="L130" s="11"/>
      <c r="M130" s="11"/>
      <c r="N130" s="11"/>
      <c r="O130" s="11">
        <v>0</v>
      </c>
      <c r="P130" s="11">
        <f>P127*$P$48</f>
        <v>0.25123979461850993</v>
      </c>
      <c r="Q130" s="11">
        <v>0</v>
      </c>
      <c r="R130" s="11">
        <v>0</v>
      </c>
      <c r="S130" s="11">
        <f t="shared" si="17"/>
        <v>0.25123979461850993</v>
      </c>
      <c r="U130" s="22" t="s">
        <v>38</v>
      </c>
      <c r="V130" s="11">
        <v>0</v>
      </c>
      <c r="W130" s="11">
        <v>0</v>
      </c>
      <c r="X130" s="11">
        <v>0</v>
      </c>
      <c r="Y130" s="11">
        <v>0</v>
      </c>
      <c r="Z130" s="11">
        <v>0</v>
      </c>
      <c r="AA130" s="11">
        <v>0</v>
      </c>
      <c r="AB130" s="11">
        <f>AB127*$P$48</f>
        <v>0.18185783050462745</v>
      </c>
      <c r="AC130" s="11">
        <v>0</v>
      </c>
      <c r="AD130" s="11">
        <v>0</v>
      </c>
      <c r="AE130" s="11">
        <f t="shared" si="18"/>
        <v>0.18185783050462745</v>
      </c>
    </row>
    <row r="131" spans="2:32">
      <c r="B131" s="22" t="s">
        <v>39</v>
      </c>
      <c r="C131" s="11">
        <v>0</v>
      </c>
      <c r="D131" s="11">
        <v>0</v>
      </c>
      <c r="E131" s="11">
        <v>0</v>
      </c>
      <c r="F131" s="11">
        <v>0</v>
      </c>
      <c r="G131" s="11">
        <v>0</v>
      </c>
      <c r="H131" s="11"/>
      <c r="I131" s="11"/>
      <c r="J131" s="11"/>
      <c r="K131" s="11"/>
      <c r="L131" s="11"/>
      <c r="M131" s="11"/>
      <c r="N131" s="11"/>
      <c r="O131" s="11">
        <v>0</v>
      </c>
      <c r="P131" s="11">
        <f>P127*$Q$48</f>
        <v>1.3455584850139197</v>
      </c>
      <c r="Q131" s="11">
        <f>Q127*$D$48</f>
        <v>0</v>
      </c>
      <c r="R131" s="11">
        <v>0</v>
      </c>
      <c r="S131" s="11">
        <f t="shared" si="17"/>
        <v>1.3455584850139197</v>
      </c>
      <c r="U131" s="22" t="s">
        <v>39</v>
      </c>
      <c r="V131" s="11">
        <v>0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11">
        <f>AB127*$Q$48</f>
        <v>0.97397129015045203</v>
      </c>
      <c r="AC131" s="11">
        <f>AC127*$D$48</f>
        <v>0</v>
      </c>
      <c r="AD131" s="11">
        <v>0</v>
      </c>
      <c r="AE131" s="11">
        <f t="shared" si="18"/>
        <v>0.97397129015045203</v>
      </c>
    </row>
    <row r="132" spans="2:32">
      <c r="B132" s="24" t="s">
        <v>40</v>
      </c>
      <c r="C132" s="15">
        <f t="shared" ref="C132:O132" si="19">SUM(C126:C131)</f>
        <v>0</v>
      </c>
      <c r="D132" s="15">
        <f t="shared" si="19"/>
        <v>0</v>
      </c>
      <c r="E132" s="15">
        <f t="shared" si="19"/>
        <v>17.735104389645006</v>
      </c>
      <c r="F132" s="15">
        <f t="shared" si="19"/>
        <v>0</v>
      </c>
      <c r="G132" s="15">
        <f t="shared" si="19"/>
        <v>7.3993794942642079</v>
      </c>
      <c r="H132" s="15"/>
      <c r="I132" s="15"/>
      <c r="J132" s="15"/>
      <c r="K132" s="15"/>
      <c r="L132" s="15"/>
      <c r="M132" s="15"/>
      <c r="N132" s="15"/>
      <c r="O132" s="15">
        <f t="shared" si="19"/>
        <v>9.546534558983053</v>
      </c>
      <c r="P132" s="15">
        <f>-P140</f>
        <v>-19.442776046823393</v>
      </c>
      <c r="Q132" s="15">
        <f>-Q140</f>
        <v>0</v>
      </c>
      <c r="R132" s="15">
        <v>0</v>
      </c>
      <c r="S132" s="15">
        <f t="shared" si="17"/>
        <v>15.238242396068873</v>
      </c>
      <c r="U132" s="24" t="s">
        <v>40</v>
      </c>
      <c r="V132" s="15">
        <f t="shared" ref="V132:AA132" si="20">SUM(V126:V131)</f>
        <v>0</v>
      </c>
      <c r="W132" s="15">
        <f t="shared" si="20"/>
        <v>0</v>
      </c>
      <c r="X132" s="15">
        <f t="shared" si="20"/>
        <v>12.837407437668379</v>
      </c>
      <c r="Y132" s="15">
        <f t="shared" si="20"/>
        <v>0</v>
      </c>
      <c r="Z132" s="15">
        <f t="shared" si="20"/>
        <v>5.3559791511156467</v>
      </c>
      <c r="AA132" s="15">
        <f t="shared" si="20"/>
        <v>6.9101794417969229</v>
      </c>
      <c r="AB132" s="15">
        <f>-AB140</f>
        <v>-14.073491328201158</v>
      </c>
      <c r="AC132" s="15">
        <f>-AC140</f>
        <v>0</v>
      </c>
      <c r="AD132" s="15">
        <v>0</v>
      </c>
      <c r="AE132" s="15">
        <f t="shared" si="18"/>
        <v>11.030074702379792</v>
      </c>
    </row>
    <row r="133" spans="2:32">
      <c r="B133" s="22" t="s">
        <v>41</v>
      </c>
      <c r="C133" s="11">
        <v>0</v>
      </c>
      <c r="D133" s="11">
        <v>0</v>
      </c>
      <c r="E133" s="11">
        <f>Industrie!E35</f>
        <v>0</v>
      </c>
      <c r="F133" s="11">
        <v>0</v>
      </c>
      <c r="G133" s="11">
        <v>0</v>
      </c>
      <c r="H133" s="11"/>
      <c r="I133" s="11"/>
      <c r="J133" s="11"/>
      <c r="K133" s="11"/>
      <c r="L133" s="11"/>
      <c r="M133" s="11"/>
      <c r="N133" s="11"/>
      <c r="O133" s="11">
        <f>Industrie!E38</f>
        <v>0</v>
      </c>
      <c r="P133" s="11">
        <f>Industrie!E36</f>
        <v>1.3501692516274275</v>
      </c>
      <c r="Q133" s="11">
        <f>Industrie!E39</f>
        <v>0</v>
      </c>
      <c r="R133" s="11">
        <v>0</v>
      </c>
      <c r="S133" s="11">
        <f t="shared" si="17"/>
        <v>1.3501692516274275</v>
      </c>
      <c r="U133" s="22" t="s">
        <v>41</v>
      </c>
      <c r="V133" s="11">
        <v>0</v>
      </c>
      <c r="W133" s="11">
        <v>0</v>
      </c>
      <c r="X133" s="11">
        <f>Industrie!E56</f>
        <v>0</v>
      </c>
      <c r="Y133" s="11">
        <v>0</v>
      </c>
      <c r="Z133" s="11">
        <v>0</v>
      </c>
      <c r="AA133" s="11">
        <f>Industrie!E62</f>
        <v>0</v>
      </c>
      <c r="AB133" s="11">
        <f>Industrie!E57</f>
        <v>1.1614164933731588</v>
      </c>
      <c r="AC133" s="11">
        <f>Industrie!E63</f>
        <v>0</v>
      </c>
      <c r="AD133" s="11">
        <v>0</v>
      </c>
      <c r="AE133" s="11">
        <f t="shared" si="18"/>
        <v>1.1614164933731588</v>
      </c>
    </row>
    <row r="134" spans="2:32">
      <c r="B134" s="22" t="s">
        <v>42</v>
      </c>
      <c r="C134" s="11">
        <v>0</v>
      </c>
      <c r="D134" s="11">
        <v>0</v>
      </c>
      <c r="E134" s="11">
        <f>Transports!G49</f>
        <v>34.306579190955922</v>
      </c>
      <c r="F134" s="11">
        <v>0</v>
      </c>
      <c r="G134" s="11">
        <v>0</v>
      </c>
      <c r="H134" s="11"/>
      <c r="I134" s="11"/>
      <c r="J134" s="11"/>
      <c r="K134" s="11"/>
      <c r="L134" s="11"/>
      <c r="M134" s="11"/>
      <c r="N134" s="11"/>
      <c r="O134" s="11">
        <v>0</v>
      </c>
      <c r="P134" s="11">
        <f>Transports!G50</f>
        <v>0.28356816691881648</v>
      </c>
      <c r="Q134" s="11">
        <v>0</v>
      </c>
      <c r="R134" s="11">
        <v>0</v>
      </c>
      <c r="S134" s="11">
        <f>Transports!G51</f>
        <v>34.590147357874741</v>
      </c>
      <c r="U134" s="22" t="s">
        <v>42</v>
      </c>
      <c r="V134" s="11">
        <v>0</v>
      </c>
      <c r="W134" s="11">
        <v>0</v>
      </c>
      <c r="X134" s="11">
        <f>Transports!G76</f>
        <v>30.09303470784004</v>
      </c>
      <c r="Y134" s="11">
        <v>0</v>
      </c>
      <c r="Z134" s="11">
        <v>0</v>
      </c>
      <c r="AA134" s="11">
        <v>0</v>
      </c>
      <c r="AB134" s="11">
        <f>Transports!G77</f>
        <v>1.6053262963017014</v>
      </c>
      <c r="AC134" s="11">
        <v>0</v>
      </c>
      <c r="AD134" s="11">
        <v>0</v>
      </c>
      <c r="AE134" s="11">
        <f>Transports!G78</f>
        <v>31.698361004141741</v>
      </c>
    </row>
    <row r="135" spans="2:32">
      <c r="B135" s="22" t="s">
        <v>43</v>
      </c>
      <c r="C135" s="11">
        <v>0</v>
      </c>
      <c r="D135" s="11">
        <v>0</v>
      </c>
      <c r="E135" s="11">
        <f>'Résidentiel-tertiaire'!E172</f>
        <v>1.9576728065354658</v>
      </c>
      <c r="F135" s="11">
        <v>0</v>
      </c>
      <c r="G135" s="11">
        <v>0</v>
      </c>
      <c r="H135" s="11"/>
      <c r="I135" s="11"/>
      <c r="J135" s="11"/>
      <c r="K135" s="11"/>
      <c r="L135" s="11"/>
      <c r="M135" s="11"/>
      <c r="N135" s="11"/>
      <c r="O135" s="11">
        <f>'Résidentiel-tertiaire'!E173</f>
        <v>0</v>
      </c>
      <c r="P135" s="11">
        <f>'Résidentiel-tertiaire'!E174</f>
        <v>8.1135864513123988</v>
      </c>
      <c r="Q135" s="11">
        <v>0</v>
      </c>
      <c r="R135" s="11">
        <v>0</v>
      </c>
      <c r="S135" s="11">
        <f>SUM(C135:R135)</f>
        <v>10.071259257847865</v>
      </c>
      <c r="U135" s="22" t="s">
        <v>43</v>
      </c>
      <c r="V135" s="11">
        <v>0</v>
      </c>
      <c r="W135" s="11">
        <v>0</v>
      </c>
      <c r="X135" s="11">
        <f>'Résidentiel-tertiaire'!E187</f>
        <v>1.3033333333333332</v>
      </c>
      <c r="Y135" s="11">
        <v>0</v>
      </c>
      <c r="Z135" s="11">
        <v>0</v>
      </c>
      <c r="AA135" s="11">
        <f>'Résidentiel-tertiaire'!E188</f>
        <v>0.55965089399160117</v>
      </c>
      <c r="AB135" s="11">
        <f>'Résidentiel-tertiaire'!E189</f>
        <v>6.7743977117702636</v>
      </c>
      <c r="AC135" s="11">
        <v>0</v>
      </c>
      <c r="AD135" s="11">
        <v>0</v>
      </c>
      <c r="AE135" s="11">
        <f>SUM(V135:AD135)</f>
        <v>8.6373819390951976</v>
      </c>
    </row>
    <row r="136" spans="2:32">
      <c r="B136" s="22" t="s">
        <v>44</v>
      </c>
      <c r="C136" s="11">
        <v>0</v>
      </c>
      <c r="D136" s="11">
        <v>0</v>
      </c>
      <c r="E136" s="11">
        <f>'Résidentiel-tertiaire'!E177</f>
        <v>0.88438425395970266</v>
      </c>
      <c r="F136" s="11">
        <v>0</v>
      </c>
      <c r="G136" s="11">
        <v>0</v>
      </c>
      <c r="H136" s="11"/>
      <c r="I136" s="11"/>
      <c r="J136" s="11"/>
      <c r="K136" s="11"/>
      <c r="L136" s="11"/>
      <c r="M136" s="11"/>
      <c r="N136" s="11"/>
      <c r="O136" s="11">
        <f>'Résidentiel-tertiaire'!E178</f>
        <v>0</v>
      </c>
      <c r="P136" s="11">
        <f>'Résidentiel-tertiaire'!E179</f>
        <v>9.6954521769647499</v>
      </c>
      <c r="Q136" s="11">
        <v>0</v>
      </c>
      <c r="R136" s="11">
        <v>0</v>
      </c>
      <c r="S136" s="11">
        <f>SUM(C136:R136)</f>
        <v>10.579836430924452</v>
      </c>
      <c r="U136" s="22" t="s">
        <v>44</v>
      </c>
      <c r="V136" s="11">
        <v>0</v>
      </c>
      <c r="W136" s="11">
        <v>0</v>
      </c>
      <c r="X136" s="11">
        <f>'Résidentiel-tertiaire'!E192</f>
        <v>0.65592592592592591</v>
      </c>
      <c r="Y136" s="11">
        <v>0</v>
      </c>
      <c r="Z136" s="11">
        <v>0</v>
      </c>
      <c r="AA136" s="11">
        <f>'Résidentiel-tertiaire'!E193</f>
        <v>0</v>
      </c>
      <c r="AB136" s="11">
        <f>'Résidentiel-tertiaire'!E194</f>
        <v>4.5323508267560326</v>
      </c>
      <c r="AC136" s="11">
        <v>0</v>
      </c>
      <c r="AD136" s="11">
        <v>0</v>
      </c>
      <c r="AE136" s="11">
        <f>SUM(V136:AD136)</f>
        <v>5.1882767526819586</v>
      </c>
    </row>
    <row r="137" spans="2:32">
      <c r="B137" s="22" t="s">
        <v>4</v>
      </c>
      <c r="C137" s="11">
        <v>0</v>
      </c>
      <c r="D137" s="11">
        <v>0</v>
      </c>
      <c r="E137" s="11">
        <f>Agriculture!M27</f>
        <v>0.3374890334142675</v>
      </c>
      <c r="F137" s="11">
        <v>0</v>
      </c>
      <c r="G137" s="11">
        <v>0</v>
      </c>
      <c r="H137" s="11"/>
      <c r="I137" s="11"/>
      <c r="J137" s="11"/>
      <c r="K137" s="11"/>
      <c r="L137" s="11"/>
      <c r="M137" s="11"/>
      <c r="N137" s="11"/>
      <c r="O137" s="11">
        <v>0</v>
      </c>
      <c r="P137" s="11">
        <f>Agriculture!M28</f>
        <v>0</v>
      </c>
      <c r="Q137" s="11">
        <v>0</v>
      </c>
      <c r="R137" s="11">
        <v>0</v>
      </c>
      <c r="S137" s="11">
        <f>SUM(C137:R137)</f>
        <v>0.3374890334142675</v>
      </c>
      <c r="U137" s="22" t="s">
        <v>4</v>
      </c>
      <c r="V137" s="11">
        <v>0</v>
      </c>
      <c r="W137" s="11">
        <v>0</v>
      </c>
      <c r="X137" s="11">
        <f>Agriculture!Q43</f>
        <v>0.21433691756272399</v>
      </c>
      <c r="Y137" s="11">
        <v>0</v>
      </c>
      <c r="Z137" s="11">
        <v>0</v>
      </c>
      <c r="AA137" s="11">
        <f>Agriculture!Q45</f>
        <v>0.10981016129032255</v>
      </c>
      <c r="AB137" s="11">
        <f>Agriculture!Q44</f>
        <v>0</v>
      </c>
      <c r="AC137" s="11">
        <v>0</v>
      </c>
      <c r="AD137" s="11">
        <v>0</v>
      </c>
      <c r="AE137" s="11">
        <f>SUM(V137:AD137)</f>
        <v>0.32414707885304656</v>
      </c>
    </row>
    <row r="138" spans="2:32">
      <c r="B138" s="26" t="s">
        <v>45</v>
      </c>
      <c r="C138" s="19">
        <v>0</v>
      </c>
      <c r="D138" s="19">
        <v>0</v>
      </c>
      <c r="E138" s="19">
        <f t="shared" ref="E138:S138" si="21">SUM(E133:E137)</f>
        <v>37.486125284865352</v>
      </c>
      <c r="F138" s="19">
        <f t="shared" si="21"/>
        <v>0</v>
      </c>
      <c r="G138" s="19">
        <f t="shared" si="21"/>
        <v>0</v>
      </c>
      <c r="H138" s="19"/>
      <c r="I138" s="19"/>
      <c r="J138" s="19"/>
      <c r="K138" s="19"/>
      <c r="L138" s="19"/>
      <c r="M138" s="19"/>
      <c r="N138" s="19"/>
      <c r="O138" s="19">
        <f t="shared" si="21"/>
        <v>0</v>
      </c>
      <c r="P138" s="19">
        <f t="shared" si="21"/>
        <v>19.442776046823393</v>
      </c>
      <c r="Q138" s="19">
        <f t="shared" si="21"/>
        <v>0</v>
      </c>
      <c r="R138" s="19">
        <f t="shared" si="21"/>
        <v>0</v>
      </c>
      <c r="S138" s="19">
        <f t="shared" si="21"/>
        <v>56.928901331688749</v>
      </c>
      <c r="U138" s="26" t="s">
        <v>45</v>
      </c>
      <c r="V138" s="19">
        <v>0</v>
      </c>
      <c r="W138" s="19">
        <v>0</v>
      </c>
      <c r="X138" s="19">
        <f t="shared" ref="X138:AE138" si="22">SUM(X133:X137)</f>
        <v>32.266630884662028</v>
      </c>
      <c r="Y138" s="19">
        <f t="shared" si="22"/>
        <v>0</v>
      </c>
      <c r="Z138" s="19">
        <f t="shared" si="22"/>
        <v>0</v>
      </c>
      <c r="AA138" s="19">
        <f t="shared" si="22"/>
        <v>0.66946105528192368</v>
      </c>
      <c r="AB138" s="19">
        <f t="shared" si="22"/>
        <v>14.073491328201158</v>
      </c>
      <c r="AC138" s="19">
        <f t="shared" si="22"/>
        <v>0</v>
      </c>
      <c r="AD138" s="19">
        <f t="shared" si="22"/>
        <v>0</v>
      </c>
      <c r="AE138" s="19">
        <f t="shared" si="22"/>
        <v>47.0095832681451</v>
      </c>
    </row>
    <row r="139" spans="2:32">
      <c r="B139" s="26" t="s">
        <v>46</v>
      </c>
      <c r="C139" s="19">
        <v>0</v>
      </c>
      <c r="D139" s="19">
        <v>0</v>
      </c>
      <c r="E139" s="19">
        <f>Industrie!E37</f>
        <v>0</v>
      </c>
      <c r="F139" s="19">
        <v>0</v>
      </c>
      <c r="G139" s="19">
        <v>0</v>
      </c>
      <c r="H139" s="19"/>
      <c r="I139" s="19"/>
      <c r="J139" s="19"/>
      <c r="K139" s="19"/>
      <c r="L139" s="19"/>
      <c r="M139" s="19"/>
      <c r="N139" s="19"/>
      <c r="O139" s="19">
        <v>0</v>
      </c>
      <c r="P139" s="19">
        <v>0</v>
      </c>
      <c r="Q139" s="19">
        <v>0</v>
      </c>
      <c r="R139" s="19">
        <v>0</v>
      </c>
      <c r="S139" s="19">
        <f>SUM(C139:R139)</f>
        <v>0</v>
      </c>
      <c r="U139" s="26" t="s">
        <v>46</v>
      </c>
      <c r="V139" s="19">
        <v>0</v>
      </c>
      <c r="W139" s="19">
        <v>0</v>
      </c>
      <c r="X139" s="19">
        <f>Industrie!E59</f>
        <v>0</v>
      </c>
      <c r="Y139" s="19">
        <v>0</v>
      </c>
      <c r="Z139" s="19">
        <v>0</v>
      </c>
      <c r="AA139" s="19">
        <f>Industrie!E61</f>
        <v>0</v>
      </c>
      <c r="AB139" s="19">
        <v>0</v>
      </c>
      <c r="AC139" s="19">
        <v>0</v>
      </c>
      <c r="AD139" s="19">
        <v>0</v>
      </c>
      <c r="AE139" s="19">
        <f>SUM(V139:AD139)</f>
        <v>0</v>
      </c>
    </row>
    <row r="140" spans="2:32">
      <c r="B140" s="24" t="s">
        <v>47</v>
      </c>
      <c r="C140" s="15">
        <v>0</v>
      </c>
      <c r="D140" s="15">
        <v>0</v>
      </c>
      <c r="E140" s="15">
        <f t="shared" ref="E140:S140" si="23">SUM(E138:E139)</f>
        <v>37.486125284865352</v>
      </c>
      <c r="F140" s="15">
        <f t="shared" si="23"/>
        <v>0</v>
      </c>
      <c r="G140" s="15">
        <f t="shared" si="23"/>
        <v>0</v>
      </c>
      <c r="H140" s="15"/>
      <c r="I140" s="15"/>
      <c r="J140" s="15"/>
      <c r="K140" s="15"/>
      <c r="L140" s="15"/>
      <c r="M140" s="15"/>
      <c r="N140" s="15"/>
      <c r="O140" s="15">
        <f t="shared" si="23"/>
        <v>0</v>
      </c>
      <c r="P140" s="15">
        <f t="shared" si="23"/>
        <v>19.442776046823393</v>
      </c>
      <c r="Q140" s="15">
        <f t="shared" si="23"/>
        <v>0</v>
      </c>
      <c r="R140" s="15">
        <f t="shared" si="23"/>
        <v>0</v>
      </c>
      <c r="S140" s="15">
        <f t="shared" si="23"/>
        <v>56.928901331688749</v>
      </c>
      <c r="T140" s="27">
        <f>SUM(C140:R140)</f>
        <v>56.928901331688749</v>
      </c>
      <c r="U140" s="24" t="s">
        <v>47</v>
      </c>
      <c r="V140" s="15">
        <v>0</v>
      </c>
      <c r="W140" s="15">
        <v>0</v>
      </c>
      <c r="X140" s="15">
        <f t="shared" ref="X140:AE140" si="24">SUM(X138:X139)</f>
        <v>32.266630884662028</v>
      </c>
      <c r="Y140" s="15">
        <f t="shared" si="24"/>
        <v>0</v>
      </c>
      <c r="Z140" s="15">
        <f t="shared" si="24"/>
        <v>0</v>
      </c>
      <c r="AA140" s="15">
        <f t="shared" si="24"/>
        <v>0.66946105528192368</v>
      </c>
      <c r="AB140" s="15">
        <f t="shared" si="24"/>
        <v>14.073491328201158</v>
      </c>
      <c r="AC140" s="15">
        <f t="shared" si="24"/>
        <v>0</v>
      </c>
      <c r="AD140" s="15">
        <f t="shared" si="24"/>
        <v>0</v>
      </c>
      <c r="AE140" s="15">
        <f t="shared" si="24"/>
        <v>47.0095832681451</v>
      </c>
      <c r="AF140" s="27">
        <f>SUM(V140:AD140)</f>
        <v>47.009583268145107</v>
      </c>
    </row>
    <row r="146" spans="2:31">
      <c r="C146" s="4" t="s">
        <v>54</v>
      </c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 t="s">
        <v>54</v>
      </c>
      <c r="W146" s="4"/>
    </row>
    <row r="147" spans="2:31" ht="43.2">
      <c r="B147" s="20">
        <v>2035</v>
      </c>
      <c r="C147" s="7" t="s">
        <v>14</v>
      </c>
      <c r="D147" s="7" t="s">
        <v>15</v>
      </c>
      <c r="E147" s="7" t="s">
        <v>16</v>
      </c>
      <c r="F147" s="7" t="s">
        <v>17</v>
      </c>
      <c r="G147" s="7" t="s">
        <v>18</v>
      </c>
      <c r="H147" s="222"/>
      <c r="I147" s="222"/>
      <c r="J147" s="222"/>
      <c r="K147" s="222"/>
      <c r="L147" s="222"/>
      <c r="M147" s="222"/>
      <c r="N147" s="222"/>
      <c r="O147" s="7" t="s">
        <v>19</v>
      </c>
      <c r="P147" s="7" t="s">
        <v>20</v>
      </c>
      <c r="Q147" s="7" t="s">
        <v>21</v>
      </c>
      <c r="R147" s="7"/>
      <c r="S147" s="7" t="s">
        <v>23</v>
      </c>
      <c r="U147" s="21">
        <v>2035</v>
      </c>
      <c r="V147" s="7" t="s">
        <v>14</v>
      </c>
      <c r="W147" s="7" t="s">
        <v>15</v>
      </c>
      <c r="X147" s="7" t="s">
        <v>16</v>
      </c>
      <c r="Y147" s="7" t="s">
        <v>17</v>
      </c>
      <c r="Z147" s="7" t="s">
        <v>18</v>
      </c>
      <c r="AA147" s="7" t="s">
        <v>19</v>
      </c>
      <c r="AB147" s="7" t="s">
        <v>20</v>
      </c>
      <c r="AC147" s="7" t="s">
        <v>21</v>
      </c>
      <c r="AD147" s="7"/>
      <c r="AE147" s="7" t="s">
        <v>23</v>
      </c>
    </row>
    <row r="148" spans="2:31">
      <c r="B148" s="22" t="s">
        <v>24</v>
      </c>
      <c r="C148" s="11">
        <v>0</v>
      </c>
      <c r="D148" s="11">
        <v>0</v>
      </c>
      <c r="E148" s="11">
        <v>0</v>
      </c>
      <c r="F148" s="11">
        <v>0</v>
      </c>
      <c r="G148" s="11">
        <v>0</v>
      </c>
      <c r="H148" s="11"/>
      <c r="I148" s="11"/>
      <c r="J148" s="11"/>
      <c r="K148" s="11"/>
      <c r="L148" s="11"/>
      <c r="M148" s="11"/>
      <c r="N148" s="11"/>
      <c r="O148" s="11">
        <v>0</v>
      </c>
      <c r="P148" s="11">
        <v>0</v>
      </c>
      <c r="Q148" s="11">
        <v>0</v>
      </c>
      <c r="R148" s="11">
        <v>0</v>
      </c>
      <c r="S148" s="11">
        <f>SUM(C148:R148)</f>
        <v>0</v>
      </c>
      <c r="U148" s="22" t="s">
        <v>24</v>
      </c>
      <c r="V148" s="11">
        <v>0</v>
      </c>
      <c r="W148" s="11">
        <v>0</v>
      </c>
      <c r="X148" s="11">
        <v>0</v>
      </c>
      <c r="Y148" s="11">
        <v>0</v>
      </c>
      <c r="Z148" s="11">
        <v>0</v>
      </c>
      <c r="AA148" s="11">
        <v>0</v>
      </c>
      <c r="AB148" s="11">
        <v>0</v>
      </c>
      <c r="AC148" s="11">
        <v>0</v>
      </c>
      <c r="AD148" s="11">
        <v>0</v>
      </c>
      <c r="AE148" s="11">
        <f>SUM(V148:AD148)</f>
        <v>0</v>
      </c>
    </row>
    <row r="149" spans="2:31">
      <c r="B149" s="22" t="s">
        <v>25</v>
      </c>
      <c r="C149" s="11">
        <v>0</v>
      </c>
      <c r="D149" s="11">
        <v>0</v>
      </c>
      <c r="E149" s="11">
        <v>0</v>
      </c>
      <c r="F149" s="11">
        <v>0</v>
      </c>
      <c r="G149" s="11">
        <v>0</v>
      </c>
      <c r="H149" s="11"/>
      <c r="I149" s="11"/>
      <c r="J149" s="11"/>
      <c r="K149" s="11"/>
      <c r="L149" s="11"/>
      <c r="M149" s="11"/>
      <c r="N149" s="11"/>
      <c r="O149" s="11">
        <v>0</v>
      </c>
      <c r="P149" s="11">
        <v>0</v>
      </c>
      <c r="Q149" s="11">
        <v>0</v>
      </c>
      <c r="R149" s="11">
        <v>0</v>
      </c>
      <c r="S149" s="11">
        <f t="shared" ref="S149:S157" si="25">SUM(C149:R149)</f>
        <v>0</v>
      </c>
      <c r="U149" s="22" t="s">
        <v>25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>
        <v>0</v>
      </c>
      <c r="AC149" s="11">
        <v>0</v>
      </c>
      <c r="AD149" s="11">
        <v>0</v>
      </c>
      <c r="AE149" s="11">
        <f t="shared" ref="AE149:AE157" si="26">SUM(V149:AD149)</f>
        <v>0</v>
      </c>
    </row>
    <row r="150" spans="2:31">
      <c r="B150" s="22" t="s">
        <v>26</v>
      </c>
      <c r="C150" s="11">
        <v>0</v>
      </c>
      <c r="D150" s="11">
        <v>0</v>
      </c>
      <c r="E150" s="11">
        <v>0</v>
      </c>
      <c r="F150" s="11">
        <v>0</v>
      </c>
      <c r="G150" s="11">
        <v>0</v>
      </c>
      <c r="H150" s="11"/>
      <c r="I150" s="11"/>
      <c r="J150" s="11"/>
      <c r="K150" s="11"/>
      <c r="L150" s="11"/>
      <c r="M150" s="11"/>
      <c r="N150" s="11"/>
      <c r="O150" s="11">
        <v>0</v>
      </c>
      <c r="P150" s="11">
        <v>0</v>
      </c>
      <c r="Q150" s="11">
        <v>0</v>
      </c>
      <c r="R150" s="11">
        <v>0</v>
      </c>
      <c r="S150" s="11">
        <f t="shared" si="25"/>
        <v>0</v>
      </c>
      <c r="U150" s="22" t="s">
        <v>26</v>
      </c>
      <c r="V150" s="11">
        <v>0</v>
      </c>
      <c r="W150" s="11">
        <v>0</v>
      </c>
      <c r="X150" s="11">
        <v>0</v>
      </c>
      <c r="Y150" s="11">
        <v>0</v>
      </c>
      <c r="Z150" s="11">
        <v>0</v>
      </c>
      <c r="AA150" s="11">
        <v>0</v>
      </c>
      <c r="AB150" s="11">
        <v>0</v>
      </c>
      <c r="AC150" s="11">
        <v>0</v>
      </c>
      <c r="AD150" s="11">
        <v>0</v>
      </c>
      <c r="AE150" s="11">
        <f t="shared" si="26"/>
        <v>0</v>
      </c>
    </row>
    <row r="151" spans="2:31">
      <c r="B151" s="22" t="s">
        <v>27</v>
      </c>
      <c r="C151" s="11">
        <v>0</v>
      </c>
      <c r="D151" s="11">
        <v>0</v>
      </c>
      <c r="E151" s="11">
        <v>0</v>
      </c>
      <c r="F151" s="11">
        <v>0</v>
      </c>
      <c r="G151" s="11">
        <v>0</v>
      </c>
      <c r="H151" s="11"/>
      <c r="I151" s="11"/>
      <c r="J151" s="11"/>
      <c r="K151" s="11"/>
      <c r="L151" s="11"/>
      <c r="M151" s="11"/>
      <c r="N151" s="11"/>
      <c r="O151" s="11">
        <v>0</v>
      </c>
      <c r="P151" s="11">
        <v>0</v>
      </c>
      <c r="Q151" s="11">
        <v>0</v>
      </c>
      <c r="R151" s="11">
        <v>0</v>
      </c>
      <c r="S151" s="11">
        <f t="shared" si="25"/>
        <v>0</v>
      </c>
      <c r="U151" s="22" t="s">
        <v>27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11">
        <v>0</v>
      </c>
      <c r="AC151" s="11">
        <v>0</v>
      </c>
      <c r="AD151" s="11">
        <v>0</v>
      </c>
      <c r="AE151" s="11">
        <f t="shared" si="26"/>
        <v>0</v>
      </c>
    </row>
    <row r="152" spans="2:31">
      <c r="B152" s="22" t="s">
        <v>28</v>
      </c>
      <c r="C152" s="11">
        <v>0</v>
      </c>
      <c r="D152" s="11">
        <v>0</v>
      </c>
      <c r="E152" s="11">
        <v>0</v>
      </c>
      <c r="F152" s="11">
        <v>0</v>
      </c>
      <c r="G152" s="11">
        <v>0</v>
      </c>
      <c r="H152" s="11"/>
      <c r="I152" s="11"/>
      <c r="J152" s="11"/>
      <c r="K152" s="11"/>
      <c r="L152" s="11"/>
      <c r="M152" s="11"/>
      <c r="N152" s="11"/>
      <c r="O152" s="11">
        <v>0</v>
      </c>
      <c r="P152" s="11">
        <v>0</v>
      </c>
      <c r="Q152" s="11">
        <v>0</v>
      </c>
      <c r="R152" s="11">
        <v>0</v>
      </c>
      <c r="S152" s="11">
        <f t="shared" si="25"/>
        <v>0</v>
      </c>
      <c r="U152" s="22" t="s">
        <v>28</v>
      </c>
      <c r="V152" s="11">
        <v>0</v>
      </c>
      <c r="W152" s="11">
        <v>0</v>
      </c>
      <c r="X152" s="11">
        <v>0</v>
      </c>
      <c r="Y152" s="11">
        <v>0</v>
      </c>
      <c r="Z152" s="11">
        <v>0</v>
      </c>
      <c r="AA152" s="11">
        <v>0</v>
      </c>
      <c r="AB152" s="11">
        <v>0</v>
      </c>
      <c r="AC152" s="11">
        <v>0</v>
      </c>
      <c r="AD152" s="11">
        <v>0</v>
      </c>
      <c r="AE152" s="11">
        <f t="shared" si="26"/>
        <v>0</v>
      </c>
    </row>
    <row r="153" spans="2:31">
      <c r="B153" s="22" t="s">
        <v>29</v>
      </c>
      <c r="C153" s="11">
        <v>0</v>
      </c>
      <c r="D153" s="11">
        <v>0</v>
      </c>
      <c r="E153" s="11">
        <v>0</v>
      </c>
      <c r="F153" s="11">
        <v>0</v>
      </c>
      <c r="G153" s="11">
        <v>0</v>
      </c>
      <c r="H153" s="11"/>
      <c r="I153" s="11"/>
      <c r="J153" s="11"/>
      <c r="K153" s="11"/>
      <c r="L153" s="11"/>
      <c r="M153" s="11"/>
      <c r="N153" s="11"/>
      <c r="O153" s="11">
        <v>0</v>
      </c>
      <c r="P153" s="11">
        <v>0</v>
      </c>
      <c r="Q153" s="11">
        <v>0</v>
      </c>
      <c r="R153" s="11">
        <v>0</v>
      </c>
      <c r="S153" s="11">
        <f t="shared" si="25"/>
        <v>0</v>
      </c>
      <c r="U153" s="22" t="s">
        <v>29</v>
      </c>
      <c r="V153" s="11">
        <v>0</v>
      </c>
      <c r="W153" s="11">
        <v>0</v>
      </c>
      <c r="X153" s="11">
        <v>0</v>
      </c>
      <c r="Y153" s="11">
        <v>0</v>
      </c>
      <c r="Z153" s="11">
        <v>0</v>
      </c>
      <c r="AA153" s="11">
        <v>0</v>
      </c>
      <c r="AB153" s="11">
        <v>0</v>
      </c>
      <c r="AC153" s="11">
        <v>0</v>
      </c>
      <c r="AD153" s="11">
        <v>0</v>
      </c>
      <c r="AE153" s="11">
        <f t="shared" si="26"/>
        <v>0</v>
      </c>
    </row>
    <row r="154" spans="2:31">
      <c r="B154" s="22" t="s">
        <v>30</v>
      </c>
      <c r="C154" s="11">
        <v>0</v>
      </c>
      <c r="D154" s="11">
        <v>0</v>
      </c>
      <c r="E154" s="11">
        <v>0</v>
      </c>
      <c r="F154" s="11">
        <v>0</v>
      </c>
      <c r="G154" s="11">
        <v>0</v>
      </c>
      <c r="H154" s="11"/>
      <c r="I154" s="11"/>
      <c r="J154" s="11"/>
      <c r="K154" s="11"/>
      <c r="L154" s="11"/>
      <c r="M154" s="11"/>
      <c r="N154" s="11"/>
      <c r="O154" s="11">
        <v>0</v>
      </c>
      <c r="P154" s="11">
        <v>0</v>
      </c>
      <c r="Q154" s="11">
        <v>0</v>
      </c>
      <c r="R154" s="11">
        <v>0</v>
      </c>
      <c r="S154" s="11">
        <f t="shared" si="25"/>
        <v>0</v>
      </c>
      <c r="U154" s="22" t="s">
        <v>30</v>
      </c>
      <c r="V154" s="11">
        <v>0</v>
      </c>
      <c r="W154" s="11">
        <v>0</v>
      </c>
      <c r="X154" s="11">
        <v>0</v>
      </c>
      <c r="Y154" s="11">
        <v>0</v>
      </c>
      <c r="Z154" s="11">
        <v>0</v>
      </c>
      <c r="AA154" s="11">
        <v>0</v>
      </c>
      <c r="AB154" s="11">
        <v>0</v>
      </c>
      <c r="AC154" s="11">
        <v>0</v>
      </c>
      <c r="AD154" s="11">
        <v>0</v>
      </c>
      <c r="AE154" s="11">
        <f t="shared" si="26"/>
        <v>0</v>
      </c>
    </row>
    <row r="155" spans="2:31">
      <c r="B155" s="22" t="s">
        <v>31</v>
      </c>
      <c r="C155" s="11">
        <v>0</v>
      </c>
      <c r="D155" s="11">
        <v>0</v>
      </c>
      <c r="E155" s="11">
        <v>0</v>
      </c>
      <c r="F155" s="11">
        <v>0</v>
      </c>
      <c r="G155" s="11">
        <v>0</v>
      </c>
      <c r="H155" s="11"/>
      <c r="I155" s="11"/>
      <c r="J155" s="11"/>
      <c r="K155" s="11"/>
      <c r="L155" s="11"/>
      <c r="M155" s="11"/>
      <c r="N155" s="11"/>
      <c r="O155" s="11">
        <v>0</v>
      </c>
      <c r="P155" s="11">
        <v>0</v>
      </c>
      <c r="Q155" s="11">
        <v>0</v>
      </c>
      <c r="R155" s="11">
        <v>0</v>
      </c>
      <c r="S155" s="11">
        <f t="shared" si="25"/>
        <v>0</v>
      </c>
      <c r="U155" s="22" t="s">
        <v>31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11">
        <v>0</v>
      </c>
      <c r="AC155" s="11">
        <v>0</v>
      </c>
      <c r="AD155" s="11">
        <v>0</v>
      </c>
      <c r="AE155" s="11">
        <f t="shared" si="26"/>
        <v>0</v>
      </c>
    </row>
    <row r="156" spans="2:31">
      <c r="B156" s="22" t="s">
        <v>32</v>
      </c>
      <c r="C156" s="11">
        <v>0</v>
      </c>
      <c r="D156" s="11">
        <v>0</v>
      </c>
      <c r="E156" s="23">
        <v>0</v>
      </c>
      <c r="F156" s="11">
        <v>0</v>
      </c>
      <c r="G156" s="11">
        <v>0</v>
      </c>
      <c r="H156" s="11"/>
      <c r="I156" s="11"/>
      <c r="J156" s="11"/>
      <c r="K156" s="11"/>
      <c r="L156" s="11"/>
      <c r="M156" s="11"/>
      <c r="N156" s="11"/>
      <c r="O156" s="11">
        <v>0</v>
      </c>
      <c r="P156" s="11">
        <v>0</v>
      </c>
      <c r="Q156" s="11">
        <v>0</v>
      </c>
      <c r="R156" s="11">
        <v>0</v>
      </c>
      <c r="S156" s="11">
        <f t="shared" si="25"/>
        <v>0</v>
      </c>
      <c r="U156" s="22" t="s">
        <v>32</v>
      </c>
      <c r="V156" s="11">
        <v>0</v>
      </c>
      <c r="W156" s="11">
        <v>0</v>
      </c>
      <c r="X156" s="23">
        <v>0</v>
      </c>
      <c r="Y156" s="11">
        <v>0</v>
      </c>
      <c r="Z156" s="11">
        <v>0</v>
      </c>
      <c r="AA156" s="11">
        <v>0</v>
      </c>
      <c r="AB156" s="11">
        <v>0</v>
      </c>
      <c r="AC156" s="11">
        <v>0</v>
      </c>
      <c r="AD156" s="11">
        <v>0</v>
      </c>
      <c r="AE156" s="11">
        <f t="shared" si="26"/>
        <v>0</v>
      </c>
    </row>
    <row r="157" spans="2:31">
      <c r="B157" s="24" t="s">
        <v>33</v>
      </c>
      <c r="C157" s="15">
        <f>C148+C152+C153+C154+C155+C156</f>
        <v>0</v>
      </c>
      <c r="D157" s="15">
        <f t="shared" ref="D157:R157" si="27">D148+D152+D153+D154+D155+D156</f>
        <v>0</v>
      </c>
      <c r="E157" s="15">
        <f t="shared" si="27"/>
        <v>0</v>
      </c>
      <c r="F157" s="15">
        <f t="shared" si="27"/>
        <v>0</v>
      </c>
      <c r="G157" s="15">
        <f t="shared" si="27"/>
        <v>0</v>
      </c>
      <c r="H157" s="15">
        <f t="shared" si="27"/>
        <v>0</v>
      </c>
      <c r="I157" s="15">
        <f t="shared" si="27"/>
        <v>0</v>
      </c>
      <c r="J157" s="15">
        <f t="shared" si="27"/>
        <v>0</v>
      </c>
      <c r="K157" s="15">
        <f t="shared" si="27"/>
        <v>0</v>
      </c>
      <c r="L157" s="15">
        <f t="shared" si="27"/>
        <v>0</v>
      </c>
      <c r="M157" s="15">
        <f t="shared" si="27"/>
        <v>0</v>
      </c>
      <c r="N157" s="15">
        <f t="shared" si="27"/>
        <v>0</v>
      </c>
      <c r="O157" s="15">
        <f t="shared" si="27"/>
        <v>0</v>
      </c>
      <c r="P157" s="15">
        <f t="shared" si="27"/>
        <v>0</v>
      </c>
      <c r="Q157" s="15">
        <f t="shared" si="27"/>
        <v>0</v>
      </c>
      <c r="R157" s="15">
        <f t="shared" si="27"/>
        <v>0</v>
      </c>
      <c r="S157" s="15">
        <f t="shared" si="25"/>
        <v>0</v>
      </c>
      <c r="U157" s="24" t="s">
        <v>33</v>
      </c>
      <c r="V157" s="15">
        <f>V148+V152+V153+V154+V155+V156</f>
        <v>0</v>
      </c>
      <c r="W157" s="15">
        <f t="shared" ref="W157:AD157" si="28">W148+W152+W153+W154+W155+W156</f>
        <v>0</v>
      </c>
      <c r="X157" s="15">
        <f t="shared" si="28"/>
        <v>0</v>
      </c>
      <c r="Y157" s="15">
        <f t="shared" si="28"/>
        <v>0</v>
      </c>
      <c r="Z157" s="15">
        <f t="shared" si="28"/>
        <v>0</v>
      </c>
      <c r="AA157" s="15">
        <f t="shared" si="28"/>
        <v>0</v>
      </c>
      <c r="AB157" s="15">
        <f t="shared" si="28"/>
        <v>0</v>
      </c>
      <c r="AC157" s="15">
        <f t="shared" si="28"/>
        <v>0</v>
      </c>
      <c r="AD157" s="15">
        <f t="shared" si="28"/>
        <v>0</v>
      </c>
      <c r="AE157" s="15">
        <f t="shared" si="26"/>
        <v>0</v>
      </c>
    </row>
    <row r="158" spans="2:31">
      <c r="B158" s="22" t="s">
        <v>34</v>
      </c>
      <c r="C158" s="11">
        <v>0</v>
      </c>
      <c r="D158" s="11">
        <v>0</v>
      </c>
      <c r="E158" s="11">
        <v>0</v>
      </c>
      <c r="F158" s="11">
        <v>0</v>
      </c>
      <c r="G158" s="11">
        <v>0</v>
      </c>
      <c r="H158" s="11"/>
      <c r="I158" s="11"/>
      <c r="J158" s="11"/>
      <c r="K158" s="11"/>
      <c r="L158" s="11"/>
      <c r="M158" s="11"/>
      <c r="N158" s="11"/>
      <c r="O158" s="11">
        <v>0</v>
      </c>
      <c r="P158" s="11">
        <v>0</v>
      </c>
      <c r="Q158" s="11">
        <v>0</v>
      </c>
      <c r="R158" s="11">
        <v>0</v>
      </c>
      <c r="S158" s="11">
        <f t="shared" ref="S158:S165" si="29">SUM(C158:R158)</f>
        <v>0</v>
      </c>
      <c r="U158" s="22" t="s">
        <v>34</v>
      </c>
      <c r="V158" s="11">
        <v>0</v>
      </c>
      <c r="W158" s="11">
        <v>0</v>
      </c>
      <c r="X158" s="11">
        <v>0</v>
      </c>
      <c r="Y158" s="11">
        <v>0</v>
      </c>
      <c r="Z158" s="11">
        <v>0</v>
      </c>
      <c r="AA158" s="11">
        <v>0</v>
      </c>
      <c r="AB158" s="11">
        <v>0</v>
      </c>
      <c r="AC158" s="11">
        <v>0</v>
      </c>
      <c r="AD158" s="11">
        <v>0</v>
      </c>
      <c r="AE158" s="11">
        <f t="shared" ref="AE158:AE165" si="30">SUM(V158:AD158)</f>
        <v>0</v>
      </c>
    </row>
    <row r="159" spans="2:31">
      <c r="B159" s="22" t="s">
        <v>35</v>
      </c>
      <c r="C159" s="11">
        <f>(P159-Q159)*$X$48*('Prod Energie'!F32)</f>
        <v>0</v>
      </c>
      <c r="D159" s="11">
        <v>0</v>
      </c>
      <c r="E159" s="11">
        <f>(P159-Q159)*$X$48*('Prod Energie'!F33)</f>
        <v>17.049152967763426</v>
      </c>
      <c r="F159" s="11">
        <v>0</v>
      </c>
      <c r="G159" s="11">
        <f>(P159-Q159)*$X$48*('Prod Energie'!F40+'Prod Energie'!D39)</f>
        <v>7.3500274980829658</v>
      </c>
      <c r="H159" s="11"/>
      <c r="I159" s="11"/>
      <c r="J159" s="11"/>
      <c r="K159" s="11"/>
      <c r="L159" s="11"/>
      <c r="M159" s="11"/>
      <c r="N159" s="11"/>
      <c r="O159" s="11">
        <f>(P159-Q159)*$X$48*('Prod Energie'!F38)</f>
        <v>9.546534558983053</v>
      </c>
      <c r="P159" s="11">
        <f>P164/(1+$P$48+$Q$48)</f>
        <v>-20.744682093335197</v>
      </c>
      <c r="Q159" s="11">
        <f>Q164/(1+$D$48)</f>
        <v>0</v>
      </c>
      <c r="R159" s="11">
        <v>0</v>
      </c>
      <c r="S159" s="11">
        <f t="shared" si="29"/>
        <v>13.20103293149425</v>
      </c>
      <c r="U159" s="22" t="s">
        <v>35</v>
      </c>
      <c r="V159" s="11">
        <f>(AB159-AC159)*$X$48*('Prod Energie'!F53)</f>
        <v>0</v>
      </c>
      <c r="W159" s="11">
        <v>0</v>
      </c>
      <c r="X159" s="11">
        <f>(AB159-AC159)*$X$48*('Prod Energie'!F54)</f>
        <v>0</v>
      </c>
      <c r="Y159" s="11">
        <v>0</v>
      </c>
      <c r="Z159" s="11">
        <f>(AB159-AC159)*$X$48*('Prod Energie'!F61+'Prod Energie'!D60)</f>
        <v>5.7802565416711307</v>
      </c>
      <c r="AA159" s="11">
        <f>(AB159-AC159)*$X$48*('Prod Energie'!F59)</f>
        <v>6.1101625636709764</v>
      </c>
      <c r="AB159" s="11">
        <f>AB164/(1+$P$48+$Q$48)</f>
        <v>-17.15298313332087</v>
      </c>
      <c r="AC159" s="11">
        <f>AC164/(1+$D$48)</f>
        <v>0</v>
      </c>
      <c r="AD159" s="11">
        <v>0</v>
      </c>
      <c r="AE159" s="11">
        <f t="shared" si="30"/>
        <v>-5.2625640279787618</v>
      </c>
    </row>
    <row r="160" spans="2:31">
      <c r="B160" s="22" t="s">
        <v>36</v>
      </c>
      <c r="C160" s="11">
        <v>0</v>
      </c>
      <c r="D160" s="11">
        <v>0</v>
      </c>
      <c r="E160" s="11">
        <v>0</v>
      </c>
      <c r="F160" s="11">
        <v>0</v>
      </c>
      <c r="G160" s="11">
        <v>0</v>
      </c>
      <c r="H160" s="11"/>
      <c r="I160" s="11"/>
      <c r="J160" s="11"/>
      <c r="K160" s="11"/>
      <c r="L160" s="11"/>
      <c r="M160" s="11"/>
      <c r="N160" s="11"/>
      <c r="O160" s="11">
        <v>0</v>
      </c>
      <c r="P160" s="11">
        <v>0</v>
      </c>
      <c r="Q160" s="11">
        <v>0</v>
      </c>
      <c r="R160" s="11">
        <v>0</v>
      </c>
      <c r="S160" s="11">
        <f t="shared" si="29"/>
        <v>0</v>
      </c>
      <c r="U160" s="22" t="s">
        <v>36</v>
      </c>
      <c r="V160" s="11">
        <v>0</v>
      </c>
      <c r="W160" s="11">
        <v>0</v>
      </c>
      <c r="X160" s="11">
        <v>0</v>
      </c>
      <c r="Y160" s="11">
        <v>0</v>
      </c>
      <c r="Z160" s="11">
        <v>0</v>
      </c>
      <c r="AA160" s="11">
        <v>0</v>
      </c>
      <c r="AB160" s="11">
        <v>0</v>
      </c>
      <c r="AC160" s="11">
        <v>0</v>
      </c>
      <c r="AD160" s="11">
        <v>0</v>
      </c>
      <c r="AE160" s="11">
        <f t="shared" si="30"/>
        <v>0</v>
      </c>
    </row>
    <row r="161" spans="2:32">
      <c r="B161" s="22" t="s">
        <v>37</v>
      </c>
      <c r="C161" s="11">
        <v>0</v>
      </c>
      <c r="D161" s="11">
        <v>0</v>
      </c>
      <c r="E161" s="11">
        <v>0</v>
      </c>
      <c r="F161" s="11">
        <v>0</v>
      </c>
      <c r="G161" s="11">
        <v>0</v>
      </c>
      <c r="H161" s="11"/>
      <c r="I161" s="11"/>
      <c r="J161" s="11"/>
      <c r="K161" s="11"/>
      <c r="L161" s="11"/>
      <c r="M161" s="11"/>
      <c r="N161" s="11"/>
      <c r="O161" s="11">
        <v>0</v>
      </c>
      <c r="P161" s="11">
        <v>0</v>
      </c>
      <c r="Q161" s="11">
        <v>0</v>
      </c>
      <c r="R161" s="11">
        <v>0</v>
      </c>
      <c r="S161" s="11">
        <f t="shared" si="29"/>
        <v>0</v>
      </c>
      <c r="U161" s="22" t="s">
        <v>37</v>
      </c>
      <c r="V161" s="11">
        <v>0</v>
      </c>
      <c r="W161" s="11">
        <v>0</v>
      </c>
      <c r="X161" s="11">
        <v>0</v>
      </c>
      <c r="Y161" s="11">
        <v>0</v>
      </c>
      <c r="Z161" s="11">
        <v>0</v>
      </c>
      <c r="AA161" s="11">
        <v>0</v>
      </c>
      <c r="AB161" s="11">
        <v>0</v>
      </c>
      <c r="AC161" s="11">
        <v>0</v>
      </c>
      <c r="AD161" s="11">
        <v>0</v>
      </c>
      <c r="AE161" s="11">
        <f t="shared" si="30"/>
        <v>0</v>
      </c>
    </row>
    <row r="162" spans="2:32">
      <c r="B162" s="22" t="s">
        <v>38</v>
      </c>
      <c r="C162" s="11">
        <v>0</v>
      </c>
      <c r="D162" s="11">
        <v>0</v>
      </c>
      <c r="E162" s="11">
        <v>0</v>
      </c>
      <c r="F162" s="11">
        <v>0</v>
      </c>
      <c r="G162" s="11">
        <v>0</v>
      </c>
      <c r="H162" s="11"/>
      <c r="I162" s="11"/>
      <c r="J162" s="11"/>
      <c r="K162" s="11"/>
      <c r="L162" s="11"/>
      <c r="M162" s="11"/>
      <c r="N162" s="11"/>
      <c r="O162" s="11">
        <v>0</v>
      </c>
      <c r="P162" s="11">
        <f>P159*$P$48</f>
        <v>0.24771839903634463</v>
      </c>
      <c r="Q162" s="11">
        <v>0</v>
      </c>
      <c r="R162" s="11">
        <v>0</v>
      </c>
      <c r="S162" s="11">
        <f t="shared" si="29"/>
        <v>0.24771839903634463</v>
      </c>
      <c r="U162" s="22" t="s">
        <v>38</v>
      </c>
      <c r="V162" s="11">
        <v>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11">
        <f>AB159*$P$48</f>
        <v>0.20482885692660541</v>
      </c>
      <c r="AC162" s="11">
        <v>0</v>
      </c>
      <c r="AD162" s="11">
        <v>0</v>
      </c>
      <c r="AE162" s="11">
        <f t="shared" si="30"/>
        <v>0.20482885692660541</v>
      </c>
    </row>
    <row r="163" spans="2:32">
      <c r="B163" s="22" t="s">
        <v>39</v>
      </c>
      <c r="C163" s="11">
        <v>0</v>
      </c>
      <c r="D163" s="11">
        <v>0</v>
      </c>
      <c r="E163" s="11">
        <v>0</v>
      </c>
      <c r="F163" s="11">
        <v>0</v>
      </c>
      <c r="G163" s="11">
        <v>0</v>
      </c>
      <c r="H163" s="11"/>
      <c r="I163" s="11"/>
      <c r="J163" s="11"/>
      <c r="K163" s="11"/>
      <c r="L163" s="11"/>
      <c r="M163" s="11"/>
      <c r="N163" s="11"/>
      <c r="O163" s="11">
        <v>0</v>
      </c>
      <c r="P163" s="11">
        <f>P159*$Q$48</f>
        <v>1.3266990375610681</v>
      </c>
      <c r="Q163" s="11">
        <f>Q159*$D$48</f>
        <v>0</v>
      </c>
      <c r="R163" s="11">
        <v>0</v>
      </c>
      <c r="S163" s="11">
        <f t="shared" si="29"/>
        <v>1.3266990375610681</v>
      </c>
      <c r="U163" s="22" t="s">
        <v>39</v>
      </c>
      <c r="V163" s="11">
        <v>0</v>
      </c>
      <c r="W163" s="11">
        <v>0</v>
      </c>
      <c r="X163" s="11">
        <v>0</v>
      </c>
      <c r="Y163" s="11">
        <v>0</v>
      </c>
      <c r="Z163" s="11">
        <v>0</v>
      </c>
      <c r="AA163" s="11">
        <v>0</v>
      </c>
      <c r="AB163" s="11">
        <f>AB159*$Q$48</f>
        <v>1.0969966236112771</v>
      </c>
      <c r="AC163" s="11">
        <f>AC159*$D$48</f>
        <v>0</v>
      </c>
      <c r="AD163" s="11">
        <v>0</v>
      </c>
      <c r="AE163" s="11">
        <f t="shared" si="30"/>
        <v>1.0969966236112771</v>
      </c>
    </row>
    <row r="164" spans="2:32">
      <c r="B164" s="24" t="s">
        <v>40</v>
      </c>
      <c r="C164" s="15">
        <f t="shared" ref="C164:O164" si="31">SUM(C158:C163)</f>
        <v>0</v>
      </c>
      <c r="D164" s="15">
        <f t="shared" si="31"/>
        <v>0</v>
      </c>
      <c r="E164" s="15">
        <f t="shared" si="31"/>
        <v>17.049152967763426</v>
      </c>
      <c r="F164" s="15">
        <f t="shared" si="31"/>
        <v>0</v>
      </c>
      <c r="G164" s="15">
        <f t="shared" si="31"/>
        <v>7.3500274980829658</v>
      </c>
      <c r="H164" s="15"/>
      <c r="I164" s="15"/>
      <c r="J164" s="15"/>
      <c r="K164" s="15"/>
      <c r="L164" s="15"/>
      <c r="M164" s="15"/>
      <c r="N164" s="15"/>
      <c r="O164" s="15">
        <f t="shared" si="31"/>
        <v>9.546534558983053</v>
      </c>
      <c r="P164" s="15">
        <f>-P172</f>
        <v>-19.170264656737785</v>
      </c>
      <c r="Q164" s="15">
        <f>-Q172</f>
        <v>0</v>
      </c>
      <c r="R164" s="15">
        <v>0</v>
      </c>
      <c r="S164" s="15">
        <f t="shared" si="29"/>
        <v>14.775450368091661</v>
      </c>
      <c r="U164" s="24" t="s">
        <v>40</v>
      </c>
      <c r="V164" s="15">
        <f t="shared" ref="V164:AA164" si="32">SUM(V158:V163)</f>
        <v>0</v>
      </c>
      <c r="W164" s="15">
        <f t="shared" si="32"/>
        <v>0</v>
      </c>
      <c r="X164" s="15">
        <f t="shared" si="32"/>
        <v>0</v>
      </c>
      <c r="Y164" s="15">
        <f t="shared" si="32"/>
        <v>0</v>
      </c>
      <c r="Z164" s="15">
        <f t="shared" si="32"/>
        <v>5.7802565416711307</v>
      </c>
      <c r="AA164" s="15">
        <f t="shared" si="32"/>
        <v>6.1101625636709764</v>
      </c>
      <c r="AB164" s="15">
        <f>-AB172</f>
        <v>-15.851157652782987</v>
      </c>
      <c r="AC164" s="15">
        <f>-AC172</f>
        <v>0</v>
      </c>
      <c r="AD164" s="15">
        <v>0</v>
      </c>
      <c r="AE164" s="15">
        <f t="shared" si="30"/>
        <v>-3.9607385474408794</v>
      </c>
    </row>
    <row r="165" spans="2:32">
      <c r="B165" s="22" t="s">
        <v>41</v>
      </c>
      <c r="C165" s="11">
        <v>0</v>
      </c>
      <c r="D165" s="11">
        <v>0</v>
      </c>
      <c r="E165" s="11">
        <f>Industrie!F35</f>
        <v>0</v>
      </c>
      <c r="F165" s="11">
        <v>0</v>
      </c>
      <c r="G165" s="11">
        <v>0</v>
      </c>
      <c r="H165" s="11"/>
      <c r="I165" s="11"/>
      <c r="J165" s="11"/>
      <c r="K165" s="11"/>
      <c r="L165" s="11"/>
      <c r="M165" s="11"/>
      <c r="N165" s="11"/>
      <c r="O165" s="11">
        <f>Industrie!F38</f>
        <v>0</v>
      </c>
      <c r="P165" s="11">
        <f>Industrie!F36</f>
        <v>1.4022328378287445</v>
      </c>
      <c r="Q165" s="11">
        <f>Industrie!F39</f>
        <v>0</v>
      </c>
      <c r="R165" s="11">
        <v>0</v>
      </c>
      <c r="S165" s="11">
        <f t="shared" si="29"/>
        <v>1.4022328378287445</v>
      </c>
      <c r="U165" s="22" t="s">
        <v>41</v>
      </c>
      <c r="V165" s="11">
        <v>0</v>
      </c>
      <c r="W165" s="11">
        <v>0</v>
      </c>
      <c r="X165" s="11">
        <f>Industrie!F56</f>
        <v>0</v>
      </c>
      <c r="Y165" s="11">
        <v>0</v>
      </c>
      <c r="Z165" s="11">
        <v>0</v>
      </c>
      <c r="AA165" s="11">
        <f>Industrie!F62</f>
        <v>0</v>
      </c>
      <c r="AB165" s="11">
        <f>Industrie!F57</f>
        <v>1.1122472713662015</v>
      </c>
      <c r="AC165" s="11">
        <f>Industrie!F63</f>
        <v>0</v>
      </c>
      <c r="AD165" s="11">
        <v>0</v>
      </c>
      <c r="AE165" s="11">
        <f t="shared" si="30"/>
        <v>1.1122472713662015</v>
      </c>
    </row>
    <row r="166" spans="2:32">
      <c r="B166" s="22" t="s">
        <v>42</v>
      </c>
      <c r="C166" s="11">
        <v>0</v>
      </c>
      <c r="D166" s="11">
        <v>0</v>
      </c>
      <c r="E166" s="11">
        <f>Transports!H49</f>
        <v>32.325086706435947</v>
      </c>
      <c r="F166" s="11">
        <v>0</v>
      </c>
      <c r="G166" s="11">
        <v>0</v>
      </c>
      <c r="H166" s="11"/>
      <c r="I166" s="11"/>
      <c r="J166" s="11"/>
      <c r="K166" s="11"/>
      <c r="L166" s="11"/>
      <c r="M166" s="11"/>
      <c r="N166" s="11"/>
      <c r="O166" s="11">
        <v>0</v>
      </c>
      <c r="P166" s="11">
        <f>Transports!H50</f>
        <v>0.44980498824547199</v>
      </c>
      <c r="Q166" s="11">
        <v>0</v>
      </c>
      <c r="R166" s="11">
        <v>0</v>
      </c>
      <c r="S166" s="11">
        <f>Transports!H51</f>
        <v>32.774891694681422</v>
      </c>
      <c r="U166" s="22" t="s">
        <v>42</v>
      </c>
      <c r="V166" s="11">
        <v>0</v>
      </c>
      <c r="W166" s="11">
        <v>0</v>
      </c>
      <c r="X166" s="11">
        <f>Transports!H76</f>
        <v>22.539638955793198</v>
      </c>
      <c r="Y166" s="11">
        <v>0</v>
      </c>
      <c r="Z166" s="11">
        <v>0</v>
      </c>
      <c r="AA166" s="11">
        <v>0</v>
      </c>
      <c r="AB166" s="11">
        <f>Transports!H77</f>
        <v>3.9162737602552951</v>
      </c>
      <c r="AC166" s="11">
        <v>0</v>
      </c>
      <c r="AD166" s="11">
        <v>0</v>
      </c>
      <c r="AE166" s="11">
        <f>Transports!H78</f>
        <v>26.455912716048491</v>
      </c>
    </row>
    <row r="167" spans="2:32">
      <c r="B167" s="22" t="s">
        <v>43</v>
      </c>
      <c r="C167" s="11">
        <v>0</v>
      </c>
      <c r="D167" s="11">
        <v>0</v>
      </c>
      <c r="E167" s="11">
        <f>'Résidentiel-tertiaire'!F172</f>
        <v>1.9588877185970415</v>
      </c>
      <c r="F167" s="11">
        <v>0</v>
      </c>
      <c r="G167" s="11">
        <v>0</v>
      </c>
      <c r="H167" s="11"/>
      <c r="I167" s="11"/>
      <c r="J167" s="11"/>
      <c r="K167" s="11"/>
      <c r="L167" s="11"/>
      <c r="M167" s="11"/>
      <c r="N167" s="11"/>
      <c r="O167" s="11">
        <f>'Résidentiel-tertiaire'!F173</f>
        <v>0</v>
      </c>
      <c r="P167" s="11">
        <f>'Résidentiel-tertiaire'!F174</f>
        <v>8.1186216614912539</v>
      </c>
      <c r="Q167" s="11">
        <v>0</v>
      </c>
      <c r="R167" s="11">
        <v>0</v>
      </c>
      <c r="S167" s="11">
        <f>SUM(C167:R167)</f>
        <v>10.077509380088296</v>
      </c>
      <c r="U167" s="22" t="s">
        <v>43</v>
      </c>
      <c r="V167" s="11">
        <v>0</v>
      </c>
      <c r="W167" s="11">
        <v>0</v>
      </c>
      <c r="X167" s="11">
        <f>'Résidentiel-tertiaire'!F187</f>
        <v>0.97749999999999981</v>
      </c>
      <c r="Y167" s="11">
        <v>0</v>
      </c>
      <c r="Z167" s="11">
        <v>0</v>
      </c>
      <c r="AA167" s="11">
        <f>'Résidentiel-tertiaire'!F188</f>
        <v>0.51782554277566228</v>
      </c>
      <c r="AB167" s="11">
        <f>'Résidentiel-tertiaire'!F189</f>
        <v>6.4965441009451173</v>
      </c>
      <c r="AC167" s="11">
        <v>0</v>
      </c>
      <c r="AD167" s="11">
        <v>0</v>
      </c>
      <c r="AE167" s="11">
        <f>SUM(V167:AD167)</f>
        <v>7.9918696437207792</v>
      </c>
    </row>
    <row r="168" spans="2:32">
      <c r="B168" s="22" t="s">
        <v>44</v>
      </c>
      <c r="C168" s="11">
        <v>0</v>
      </c>
      <c r="D168" s="11">
        <v>0</v>
      </c>
      <c r="E168" s="11">
        <f>'Résidentiel-tertiaire'!F177</f>
        <v>0.83915487444643633</v>
      </c>
      <c r="F168" s="11">
        <v>0</v>
      </c>
      <c r="G168" s="11">
        <v>0</v>
      </c>
      <c r="H168" s="11"/>
      <c r="I168" s="11"/>
      <c r="J168" s="11"/>
      <c r="K168" s="11"/>
      <c r="L168" s="11"/>
      <c r="M168" s="11"/>
      <c r="N168" s="11"/>
      <c r="O168" s="11">
        <f>'Résidentiel-tertiaire'!F178</f>
        <v>0</v>
      </c>
      <c r="P168" s="11">
        <f>'Résidentiel-tertiaire'!F179</f>
        <v>9.1996051691723153</v>
      </c>
      <c r="Q168" s="11">
        <v>0</v>
      </c>
      <c r="R168" s="11">
        <v>0</v>
      </c>
      <c r="S168" s="11">
        <f>SUM(C168:R168)</f>
        <v>10.038760043618751</v>
      </c>
      <c r="U168" s="22" t="s">
        <v>44</v>
      </c>
      <c r="V168" s="11">
        <v>0</v>
      </c>
      <c r="W168" s="11">
        <v>0</v>
      </c>
      <c r="X168" s="11">
        <f>'Résidentiel-tertiaire'!F192</f>
        <v>0.49194444444444441</v>
      </c>
      <c r="Y168" s="11">
        <v>0</v>
      </c>
      <c r="Z168" s="11">
        <v>0</v>
      </c>
      <c r="AA168" s="11">
        <f>'Résidentiel-tertiaire'!F193</f>
        <v>0</v>
      </c>
      <c r="AB168" s="11">
        <f>'Résidentiel-tertiaire'!F194</f>
        <v>4.326092520216374</v>
      </c>
      <c r="AC168" s="11">
        <v>0</v>
      </c>
      <c r="AD168" s="11">
        <v>0</v>
      </c>
      <c r="AE168" s="11">
        <f>SUM(V168:AD168)</f>
        <v>4.8180369646608181</v>
      </c>
    </row>
    <row r="169" spans="2:32">
      <c r="B169" s="22" t="s">
        <v>4</v>
      </c>
      <c r="C169" s="11">
        <v>0</v>
      </c>
      <c r="D169" s="11">
        <v>0</v>
      </c>
      <c r="E169" s="11">
        <f>Agriculture!P27</f>
        <v>0.33946819285466528</v>
      </c>
      <c r="F169" s="11">
        <v>0</v>
      </c>
      <c r="G169" s="11">
        <v>0</v>
      </c>
      <c r="H169" s="11"/>
      <c r="I169" s="11"/>
      <c r="J169" s="11"/>
      <c r="K169" s="11"/>
      <c r="L169" s="11"/>
      <c r="M169" s="11"/>
      <c r="N169" s="11"/>
      <c r="O169" s="11">
        <v>0</v>
      </c>
      <c r="P169" s="11">
        <f>Agriculture!P28</f>
        <v>0</v>
      </c>
      <c r="Q169" s="11">
        <v>0</v>
      </c>
      <c r="R169" s="11">
        <v>0</v>
      </c>
      <c r="S169" s="11">
        <f>SUM(C169:R169)</f>
        <v>0.33946819285466528</v>
      </c>
      <c r="U169" s="22" t="s">
        <v>4</v>
      </c>
      <c r="V169" s="11">
        <v>0</v>
      </c>
      <c r="W169" s="11">
        <v>0</v>
      </c>
      <c r="X169" s="11">
        <f>Agriculture!U43</f>
        <v>0.160752688172043</v>
      </c>
      <c r="Y169" s="11">
        <v>0</v>
      </c>
      <c r="Z169" s="11">
        <v>0</v>
      </c>
      <c r="AA169" s="11">
        <f>Agriculture!U45</f>
        <v>0.1597238709677419</v>
      </c>
      <c r="AB169" s="11">
        <f>Agriculture!U44</f>
        <v>0</v>
      </c>
      <c r="AC169" s="11">
        <v>0</v>
      </c>
      <c r="AD169" s="11">
        <v>0</v>
      </c>
      <c r="AE169" s="11">
        <f>SUM(V169:AD169)</f>
        <v>0.3204765591397849</v>
      </c>
    </row>
    <row r="170" spans="2:32">
      <c r="B170" s="26" t="s">
        <v>45</v>
      </c>
      <c r="C170" s="19">
        <v>0</v>
      </c>
      <c r="D170" s="19">
        <v>0</v>
      </c>
      <c r="E170" s="19">
        <f t="shared" ref="E170:S170" si="33">SUM(E165:E169)</f>
        <v>35.462597492334091</v>
      </c>
      <c r="F170" s="19">
        <f t="shared" si="33"/>
        <v>0</v>
      </c>
      <c r="G170" s="19">
        <f t="shared" si="33"/>
        <v>0</v>
      </c>
      <c r="H170" s="19"/>
      <c r="I170" s="19"/>
      <c r="J170" s="19"/>
      <c r="K170" s="19"/>
      <c r="L170" s="19"/>
      <c r="M170" s="19"/>
      <c r="N170" s="19"/>
      <c r="O170" s="19">
        <f t="shared" si="33"/>
        <v>0</v>
      </c>
      <c r="P170" s="19">
        <f t="shared" si="33"/>
        <v>19.170264656737785</v>
      </c>
      <c r="Q170" s="19">
        <f t="shared" si="33"/>
        <v>0</v>
      </c>
      <c r="R170" s="19">
        <f t="shared" si="33"/>
        <v>0</v>
      </c>
      <c r="S170" s="19">
        <f t="shared" si="33"/>
        <v>54.632862149071876</v>
      </c>
      <c r="U170" s="26" t="s">
        <v>45</v>
      </c>
      <c r="V170" s="19">
        <v>0</v>
      </c>
      <c r="W170" s="19">
        <v>0</v>
      </c>
      <c r="X170" s="19">
        <f t="shared" ref="X170:AE170" si="34">SUM(X165:X169)</f>
        <v>24.169836088409685</v>
      </c>
      <c r="Y170" s="19">
        <f t="shared" si="34"/>
        <v>0</v>
      </c>
      <c r="Z170" s="19">
        <f t="shared" si="34"/>
        <v>0</v>
      </c>
      <c r="AA170" s="19">
        <f t="shared" si="34"/>
        <v>0.67754941374340416</v>
      </c>
      <c r="AB170" s="19">
        <f t="shared" si="34"/>
        <v>15.851157652782987</v>
      </c>
      <c r="AC170" s="19">
        <f t="shared" si="34"/>
        <v>0</v>
      </c>
      <c r="AD170" s="19">
        <f t="shared" si="34"/>
        <v>0</v>
      </c>
      <c r="AE170" s="19">
        <f t="shared" si="34"/>
        <v>40.698543154936075</v>
      </c>
    </row>
    <row r="171" spans="2:32">
      <c r="B171" s="26" t="s">
        <v>46</v>
      </c>
      <c r="C171" s="19">
        <v>0</v>
      </c>
      <c r="D171" s="19">
        <v>0</v>
      </c>
      <c r="E171" s="19">
        <f>Industrie!F37</f>
        <v>0</v>
      </c>
      <c r="F171" s="19">
        <v>0</v>
      </c>
      <c r="G171" s="19">
        <v>0</v>
      </c>
      <c r="H171" s="19"/>
      <c r="I171" s="19"/>
      <c r="J171" s="19"/>
      <c r="K171" s="19"/>
      <c r="L171" s="19"/>
      <c r="M171" s="19"/>
      <c r="N171" s="19"/>
      <c r="O171" s="19">
        <v>0</v>
      </c>
      <c r="P171" s="19">
        <v>0</v>
      </c>
      <c r="Q171" s="19">
        <v>0</v>
      </c>
      <c r="R171" s="19">
        <v>0</v>
      </c>
      <c r="S171" s="19">
        <f>SUM(C171:R171)</f>
        <v>0</v>
      </c>
      <c r="U171" s="26" t="s">
        <v>46</v>
      </c>
      <c r="V171" s="19">
        <v>0</v>
      </c>
      <c r="W171" s="19">
        <v>0</v>
      </c>
      <c r="X171" s="19">
        <f>Industrie!F59</f>
        <v>0</v>
      </c>
      <c r="Y171" s="19">
        <v>0</v>
      </c>
      <c r="Z171" s="19">
        <v>0</v>
      </c>
      <c r="AA171" s="19">
        <f>Industrie!F61</f>
        <v>0</v>
      </c>
      <c r="AB171" s="19">
        <v>0</v>
      </c>
      <c r="AC171" s="19">
        <v>0</v>
      </c>
      <c r="AD171" s="19">
        <v>0</v>
      </c>
      <c r="AE171" s="19">
        <f>SUM(V171:AD171)</f>
        <v>0</v>
      </c>
    </row>
    <row r="172" spans="2:32">
      <c r="B172" s="24" t="s">
        <v>47</v>
      </c>
      <c r="C172" s="15">
        <v>0</v>
      </c>
      <c r="D172" s="15">
        <v>0</v>
      </c>
      <c r="E172" s="15">
        <f t="shared" ref="E172:S172" si="35">SUM(E170:E171)</f>
        <v>35.462597492334091</v>
      </c>
      <c r="F172" s="15">
        <f t="shared" si="35"/>
        <v>0</v>
      </c>
      <c r="G172" s="15">
        <f t="shared" si="35"/>
        <v>0</v>
      </c>
      <c r="H172" s="15"/>
      <c r="I172" s="15"/>
      <c r="J172" s="15"/>
      <c r="K172" s="15"/>
      <c r="L172" s="15"/>
      <c r="M172" s="15"/>
      <c r="N172" s="15"/>
      <c r="O172" s="15">
        <f t="shared" si="35"/>
        <v>0</v>
      </c>
      <c r="P172" s="15">
        <f t="shared" si="35"/>
        <v>19.170264656737785</v>
      </c>
      <c r="Q172" s="15">
        <f t="shared" si="35"/>
        <v>0</v>
      </c>
      <c r="R172" s="15">
        <f t="shared" si="35"/>
        <v>0</v>
      </c>
      <c r="S172" s="15">
        <f t="shared" si="35"/>
        <v>54.632862149071876</v>
      </c>
      <c r="T172" s="27">
        <f>SUM(C172:R172)</f>
        <v>54.632862149071876</v>
      </c>
      <c r="U172" s="24" t="s">
        <v>47</v>
      </c>
      <c r="V172" s="15">
        <v>0</v>
      </c>
      <c r="W172" s="15">
        <v>0</v>
      </c>
      <c r="X172" s="15">
        <f t="shared" ref="X172:AE172" si="36">SUM(X170:X171)</f>
        <v>24.169836088409685</v>
      </c>
      <c r="Y172" s="15">
        <f t="shared" si="36"/>
        <v>0</v>
      </c>
      <c r="Z172" s="15">
        <f t="shared" si="36"/>
        <v>0</v>
      </c>
      <c r="AA172" s="15">
        <f t="shared" si="36"/>
        <v>0.67754941374340416</v>
      </c>
      <c r="AB172" s="15">
        <f t="shared" si="36"/>
        <v>15.851157652782987</v>
      </c>
      <c r="AC172" s="15">
        <f t="shared" si="36"/>
        <v>0</v>
      </c>
      <c r="AD172" s="15">
        <f t="shared" si="36"/>
        <v>0</v>
      </c>
      <c r="AE172" s="15">
        <f t="shared" si="36"/>
        <v>40.698543154936075</v>
      </c>
      <c r="AF172" s="27">
        <f>SUM(V172:AD172)</f>
        <v>40.698543154936075</v>
      </c>
    </row>
    <row r="178" spans="2:31">
      <c r="C178" s="4" t="s">
        <v>54</v>
      </c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 t="s">
        <v>54</v>
      </c>
      <c r="W178" s="4"/>
    </row>
    <row r="179" spans="2:31" ht="43.2">
      <c r="B179" s="20">
        <v>2040</v>
      </c>
      <c r="C179" s="7" t="s">
        <v>14</v>
      </c>
      <c r="D179" s="7" t="s">
        <v>15</v>
      </c>
      <c r="E179" s="7" t="s">
        <v>16</v>
      </c>
      <c r="F179" s="7" t="s">
        <v>17</v>
      </c>
      <c r="G179" s="7" t="s">
        <v>18</v>
      </c>
      <c r="H179" s="222"/>
      <c r="I179" s="222"/>
      <c r="J179" s="222"/>
      <c r="K179" s="222"/>
      <c r="L179" s="222"/>
      <c r="M179" s="222"/>
      <c r="N179" s="222"/>
      <c r="O179" s="7" t="s">
        <v>19</v>
      </c>
      <c r="P179" s="7" t="s">
        <v>20</v>
      </c>
      <c r="Q179" s="7" t="s">
        <v>21</v>
      </c>
      <c r="R179" s="7"/>
      <c r="S179" s="7" t="s">
        <v>23</v>
      </c>
      <c r="U179" s="21">
        <v>2040</v>
      </c>
      <c r="V179" s="7" t="s">
        <v>14</v>
      </c>
      <c r="W179" s="7" t="s">
        <v>15</v>
      </c>
      <c r="X179" s="7" t="s">
        <v>16</v>
      </c>
      <c r="Y179" s="7" t="s">
        <v>17</v>
      </c>
      <c r="Z179" s="7" t="s">
        <v>18</v>
      </c>
      <c r="AA179" s="7" t="s">
        <v>19</v>
      </c>
      <c r="AB179" s="7" t="s">
        <v>20</v>
      </c>
      <c r="AC179" s="7" t="s">
        <v>21</v>
      </c>
      <c r="AD179" s="7"/>
      <c r="AE179" s="7" t="s">
        <v>23</v>
      </c>
    </row>
    <row r="180" spans="2:31">
      <c r="B180" s="22" t="s">
        <v>24</v>
      </c>
      <c r="C180" s="11">
        <v>0</v>
      </c>
      <c r="D180" s="11">
        <v>0</v>
      </c>
      <c r="E180" s="11">
        <v>0</v>
      </c>
      <c r="F180" s="11">
        <v>0</v>
      </c>
      <c r="G180" s="11">
        <v>0</v>
      </c>
      <c r="H180" s="11"/>
      <c r="I180" s="11"/>
      <c r="J180" s="11"/>
      <c r="K180" s="11"/>
      <c r="L180" s="11"/>
      <c r="M180" s="11"/>
      <c r="N180" s="11"/>
      <c r="O180" s="11">
        <v>0</v>
      </c>
      <c r="P180" s="11">
        <v>0</v>
      </c>
      <c r="Q180" s="11">
        <v>0</v>
      </c>
      <c r="R180" s="11">
        <v>0</v>
      </c>
      <c r="S180" s="11">
        <f>SUM(C180:R180)</f>
        <v>0</v>
      </c>
      <c r="U180" s="22" t="s">
        <v>24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0</v>
      </c>
      <c r="AB180" s="11">
        <v>0</v>
      </c>
      <c r="AC180" s="11">
        <v>0</v>
      </c>
      <c r="AD180" s="11">
        <v>0</v>
      </c>
      <c r="AE180" s="11">
        <f>SUM(V180:AD180)</f>
        <v>0</v>
      </c>
    </row>
    <row r="181" spans="2:31">
      <c r="B181" s="22" t="s">
        <v>25</v>
      </c>
      <c r="C181" s="11">
        <v>0</v>
      </c>
      <c r="D181" s="11">
        <v>0</v>
      </c>
      <c r="E181" s="11">
        <v>0</v>
      </c>
      <c r="F181" s="11">
        <v>0</v>
      </c>
      <c r="G181" s="11">
        <v>0</v>
      </c>
      <c r="H181" s="11"/>
      <c r="I181" s="11"/>
      <c r="J181" s="11"/>
      <c r="K181" s="11"/>
      <c r="L181" s="11"/>
      <c r="M181" s="11"/>
      <c r="N181" s="11"/>
      <c r="O181" s="11">
        <v>0</v>
      </c>
      <c r="P181" s="11">
        <v>0</v>
      </c>
      <c r="Q181" s="11">
        <v>0</v>
      </c>
      <c r="R181" s="11">
        <v>0</v>
      </c>
      <c r="S181" s="11">
        <f t="shared" ref="S181:S189" si="37">SUM(C181:R181)</f>
        <v>0</v>
      </c>
      <c r="U181" s="22" t="s">
        <v>25</v>
      </c>
      <c r="V181" s="11">
        <v>0</v>
      </c>
      <c r="W181" s="11">
        <v>0</v>
      </c>
      <c r="X181" s="11">
        <v>0</v>
      </c>
      <c r="Y181" s="11">
        <v>0</v>
      </c>
      <c r="Z181" s="11">
        <v>0</v>
      </c>
      <c r="AA181" s="11">
        <v>0</v>
      </c>
      <c r="AB181" s="11">
        <v>0</v>
      </c>
      <c r="AC181" s="11">
        <v>0</v>
      </c>
      <c r="AD181" s="11">
        <v>0</v>
      </c>
      <c r="AE181" s="11">
        <f t="shared" ref="AE181:AE188" si="38">SUM(V181:AD181)</f>
        <v>0</v>
      </c>
    </row>
    <row r="182" spans="2:31">
      <c r="B182" s="22" t="s">
        <v>26</v>
      </c>
      <c r="C182" s="11">
        <v>0</v>
      </c>
      <c r="D182" s="11">
        <v>0</v>
      </c>
      <c r="E182" s="11">
        <v>0</v>
      </c>
      <c r="F182" s="11">
        <v>0</v>
      </c>
      <c r="G182" s="11">
        <v>0</v>
      </c>
      <c r="H182" s="11"/>
      <c r="I182" s="11"/>
      <c r="J182" s="11"/>
      <c r="K182" s="11"/>
      <c r="L182" s="11"/>
      <c r="M182" s="11"/>
      <c r="N182" s="11"/>
      <c r="O182" s="11">
        <v>0</v>
      </c>
      <c r="P182" s="11">
        <v>0</v>
      </c>
      <c r="Q182" s="11">
        <v>0</v>
      </c>
      <c r="R182" s="11">
        <v>0</v>
      </c>
      <c r="S182" s="11">
        <f t="shared" si="37"/>
        <v>0</v>
      </c>
      <c r="U182" s="22" t="s">
        <v>26</v>
      </c>
      <c r="V182" s="11">
        <v>0</v>
      </c>
      <c r="W182" s="11">
        <v>0</v>
      </c>
      <c r="X182" s="11">
        <v>0</v>
      </c>
      <c r="Y182" s="11">
        <v>0</v>
      </c>
      <c r="Z182" s="11">
        <v>0</v>
      </c>
      <c r="AA182" s="11">
        <v>0</v>
      </c>
      <c r="AB182" s="11">
        <v>0</v>
      </c>
      <c r="AC182" s="11">
        <v>0</v>
      </c>
      <c r="AD182" s="11">
        <v>0</v>
      </c>
      <c r="AE182" s="11">
        <f t="shared" si="38"/>
        <v>0</v>
      </c>
    </row>
    <row r="183" spans="2:31">
      <c r="B183" s="22" t="s">
        <v>27</v>
      </c>
      <c r="C183" s="11">
        <v>0</v>
      </c>
      <c r="D183" s="11">
        <v>0</v>
      </c>
      <c r="E183" s="11">
        <v>0</v>
      </c>
      <c r="F183" s="11">
        <v>0</v>
      </c>
      <c r="G183" s="11">
        <v>0</v>
      </c>
      <c r="H183" s="11"/>
      <c r="I183" s="11"/>
      <c r="J183" s="11"/>
      <c r="K183" s="11"/>
      <c r="L183" s="11"/>
      <c r="M183" s="11"/>
      <c r="N183" s="11"/>
      <c r="O183" s="11">
        <v>0</v>
      </c>
      <c r="P183" s="11">
        <v>0</v>
      </c>
      <c r="Q183" s="11">
        <v>0</v>
      </c>
      <c r="R183" s="11">
        <v>0</v>
      </c>
      <c r="S183" s="11">
        <f t="shared" si="37"/>
        <v>0</v>
      </c>
      <c r="U183" s="22" t="s">
        <v>27</v>
      </c>
      <c r="V183" s="11">
        <v>0</v>
      </c>
      <c r="W183" s="11">
        <v>0</v>
      </c>
      <c r="X183" s="11">
        <v>0</v>
      </c>
      <c r="Y183" s="11">
        <v>0</v>
      </c>
      <c r="Z183" s="11">
        <v>0</v>
      </c>
      <c r="AA183" s="11">
        <v>0</v>
      </c>
      <c r="AB183" s="11">
        <v>0</v>
      </c>
      <c r="AC183" s="11">
        <v>0</v>
      </c>
      <c r="AD183" s="11">
        <v>0</v>
      </c>
      <c r="AE183" s="11">
        <f t="shared" si="38"/>
        <v>0</v>
      </c>
    </row>
    <row r="184" spans="2:31">
      <c r="B184" s="22" t="s">
        <v>28</v>
      </c>
      <c r="C184" s="11">
        <v>0</v>
      </c>
      <c r="D184" s="11">
        <v>0</v>
      </c>
      <c r="E184" s="11">
        <v>0</v>
      </c>
      <c r="F184" s="11">
        <v>0</v>
      </c>
      <c r="G184" s="11">
        <v>0</v>
      </c>
      <c r="H184" s="11"/>
      <c r="I184" s="11"/>
      <c r="J184" s="11"/>
      <c r="K184" s="11"/>
      <c r="L184" s="11"/>
      <c r="M184" s="11"/>
      <c r="N184" s="11"/>
      <c r="O184" s="11">
        <v>0</v>
      </c>
      <c r="P184" s="11">
        <v>0</v>
      </c>
      <c r="Q184" s="11">
        <v>0</v>
      </c>
      <c r="R184" s="11">
        <v>0</v>
      </c>
      <c r="S184" s="11">
        <f t="shared" si="37"/>
        <v>0</v>
      </c>
      <c r="U184" s="22" t="s">
        <v>28</v>
      </c>
      <c r="V184" s="11">
        <v>0</v>
      </c>
      <c r="W184" s="11">
        <v>0</v>
      </c>
      <c r="X184" s="11">
        <v>0</v>
      </c>
      <c r="Y184" s="11">
        <v>0</v>
      </c>
      <c r="Z184" s="11">
        <v>0</v>
      </c>
      <c r="AA184" s="11">
        <v>0</v>
      </c>
      <c r="AB184" s="11">
        <v>0</v>
      </c>
      <c r="AC184" s="11">
        <v>0</v>
      </c>
      <c r="AD184" s="11">
        <v>0</v>
      </c>
      <c r="AE184" s="11">
        <f t="shared" si="38"/>
        <v>0</v>
      </c>
    </row>
    <row r="185" spans="2:31">
      <c r="B185" s="22" t="s">
        <v>29</v>
      </c>
      <c r="C185" s="11">
        <v>0</v>
      </c>
      <c r="D185" s="11">
        <v>0</v>
      </c>
      <c r="E185" s="11">
        <v>0</v>
      </c>
      <c r="F185" s="11">
        <v>0</v>
      </c>
      <c r="G185" s="11">
        <v>0</v>
      </c>
      <c r="H185" s="11"/>
      <c r="I185" s="11"/>
      <c r="J185" s="11"/>
      <c r="K185" s="11"/>
      <c r="L185" s="11"/>
      <c r="M185" s="11"/>
      <c r="N185" s="11"/>
      <c r="O185" s="11">
        <v>0</v>
      </c>
      <c r="P185" s="11">
        <v>0</v>
      </c>
      <c r="Q185" s="11">
        <v>0</v>
      </c>
      <c r="R185" s="11">
        <v>0</v>
      </c>
      <c r="S185" s="11">
        <f t="shared" si="37"/>
        <v>0</v>
      </c>
      <c r="U185" s="22" t="s">
        <v>29</v>
      </c>
      <c r="V185" s="11">
        <v>0</v>
      </c>
      <c r="W185" s="11">
        <v>0</v>
      </c>
      <c r="X185" s="11">
        <v>0</v>
      </c>
      <c r="Y185" s="11">
        <v>0</v>
      </c>
      <c r="Z185" s="11">
        <v>0</v>
      </c>
      <c r="AA185" s="11">
        <v>0</v>
      </c>
      <c r="AB185" s="11">
        <v>0</v>
      </c>
      <c r="AC185" s="11">
        <v>0</v>
      </c>
      <c r="AD185" s="11">
        <v>0</v>
      </c>
      <c r="AE185" s="11">
        <f t="shared" si="38"/>
        <v>0</v>
      </c>
    </row>
    <row r="186" spans="2:31">
      <c r="B186" s="22" t="s">
        <v>30</v>
      </c>
      <c r="C186" s="11">
        <v>0</v>
      </c>
      <c r="D186" s="11">
        <v>0</v>
      </c>
      <c r="E186" s="11">
        <v>0</v>
      </c>
      <c r="F186" s="11">
        <v>0</v>
      </c>
      <c r="G186" s="11">
        <v>0</v>
      </c>
      <c r="H186" s="11"/>
      <c r="I186" s="11"/>
      <c r="J186" s="11"/>
      <c r="K186" s="11"/>
      <c r="L186" s="11"/>
      <c r="M186" s="11"/>
      <c r="N186" s="11"/>
      <c r="O186" s="11">
        <v>0</v>
      </c>
      <c r="P186" s="11">
        <v>0</v>
      </c>
      <c r="Q186" s="11">
        <v>0</v>
      </c>
      <c r="R186" s="11">
        <v>0</v>
      </c>
      <c r="S186" s="11">
        <f t="shared" si="37"/>
        <v>0</v>
      </c>
      <c r="U186" s="22" t="s">
        <v>30</v>
      </c>
      <c r="V186" s="11">
        <v>0</v>
      </c>
      <c r="W186" s="11">
        <v>0</v>
      </c>
      <c r="X186" s="11">
        <v>0</v>
      </c>
      <c r="Y186" s="11">
        <v>0</v>
      </c>
      <c r="Z186" s="11">
        <v>0</v>
      </c>
      <c r="AA186" s="11">
        <v>0</v>
      </c>
      <c r="AB186" s="11">
        <v>0</v>
      </c>
      <c r="AC186" s="11">
        <v>0</v>
      </c>
      <c r="AD186" s="11">
        <v>0</v>
      </c>
      <c r="AE186" s="11">
        <f t="shared" si="38"/>
        <v>0</v>
      </c>
    </row>
    <row r="187" spans="2:31">
      <c r="B187" s="22" t="s">
        <v>31</v>
      </c>
      <c r="C187" s="11">
        <v>0</v>
      </c>
      <c r="D187" s="11">
        <v>0</v>
      </c>
      <c r="E187" s="11">
        <v>0</v>
      </c>
      <c r="F187" s="11">
        <v>0</v>
      </c>
      <c r="G187" s="11">
        <v>0</v>
      </c>
      <c r="H187" s="11"/>
      <c r="I187" s="11"/>
      <c r="J187" s="11"/>
      <c r="K187" s="11"/>
      <c r="L187" s="11"/>
      <c r="M187" s="11"/>
      <c r="N187" s="11"/>
      <c r="O187" s="11">
        <v>0</v>
      </c>
      <c r="P187" s="11">
        <v>0</v>
      </c>
      <c r="Q187" s="11">
        <v>0</v>
      </c>
      <c r="R187" s="11">
        <v>0</v>
      </c>
      <c r="S187" s="11">
        <f t="shared" si="37"/>
        <v>0</v>
      </c>
      <c r="U187" s="22" t="s">
        <v>31</v>
      </c>
      <c r="V187" s="11">
        <v>0</v>
      </c>
      <c r="W187" s="11">
        <v>0</v>
      </c>
      <c r="X187" s="11">
        <v>0</v>
      </c>
      <c r="Y187" s="11">
        <v>0</v>
      </c>
      <c r="Z187" s="11">
        <v>0</v>
      </c>
      <c r="AA187" s="11">
        <v>0</v>
      </c>
      <c r="AB187" s="11">
        <v>0</v>
      </c>
      <c r="AC187" s="11">
        <v>0</v>
      </c>
      <c r="AD187" s="11">
        <v>0</v>
      </c>
      <c r="AE187" s="11">
        <f t="shared" si="38"/>
        <v>0</v>
      </c>
    </row>
    <row r="188" spans="2:31">
      <c r="B188" s="22" t="s">
        <v>32</v>
      </c>
      <c r="C188" s="11">
        <v>0</v>
      </c>
      <c r="D188" s="11">
        <v>0</v>
      </c>
      <c r="E188" s="23">
        <v>0</v>
      </c>
      <c r="F188" s="11">
        <v>0</v>
      </c>
      <c r="G188" s="11">
        <v>0</v>
      </c>
      <c r="H188" s="11"/>
      <c r="I188" s="11"/>
      <c r="J188" s="11"/>
      <c r="K188" s="11"/>
      <c r="L188" s="11"/>
      <c r="M188" s="11"/>
      <c r="N188" s="11"/>
      <c r="O188" s="11">
        <v>0</v>
      </c>
      <c r="P188" s="11">
        <v>0</v>
      </c>
      <c r="Q188" s="11">
        <v>0</v>
      </c>
      <c r="R188" s="11">
        <v>0</v>
      </c>
      <c r="S188" s="11">
        <f t="shared" si="37"/>
        <v>0</v>
      </c>
      <c r="U188" s="22" t="s">
        <v>32</v>
      </c>
      <c r="V188" s="11">
        <v>0</v>
      </c>
      <c r="W188" s="11">
        <v>0</v>
      </c>
      <c r="X188" s="23">
        <v>0</v>
      </c>
      <c r="Y188" s="11">
        <v>0</v>
      </c>
      <c r="Z188" s="11">
        <v>0</v>
      </c>
      <c r="AA188" s="11">
        <v>0</v>
      </c>
      <c r="AB188" s="11">
        <v>0</v>
      </c>
      <c r="AC188" s="11">
        <v>0</v>
      </c>
      <c r="AD188" s="11">
        <v>0</v>
      </c>
      <c r="AE188" s="11">
        <f t="shared" si="38"/>
        <v>0</v>
      </c>
    </row>
    <row r="189" spans="2:31">
      <c r="B189" s="24" t="s">
        <v>33</v>
      </c>
      <c r="C189" s="15">
        <f>C180+C185+C184+C186+C187+C188</f>
        <v>0</v>
      </c>
      <c r="D189" s="15">
        <f t="shared" ref="D189:R189" si="39">D180+D185+D184+D186+D187+D188</f>
        <v>0</v>
      </c>
      <c r="E189" s="15">
        <f t="shared" si="39"/>
        <v>0</v>
      </c>
      <c r="F189" s="15">
        <f t="shared" si="39"/>
        <v>0</v>
      </c>
      <c r="G189" s="15">
        <f t="shared" si="39"/>
        <v>0</v>
      </c>
      <c r="H189" s="15">
        <f t="shared" si="39"/>
        <v>0</v>
      </c>
      <c r="I189" s="15">
        <f t="shared" si="39"/>
        <v>0</v>
      </c>
      <c r="J189" s="15">
        <f t="shared" si="39"/>
        <v>0</v>
      </c>
      <c r="K189" s="15">
        <f t="shared" si="39"/>
        <v>0</v>
      </c>
      <c r="L189" s="15">
        <f t="shared" si="39"/>
        <v>0</v>
      </c>
      <c r="M189" s="15">
        <f t="shared" si="39"/>
        <v>0</v>
      </c>
      <c r="N189" s="15">
        <f t="shared" si="39"/>
        <v>0</v>
      </c>
      <c r="O189" s="15">
        <f t="shared" si="39"/>
        <v>0</v>
      </c>
      <c r="P189" s="15">
        <f t="shared" si="39"/>
        <v>0</v>
      </c>
      <c r="Q189" s="15">
        <f t="shared" si="39"/>
        <v>0</v>
      </c>
      <c r="R189" s="15">
        <f t="shared" si="39"/>
        <v>0</v>
      </c>
      <c r="S189" s="15">
        <f t="shared" si="37"/>
        <v>0</v>
      </c>
      <c r="U189" s="24" t="s">
        <v>33</v>
      </c>
      <c r="V189" s="15">
        <f>V180+V184+V185+V186+V187+V188</f>
        <v>0</v>
      </c>
      <c r="W189" s="15">
        <f t="shared" ref="W189:AD189" si="40">W180+W184+W185+W186+W187+W188</f>
        <v>0</v>
      </c>
      <c r="X189" s="15">
        <f t="shared" si="40"/>
        <v>0</v>
      </c>
      <c r="Y189" s="15">
        <f t="shared" si="40"/>
        <v>0</v>
      </c>
      <c r="Z189" s="15">
        <f t="shared" si="40"/>
        <v>0</v>
      </c>
      <c r="AA189" s="15">
        <f t="shared" si="40"/>
        <v>0</v>
      </c>
      <c r="AB189" s="15">
        <f t="shared" si="40"/>
        <v>0</v>
      </c>
      <c r="AC189" s="15">
        <f t="shared" si="40"/>
        <v>0</v>
      </c>
      <c r="AD189" s="15">
        <f t="shared" si="40"/>
        <v>0</v>
      </c>
      <c r="AE189" s="15">
        <f>SUM(V189:AD189)</f>
        <v>0</v>
      </c>
    </row>
    <row r="190" spans="2:31">
      <c r="B190" s="22" t="s">
        <v>34</v>
      </c>
      <c r="C190" s="11">
        <v>0</v>
      </c>
      <c r="D190" s="11">
        <v>0</v>
      </c>
      <c r="E190" s="11">
        <v>0</v>
      </c>
      <c r="F190" s="11">
        <v>0</v>
      </c>
      <c r="G190" s="11">
        <v>0</v>
      </c>
      <c r="H190" s="11"/>
      <c r="I190" s="11"/>
      <c r="J190" s="11"/>
      <c r="K190" s="11"/>
      <c r="L190" s="11"/>
      <c r="M190" s="11"/>
      <c r="N190" s="11"/>
      <c r="O190" s="11">
        <v>0</v>
      </c>
      <c r="P190" s="11">
        <v>0</v>
      </c>
      <c r="Q190" s="11">
        <v>0</v>
      </c>
      <c r="R190" s="11">
        <v>0</v>
      </c>
      <c r="S190" s="11">
        <f t="shared" ref="S190:S197" si="41">SUM(C190:R190)</f>
        <v>0</v>
      </c>
      <c r="U190" s="22" t="s">
        <v>34</v>
      </c>
      <c r="V190" s="11">
        <v>0</v>
      </c>
      <c r="W190" s="11">
        <v>0</v>
      </c>
      <c r="X190" s="11">
        <v>0</v>
      </c>
      <c r="Y190" s="11">
        <v>0</v>
      </c>
      <c r="Z190" s="11">
        <v>0</v>
      </c>
      <c r="AA190" s="11">
        <v>0</v>
      </c>
      <c r="AB190" s="11">
        <v>0</v>
      </c>
      <c r="AC190" s="11">
        <v>0</v>
      </c>
      <c r="AD190" s="11">
        <v>0</v>
      </c>
      <c r="AE190" s="11">
        <f t="shared" ref="AE190:AE197" si="42">SUM(V190:AD190)</f>
        <v>0</v>
      </c>
    </row>
    <row r="191" spans="2:31">
      <c r="B191" s="22" t="s">
        <v>35</v>
      </c>
      <c r="C191" s="11">
        <f>(P191-Q191)*$X$48*('Prod Energie'!G32)</f>
        <v>0</v>
      </c>
      <c r="D191" s="11">
        <v>0</v>
      </c>
      <c r="E191" s="11">
        <f>(P191-Q191)*$X$48*('Prod Energie'!G33)</f>
        <v>16.406015953079688</v>
      </c>
      <c r="F191" s="11">
        <v>0</v>
      </c>
      <c r="G191" s="11">
        <f>(P191-Q191)*$X$48*('Prod Energie'!G40+'Prod Energie'!D39)</f>
        <v>7.3037558606459818</v>
      </c>
      <c r="H191" s="11"/>
      <c r="I191" s="11"/>
      <c r="J191" s="11"/>
      <c r="K191" s="11"/>
      <c r="L191" s="11"/>
      <c r="M191" s="11"/>
      <c r="N191" s="11"/>
      <c r="O191" s="11">
        <f>(P191-Q191)*$X$48*('Prod Energie'!G38)</f>
        <v>9.546534558983053</v>
      </c>
      <c r="P191" s="11">
        <f>P196/(1+$P$48+$Q$48)</f>
        <v>-20.468195881028223</v>
      </c>
      <c r="Q191" s="11">
        <f>Q196/(1+$D$48)</f>
        <v>0</v>
      </c>
      <c r="R191" s="11">
        <v>0</v>
      </c>
      <c r="S191" s="11">
        <f t="shared" si="41"/>
        <v>12.788110491680499</v>
      </c>
      <c r="U191" s="22" t="s">
        <v>35</v>
      </c>
      <c r="V191" s="11">
        <f>(AB191-AC191)*$X$48*('Prod Energie'!G53)</f>
        <v>0</v>
      </c>
      <c r="W191" s="11">
        <v>0</v>
      </c>
      <c r="X191" s="11">
        <f>(AB191-AC191)*$X$48*('Prod Energie'!G54)</f>
        <v>0</v>
      </c>
      <c r="Y191" s="11">
        <v>0</v>
      </c>
      <c r="Z191" s="11">
        <f>(AB191-AC191)*$X$48*('Prod Energie'!G61+'Prod Energie'!D60)</f>
        <v>6.950434380007307</v>
      </c>
      <c r="AA191" s="11">
        <f>(AB191-AC191)*$X$48*('Prod Energie'!G59)</f>
        <v>7.789385404595869</v>
      </c>
      <c r="AB191" s="11">
        <f>AB196/(1+$P$48+$Q$48)</f>
        <v>-19.367112455704994</v>
      </c>
      <c r="AC191" s="11">
        <f>AC196/(1+$D$48)</f>
        <v>0</v>
      </c>
      <c r="AD191" s="11">
        <v>0</v>
      </c>
      <c r="AE191" s="11">
        <f t="shared" si="42"/>
        <v>-4.6272926711018183</v>
      </c>
    </row>
    <row r="192" spans="2:31">
      <c r="B192" s="22" t="s">
        <v>36</v>
      </c>
      <c r="C192" s="11">
        <v>0</v>
      </c>
      <c r="D192" s="11">
        <v>0</v>
      </c>
      <c r="E192" s="11">
        <v>0</v>
      </c>
      <c r="F192" s="11">
        <v>0</v>
      </c>
      <c r="G192" s="11">
        <v>0</v>
      </c>
      <c r="H192" s="11"/>
      <c r="I192" s="11"/>
      <c r="J192" s="11"/>
      <c r="K192" s="11"/>
      <c r="L192" s="11"/>
      <c r="M192" s="11"/>
      <c r="N192" s="11"/>
      <c r="O192" s="11">
        <v>0</v>
      </c>
      <c r="P192" s="11">
        <v>0</v>
      </c>
      <c r="Q192" s="11">
        <v>0</v>
      </c>
      <c r="R192" s="11">
        <v>0</v>
      </c>
      <c r="S192" s="11">
        <f t="shared" si="41"/>
        <v>0</v>
      </c>
      <c r="U192" s="22" t="s">
        <v>36</v>
      </c>
      <c r="V192" s="11">
        <v>0</v>
      </c>
      <c r="W192" s="11">
        <v>0</v>
      </c>
      <c r="X192" s="11">
        <v>0</v>
      </c>
      <c r="Y192" s="11">
        <v>0</v>
      </c>
      <c r="Z192" s="11">
        <v>0</v>
      </c>
      <c r="AA192" s="11">
        <v>0</v>
      </c>
      <c r="AB192" s="11">
        <v>0</v>
      </c>
      <c r="AC192" s="11">
        <v>0</v>
      </c>
      <c r="AD192" s="11">
        <v>0</v>
      </c>
      <c r="AE192" s="11">
        <f t="shared" si="42"/>
        <v>0</v>
      </c>
    </row>
    <row r="193" spans="2:32">
      <c r="B193" s="22" t="s">
        <v>37</v>
      </c>
      <c r="C193" s="11">
        <v>0</v>
      </c>
      <c r="D193" s="11">
        <v>0</v>
      </c>
      <c r="E193" s="11">
        <v>0</v>
      </c>
      <c r="F193" s="11">
        <v>0</v>
      </c>
      <c r="G193" s="11">
        <v>0</v>
      </c>
      <c r="H193" s="11"/>
      <c r="I193" s="11"/>
      <c r="J193" s="11"/>
      <c r="K193" s="11"/>
      <c r="L193" s="11"/>
      <c r="M193" s="11"/>
      <c r="N193" s="11"/>
      <c r="O193" s="11">
        <v>0</v>
      </c>
      <c r="P193" s="11">
        <v>0</v>
      </c>
      <c r="Q193" s="11">
        <v>0</v>
      </c>
      <c r="R193" s="11">
        <v>0</v>
      </c>
      <c r="S193" s="11">
        <f t="shared" si="41"/>
        <v>0</v>
      </c>
      <c r="U193" s="22" t="s">
        <v>37</v>
      </c>
      <c r="V193" s="11">
        <v>0</v>
      </c>
      <c r="W193" s="11">
        <v>0</v>
      </c>
      <c r="X193" s="11">
        <v>0</v>
      </c>
      <c r="Y193" s="11">
        <v>0</v>
      </c>
      <c r="Z193" s="11">
        <v>0</v>
      </c>
      <c r="AA193" s="11">
        <v>0</v>
      </c>
      <c r="AB193" s="11">
        <v>0</v>
      </c>
      <c r="AC193" s="11">
        <v>0</v>
      </c>
      <c r="AD193" s="11">
        <v>0</v>
      </c>
      <c r="AE193" s="11">
        <f t="shared" si="42"/>
        <v>0</v>
      </c>
    </row>
    <row r="194" spans="2:32">
      <c r="B194" s="22" t="s">
        <v>38</v>
      </c>
      <c r="C194" s="11">
        <v>0</v>
      </c>
      <c r="D194" s="11">
        <v>0</v>
      </c>
      <c r="E194" s="11">
        <v>0</v>
      </c>
      <c r="F194" s="11">
        <v>0</v>
      </c>
      <c r="G194" s="11">
        <v>0</v>
      </c>
      <c r="H194" s="11"/>
      <c r="I194" s="11"/>
      <c r="J194" s="11"/>
      <c r="K194" s="11"/>
      <c r="L194" s="11"/>
      <c r="M194" s="11"/>
      <c r="N194" s="11"/>
      <c r="O194" s="11">
        <v>0</v>
      </c>
      <c r="P194" s="11">
        <f>P191*$P$48</f>
        <v>0.24441679520553389</v>
      </c>
      <c r="Q194" s="11">
        <v>0</v>
      </c>
      <c r="R194" s="11">
        <v>0</v>
      </c>
      <c r="S194" s="11">
        <f t="shared" si="41"/>
        <v>0.24441679520553389</v>
      </c>
      <c r="U194" s="22" t="s">
        <v>38</v>
      </c>
      <c r="V194" s="11">
        <v>0</v>
      </c>
      <c r="W194" s="11">
        <v>0</v>
      </c>
      <c r="X194" s="11">
        <v>0</v>
      </c>
      <c r="Y194" s="11">
        <v>0</v>
      </c>
      <c r="Z194" s="11">
        <v>0</v>
      </c>
      <c r="AA194" s="11">
        <v>0</v>
      </c>
      <c r="AB194" s="11">
        <f>AB191*$P$48</f>
        <v>0.23126843158639915</v>
      </c>
      <c r="AC194" s="11">
        <v>0</v>
      </c>
      <c r="AD194" s="11">
        <v>0</v>
      </c>
      <c r="AE194" s="11">
        <f t="shared" si="42"/>
        <v>0.23126843158639915</v>
      </c>
    </row>
    <row r="195" spans="2:32">
      <c r="B195" s="22" t="s">
        <v>39</v>
      </c>
      <c r="C195" s="11">
        <v>0</v>
      </c>
      <c r="D195" s="11">
        <v>0</v>
      </c>
      <c r="E195" s="11">
        <v>0</v>
      </c>
      <c r="F195" s="11">
        <v>0</v>
      </c>
      <c r="G195" s="11">
        <v>0</v>
      </c>
      <c r="H195" s="11"/>
      <c r="I195" s="11"/>
      <c r="J195" s="11"/>
      <c r="K195" s="11"/>
      <c r="L195" s="11"/>
      <c r="M195" s="11"/>
      <c r="N195" s="11"/>
      <c r="O195" s="11">
        <v>0</v>
      </c>
      <c r="P195" s="11">
        <f>P191*$Q$48</f>
        <v>1.309016723119411</v>
      </c>
      <c r="Q195" s="11">
        <f>Q191*$D$48</f>
        <v>0</v>
      </c>
      <c r="R195" s="11">
        <v>0</v>
      </c>
      <c r="S195" s="11">
        <f t="shared" si="41"/>
        <v>1.309016723119411</v>
      </c>
      <c r="U195" s="22" t="s">
        <v>39</v>
      </c>
      <c r="V195" s="11">
        <v>0</v>
      </c>
      <c r="W195" s="11">
        <v>0</v>
      </c>
      <c r="X195" s="11">
        <v>0</v>
      </c>
      <c r="Y195" s="11">
        <v>0</v>
      </c>
      <c r="Z195" s="11">
        <v>0</v>
      </c>
      <c r="AA195" s="11">
        <v>0</v>
      </c>
      <c r="AB195" s="11">
        <f>AB191*$Q$48</f>
        <v>1.238598371366501</v>
      </c>
      <c r="AC195" s="11">
        <f>AC191*$D$48</f>
        <v>0</v>
      </c>
      <c r="AD195" s="11">
        <v>0</v>
      </c>
      <c r="AE195" s="11">
        <f t="shared" si="42"/>
        <v>1.238598371366501</v>
      </c>
    </row>
    <row r="196" spans="2:32">
      <c r="B196" s="24" t="s">
        <v>40</v>
      </c>
      <c r="C196" s="15">
        <f t="shared" ref="C196:O196" si="43">SUM(C190:C195)</f>
        <v>0</v>
      </c>
      <c r="D196" s="15">
        <f t="shared" si="43"/>
        <v>0</v>
      </c>
      <c r="E196" s="15">
        <f t="shared" si="43"/>
        <v>16.406015953079688</v>
      </c>
      <c r="F196" s="15">
        <f t="shared" si="43"/>
        <v>0</v>
      </c>
      <c r="G196" s="15">
        <f t="shared" si="43"/>
        <v>7.3037558606459818</v>
      </c>
      <c r="H196" s="15"/>
      <c r="I196" s="15"/>
      <c r="J196" s="15"/>
      <c r="K196" s="15"/>
      <c r="L196" s="15"/>
      <c r="M196" s="15"/>
      <c r="N196" s="15"/>
      <c r="O196" s="15">
        <f t="shared" si="43"/>
        <v>9.546534558983053</v>
      </c>
      <c r="P196" s="15">
        <f>-P204</f>
        <v>-18.914762362703279</v>
      </c>
      <c r="Q196" s="15">
        <f>-Q204</f>
        <v>0</v>
      </c>
      <c r="R196" s="15">
        <v>0</v>
      </c>
      <c r="S196" s="15">
        <f t="shared" si="41"/>
        <v>14.341544010005443</v>
      </c>
      <c r="U196" s="24" t="s">
        <v>40</v>
      </c>
      <c r="V196" s="15">
        <f t="shared" ref="V196:AA196" si="44">SUM(V190:V195)</f>
        <v>0</v>
      </c>
      <c r="W196" s="15">
        <f t="shared" si="44"/>
        <v>0</v>
      </c>
      <c r="X196" s="15">
        <f t="shared" si="44"/>
        <v>0</v>
      </c>
      <c r="Y196" s="15">
        <f t="shared" si="44"/>
        <v>0</v>
      </c>
      <c r="Z196" s="15">
        <f t="shared" si="44"/>
        <v>6.950434380007307</v>
      </c>
      <c r="AA196" s="15">
        <f t="shared" si="44"/>
        <v>7.789385404595869</v>
      </c>
      <c r="AB196" s="15">
        <f>-AB204</f>
        <v>-17.897245652752094</v>
      </c>
      <c r="AC196" s="15">
        <f>-AC204</f>
        <v>0</v>
      </c>
      <c r="AD196" s="15">
        <v>0</v>
      </c>
      <c r="AE196" s="15">
        <f t="shared" si="42"/>
        <v>-3.157425868148918</v>
      </c>
    </row>
    <row r="197" spans="2:32">
      <c r="B197" s="22" t="s">
        <v>41</v>
      </c>
      <c r="C197" s="11">
        <v>0</v>
      </c>
      <c r="D197" s="11">
        <v>0</v>
      </c>
      <c r="E197" s="11">
        <f>Industrie!G35</f>
        <v>0</v>
      </c>
      <c r="F197" s="11">
        <v>0</v>
      </c>
      <c r="G197" s="11">
        <v>0</v>
      </c>
      <c r="H197" s="11"/>
      <c r="I197" s="11"/>
      <c r="J197" s="11"/>
      <c r="K197" s="11"/>
      <c r="L197" s="11"/>
      <c r="M197" s="11"/>
      <c r="N197" s="11"/>
      <c r="O197" s="11">
        <f>Industrie!H38</f>
        <v>0</v>
      </c>
      <c r="P197" s="11">
        <f>Industrie!G36</f>
        <v>1.4675506334059829</v>
      </c>
      <c r="Q197" s="11">
        <f>Industrie!G39</f>
        <v>0</v>
      </c>
      <c r="R197" s="11">
        <v>0</v>
      </c>
      <c r="S197" s="11">
        <f t="shared" si="41"/>
        <v>1.4675506334059829</v>
      </c>
      <c r="U197" s="22" t="s">
        <v>41</v>
      </c>
      <c r="V197" s="11">
        <v>0</v>
      </c>
      <c r="W197" s="11">
        <v>0</v>
      </c>
      <c r="X197" s="11">
        <f>Industrie!G56</f>
        <v>0</v>
      </c>
      <c r="Y197" s="11">
        <v>0</v>
      </c>
      <c r="Z197" s="11">
        <v>0</v>
      </c>
      <c r="AA197" s="11">
        <f>Industrie!G62</f>
        <v>0</v>
      </c>
      <c r="AB197" s="11">
        <f>Industrie!G57</f>
        <v>1.0623238495104901</v>
      </c>
      <c r="AC197" s="11">
        <f>Industrie!G63</f>
        <v>0</v>
      </c>
      <c r="AD197" s="11">
        <v>0</v>
      </c>
      <c r="AE197" s="11">
        <f t="shared" si="42"/>
        <v>1.0623238495104901</v>
      </c>
      <c r="AF197" s="27">
        <f t="shared" ref="AF197:AF202" si="45">SUM(V197:AD197)</f>
        <v>1.0623238495104901</v>
      </c>
    </row>
    <row r="198" spans="2:32">
      <c r="B198" s="22" t="s">
        <v>42</v>
      </c>
      <c r="C198" s="11">
        <v>0</v>
      </c>
      <c r="D198" s="11">
        <v>0</v>
      </c>
      <c r="E198" s="11">
        <f>Transports!I49</f>
        <v>31.02412194369834</v>
      </c>
      <c r="F198" s="11">
        <v>0</v>
      </c>
      <c r="G198" s="11">
        <v>0</v>
      </c>
      <c r="H198" s="11"/>
      <c r="I198" s="11"/>
      <c r="J198" s="11"/>
      <c r="K198" s="11"/>
      <c r="L198" s="11"/>
      <c r="M198" s="11"/>
      <c r="N198" s="11"/>
      <c r="O198" s="11">
        <v>0</v>
      </c>
      <c r="P198" s="11">
        <f>Transports!I50</f>
        <v>0.61979669624730394</v>
      </c>
      <c r="Q198" s="11">
        <v>0</v>
      </c>
      <c r="R198" s="11">
        <v>0</v>
      </c>
      <c r="S198" s="11">
        <f>Transports!I51</f>
        <v>31.643918639945642</v>
      </c>
      <c r="U198" s="22" t="s">
        <v>42</v>
      </c>
      <c r="V198" s="11">
        <v>0</v>
      </c>
      <c r="W198" s="11">
        <v>0</v>
      </c>
      <c r="X198" s="11">
        <f>Transports!I76</f>
        <v>15.51517046558115</v>
      </c>
      <c r="Y198" s="11">
        <v>0</v>
      </c>
      <c r="Z198" s="11">
        <v>0</v>
      </c>
      <c r="AA198" s="11">
        <v>0</v>
      </c>
      <c r="AB198" s="11">
        <f>Transports!I77</f>
        <v>6.4963970994449181</v>
      </c>
      <c r="AC198" s="11">
        <v>0</v>
      </c>
      <c r="AD198" s="11">
        <v>0</v>
      </c>
      <c r="AE198" s="11">
        <f>Transports!I78</f>
        <v>22.01156756502607</v>
      </c>
      <c r="AF198" s="27">
        <f t="shared" si="45"/>
        <v>22.01156756502607</v>
      </c>
    </row>
    <row r="199" spans="2:32">
      <c r="B199" s="22" t="s">
        <v>43</v>
      </c>
      <c r="C199" s="11">
        <v>0</v>
      </c>
      <c r="D199" s="11">
        <v>0</v>
      </c>
      <c r="E199" s="11">
        <f>'Résidentiel-tertiaire'!G172</f>
        <v>1.9601026306586169</v>
      </c>
      <c r="F199" s="11">
        <v>0</v>
      </c>
      <c r="G199" s="11">
        <v>0</v>
      </c>
      <c r="H199" s="11"/>
      <c r="I199" s="11"/>
      <c r="J199" s="11"/>
      <c r="K199" s="11"/>
      <c r="L199" s="11"/>
      <c r="M199" s="11"/>
      <c r="N199" s="11"/>
      <c r="O199" s="11">
        <f>'Résidentiel-tertiaire'!G173</f>
        <v>0</v>
      </c>
      <c r="P199" s="11">
        <f>'Résidentiel-tertiaire'!G174</f>
        <v>8.123656871670109</v>
      </c>
      <c r="Q199" s="11">
        <v>0</v>
      </c>
      <c r="R199" s="11">
        <v>0</v>
      </c>
      <c r="S199" s="11">
        <f>SUM(C199:R199)</f>
        <v>10.083759502328725</v>
      </c>
      <c r="U199" s="22" t="s">
        <v>43</v>
      </c>
      <c r="V199" s="11">
        <v>0</v>
      </c>
      <c r="W199" s="11">
        <v>0</v>
      </c>
      <c r="X199" s="11">
        <f>'Résidentiel-tertiaire'!G187</f>
        <v>0.65166666666666639</v>
      </c>
      <c r="Y199" s="11">
        <v>0</v>
      </c>
      <c r="Z199" s="11">
        <v>0</v>
      </c>
      <c r="AA199" s="11">
        <f>'Résidentiel-tertiaire'!G188</f>
        <v>0.47600019155972356</v>
      </c>
      <c r="AB199" s="11">
        <f>'Résidentiel-tertiaire'!G189</f>
        <v>6.2186904901199727</v>
      </c>
      <c r="AC199" s="11">
        <v>0</v>
      </c>
      <c r="AD199" s="11">
        <v>0</v>
      </c>
      <c r="AE199" s="11">
        <f>SUM(V199:AD199)</f>
        <v>7.3463573483463627</v>
      </c>
      <c r="AF199" s="27">
        <f t="shared" si="45"/>
        <v>7.3463573483463627</v>
      </c>
    </row>
    <row r="200" spans="2:32">
      <c r="B200" s="22" t="s">
        <v>44</v>
      </c>
      <c r="C200" s="11">
        <v>0</v>
      </c>
      <c r="D200" s="11">
        <v>0</v>
      </c>
      <c r="E200" s="11">
        <f>'Résidentiel-tertiaire'!G177</f>
        <v>0.79392549493317</v>
      </c>
      <c r="F200" s="11">
        <v>0</v>
      </c>
      <c r="G200" s="11">
        <v>0</v>
      </c>
      <c r="H200" s="11"/>
      <c r="I200" s="11"/>
      <c r="J200" s="11"/>
      <c r="K200" s="11"/>
      <c r="L200" s="11"/>
      <c r="M200" s="11"/>
      <c r="N200" s="11"/>
      <c r="O200" s="11">
        <f>'Résidentiel-tertiaire'!G178</f>
        <v>0</v>
      </c>
      <c r="P200" s="11">
        <f>'Résidentiel-tertiaire'!G179</f>
        <v>8.7037581613798807</v>
      </c>
      <c r="Q200" s="11">
        <v>0</v>
      </c>
      <c r="R200" s="11">
        <v>0</v>
      </c>
      <c r="S200" s="11">
        <f>SUM(C200:R200)</f>
        <v>9.4976836563130504</v>
      </c>
      <c r="U200" s="22" t="s">
        <v>44</v>
      </c>
      <c r="V200" s="11">
        <v>0</v>
      </c>
      <c r="W200" s="11">
        <v>0</v>
      </c>
      <c r="X200" s="11">
        <f>'Résidentiel-tertiaire'!G192</f>
        <v>0.3279629629629629</v>
      </c>
      <c r="Y200" s="11">
        <v>0</v>
      </c>
      <c r="Z200" s="11">
        <v>0</v>
      </c>
      <c r="AA200" s="11">
        <f>'Résidentiel-tertiaire'!G193</f>
        <v>0</v>
      </c>
      <c r="AB200" s="11">
        <f>'Résidentiel-tertiaire'!G194</f>
        <v>4.1198342136767145</v>
      </c>
      <c r="AC200" s="11">
        <v>0</v>
      </c>
      <c r="AD200" s="11">
        <v>0</v>
      </c>
      <c r="AE200" s="11">
        <f>SUM(V200:AD200)</f>
        <v>4.4477971766396776</v>
      </c>
      <c r="AF200" s="27">
        <f t="shared" si="45"/>
        <v>4.4477971766396776</v>
      </c>
    </row>
    <row r="201" spans="2:32">
      <c r="B201" s="22" t="s">
        <v>4</v>
      </c>
      <c r="C201" s="11">
        <v>0</v>
      </c>
      <c r="D201" s="11">
        <v>0</v>
      </c>
      <c r="E201" s="11">
        <f>Agriculture!S27</f>
        <v>0.34118807376575322</v>
      </c>
      <c r="F201" s="11">
        <v>0</v>
      </c>
      <c r="G201" s="11">
        <v>0</v>
      </c>
      <c r="H201" s="11"/>
      <c r="I201" s="11"/>
      <c r="J201" s="11"/>
      <c r="K201" s="11"/>
      <c r="L201" s="11"/>
      <c r="M201" s="11"/>
      <c r="N201" s="11"/>
      <c r="O201" s="11">
        <v>0</v>
      </c>
      <c r="P201" s="11">
        <f>Agriculture!S28</f>
        <v>0</v>
      </c>
      <c r="Q201" s="11">
        <v>0</v>
      </c>
      <c r="R201" s="11">
        <v>0</v>
      </c>
      <c r="S201" s="11">
        <f>SUM(C201:R201)</f>
        <v>0.34118807376575322</v>
      </c>
      <c r="U201" s="22" t="s">
        <v>4</v>
      </c>
      <c r="V201" s="11">
        <v>0</v>
      </c>
      <c r="W201" s="11">
        <v>0</v>
      </c>
      <c r="X201" s="11">
        <f>Agriculture!Y43</f>
        <v>0.107168458781362</v>
      </c>
      <c r="Y201" s="11">
        <v>0</v>
      </c>
      <c r="Z201" s="11">
        <v>0</v>
      </c>
      <c r="AA201" s="11">
        <f>Agriculture!Y45</f>
        <v>0.20963758064516125</v>
      </c>
      <c r="AB201" s="11">
        <f>Agriculture!Y44</f>
        <v>0</v>
      </c>
      <c r="AC201" s="11">
        <v>0</v>
      </c>
      <c r="AD201" s="11">
        <v>0</v>
      </c>
      <c r="AE201" s="11">
        <f>SUM(V201:AD201)</f>
        <v>0.31680603942652324</v>
      </c>
      <c r="AF201" s="27">
        <f t="shared" si="45"/>
        <v>0.31680603942652324</v>
      </c>
    </row>
    <row r="202" spans="2:32">
      <c r="B202" s="26" t="s">
        <v>45</v>
      </c>
      <c r="C202" s="19">
        <v>0</v>
      </c>
      <c r="D202" s="19">
        <v>0</v>
      </c>
      <c r="E202" s="19">
        <f t="shared" ref="E202:S202" si="46">SUM(E197:E201)</f>
        <v>34.119338143055877</v>
      </c>
      <c r="F202" s="19">
        <f t="shared" si="46"/>
        <v>0</v>
      </c>
      <c r="G202" s="19">
        <f t="shared" si="46"/>
        <v>0</v>
      </c>
      <c r="H202" s="19"/>
      <c r="I202" s="19"/>
      <c r="J202" s="19"/>
      <c r="K202" s="19"/>
      <c r="L202" s="19"/>
      <c r="M202" s="19"/>
      <c r="N202" s="19"/>
      <c r="O202" s="19">
        <f t="shared" si="46"/>
        <v>0</v>
      </c>
      <c r="P202" s="19">
        <f t="shared" si="46"/>
        <v>18.914762362703279</v>
      </c>
      <c r="Q202" s="19">
        <f t="shared" si="46"/>
        <v>0</v>
      </c>
      <c r="R202" s="19">
        <f t="shared" si="46"/>
        <v>0</v>
      </c>
      <c r="S202" s="19">
        <f t="shared" si="46"/>
        <v>53.034100505759149</v>
      </c>
      <c r="U202" s="26" t="s">
        <v>45</v>
      </c>
      <c r="V202" s="19">
        <v>0</v>
      </c>
      <c r="W202" s="19">
        <v>0</v>
      </c>
      <c r="X202" s="19">
        <f t="shared" ref="X202:AE202" si="47">SUM(X197:X201)</f>
        <v>16.601968553992144</v>
      </c>
      <c r="Y202" s="19">
        <f t="shared" si="47"/>
        <v>0</v>
      </c>
      <c r="Z202" s="19">
        <f t="shared" si="47"/>
        <v>0</v>
      </c>
      <c r="AA202" s="19">
        <f t="shared" si="47"/>
        <v>0.68563777220488475</v>
      </c>
      <c r="AB202" s="19">
        <f t="shared" si="47"/>
        <v>17.897245652752094</v>
      </c>
      <c r="AC202" s="19">
        <f t="shared" si="47"/>
        <v>0</v>
      </c>
      <c r="AD202" s="19">
        <f t="shared" si="47"/>
        <v>0</v>
      </c>
      <c r="AE202" s="19">
        <f t="shared" si="47"/>
        <v>35.184851978949126</v>
      </c>
      <c r="AF202" s="27">
        <f t="shared" si="45"/>
        <v>35.184851978949126</v>
      </c>
    </row>
    <row r="203" spans="2:32">
      <c r="B203" s="26" t="s">
        <v>46</v>
      </c>
      <c r="C203" s="19">
        <v>0</v>
      </c>
      <c r="D203" s="19">
        <v>0</v>
      </c>
      <c r="E203" s="19">
        <f>Industrie!G37</f>
        <v>0</v>
      </c>
      <c r="F203" s="19">
        <v>0</v>
      </c>
      <c r="G203" s="19">
        <v>0</v>
      </c>
      <c r="H203" s="19"/>
      <c r="I203" s="19"/>
      <c r="J203" s="19"/>
      <c r="K203" s="19"/>
      <c r="L203" s="19"/>
      <c r="M203" s="19"/>
      <c r="N203" s="19"/>
      <c r="O203" s="19">
        <v>0</v>
      </c>
      <c r="P203" s="19">
        <v>0</v>
      </c>
      <c r="Q203" s="19">
        <v>0</v>
      </c>
      <c r="R203" s="19">
        <v>0</v>
      </c>
      <c r="S203" s="19">
        <f>SUM(C203:R203)</f>
        <v>0</v>
      </c>
      <c r="U203" s="26" t="s">
        <v>46</v>
      </c>
      <c r="V203" s="19">
        <v>0</v>
      </c>
      <c r="W203" s="19">
        <v>0</v>
      </c>
      <c r="X203" s="19">
        <f>Industrie!G59</f>
        <v>0</v>
      </c>
      <c r="Y203" s="19">
        <v>0</v>
      </c>
      <c r="Z203" s="19">
        <v>0</v>
      </c>
      <c r="AA203" s="19">
        <f>Industrie!G61</f>
        <v>0</v>
      </c>
      <c r="AB203" s="19">
        <v>0</v>
      </c>
      <c r="AC203" s="19">
        <v>0</v>
      </c>
      <c r="AD203" s="19">
        <v>0</v>
      </c>
      <c r="AE203" s="19">
        <f>SUM(V203:AD203)</f>
        <v>0</v>
      </c>
      <c r="AF203" s="27">
        <f>SUM(AF197:AF201)</f>
        <v>35.184851978949126</v>
      </c>
    </row>
    <row r="204" spans="2:32">
      <c r="B204" s="24" t="s">
        <v>47</v>
      </c>
      <c r="C204" s="15">
        <v>0</v>
      </c>
      <c r="D204" s="15">
        <v>0</v>
      </c>
      <c r="E204" s="15">
        <f t="shared" ref="E204:S204" si="48">SUM(E202:E203)</f>
        <v>34.119338143055877</v>
      </c>
      <c r="F204" s="15">
        <f t="shared" si="48"/>
        <v>0</v>
      </c>
      <c r="G204" s="15">
        <f t="shared" si="48"/>
        <v>0</v>
      </c>
      <c r="H204" s="15"/>
      <c r="I204" s="15"/>
      <c r="J204" s="15"/>
      <c r="K204" s="15"/>
      <c r="L204" s="15"/>
      <c r="M204" s="15"/>
      <c r="N204" s="15"/>
      <c r="O204" s="15">
        <f t="shared" si="48"/>
        <v>0</v>
      </c>
      <c r="P204" s="15">
        <f t="shared" si="48"/>
        <v>18.914762362703279</v>
      </c>
      <c r="Q204" s="15">
        <f t="shared" si="48"/>
        <v>0</v>
      </c>
      <c r="R204" s="15">
        <f t="shared" si="48"/>
        <v>0</v>
      </c>
      <c r="S204" s="15">
        <f t="shared" si="48"/>
        <v>53.034100505759149</v>
      </c>
      <c r="T204" s="27">
        <f>SUM(C204:R204)</f>
        <v>53.034100505759156</v>
      </c>
      <c r="U204" s="24" t="s">
        <v>47</v>
      </c>
      <c r="V204" s="15">
        <v>0</v>
      </c>
      <c r="W204" s="15">
        <v>0</v>
      </c>
      <c r="X204" s="15">
        <f t="shared" ref="X204:AE204" si="49">SUM(X202:X203)</f>
        <v>16.601968553992144</v>
      </c>
      <c r="Y204" s="15">
        <f t="shared" si="49"/>
        <v>0</v>
      </c>
      <c r="Z204" s="15">
        <f t="shared" si="49"/>
        <v>0</v>
      </c>
      <c r="AA204" s="15">
        <f t="shared" si="49"/>
        <v>0.68563777220488475</v>
      </c>
      <c r="AB204" s="15">
        <f t="shared" si="49"/>
        <v>17.897245652752094</v>
      </c>
      <c r="AC204" s="15">
        <f t="shared" si="49"/>
        <v>0</v>
      </c>
      <c r="AD204" s="15">
        <f t="shared" si="49"/>
        <v>0</v>
      </c>
      <c r="AE204" s="15">
        <f t="shared" si="49"/>
        <v>35.184851978949126</v>
      </c>
      <c r="AF204" s="28">
        <f>SUM(V204:AD204)</f>
        <v>35.184851978949126</v>
      </c>
    </row>
    <row r="213" spans="2:31">
      <c r="C213" s="4" t="s">
        <v>54</v>
      </c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 t="s">
        <v>54</v>
      </c>
      <c r="W213" s="4"/>
    </row>
    <row r="214" spans="2:31" ht="43.2">
      <c r="B214" s="20">
        <v>2045</v>
      </c>
      <c r="C214" s="7" t="s">
        <v>14</v>
      </c>
      <c r="D214" s="7" t="s">
        <v>15</v>
      </c>
      <c r="E214" s="7" t="s">
        <v>16</v>
      </c>
      <c r="F214" s="7" t="s">
        <v>17</v>
      </c>
      <c r="G214" s="7" t="s">
        <v>18</v>
      </c>
      <c r="H214" s="222"/>
      <c r="I214" s="222"/>
      <c r="J214" s="222"/>
      <c r="K214" s="222"/>
      <c r="L214" s="222"/>
      <c r="M214" s="222"/>
      <c r="N214" s="222"/>
      <c r="O214" s="7" t="s">
        <v>19</v>
      </c>
      <c r="P214" s="7" t="s">
        <v>20</v>
      </c>
      <c r="Q214" s="7" t="s">
        <v>21</v>
      </c>
      <c r="R214" s="7"/>
      <c r="S214" s="7" t="s">
        <v>23</v>
      </c>
      <c r="U214" s="21">
        <v>2045</v>
      </c>
      <c r="V214" s="7" t="s">
        <v>14</v>
      </c>
      <c r="W214" s="7" t="s">
        <v>15</v>
      </c>
      <c r="X214" s="7" t="s">
        <v>16</v>
      </c>
      <c r="Y214" s="7" t="s">
        <v>17</v>
      </c>
      <c r="Z214" s="7" t="s">
        <v>18</v>
      </c>
      <c r="AA214" s="7" t="s">
        <v>19</v>
      </c>
      <c r="AB214" s="7" t="s">
        <v>20</v>
      </c>
      <c r="AC214" s="7" t="s">
        <v>21</v>
      </c>
      <c r="AD214" s="7"/>
      <c r="AE214" s="7" t="s">
        <v>23</v>
      </c>
    </row>
    <row r="215" spans="2:31">
      <c r="B215" s="22" t="s">
        <v>24</v>
      </c>
      <c r="C215" s="11">
        <v>0</v>
      </c>
      <c r="D215" s="11">
        <v>0</v>
      </c>
      <c r="E215" s="11">
        <v>0</v>
      </c>
      <c r="F215" s="11">
        <v>0</v>
      </c>
      <c r="G215" s="11">
        <v>0</v>
      </c>
      <c r="H215" s="11"/>
      <c r="I215" s="11"/>
      <c r="J215" s="11"/>
      <c r="K215" s="11"/>
      <c r="L215" s="11"/>
      <c r="M215" s="11"/>
      <c r="N215" s="11"/>
      <c r="O215" s="11">
        <v>0</v>
      </c>
      <c r="P215" s="11">
        <v>0</v>
      </c>
      <c r="Q215" s="11">
        <v>0</v>
      </c>
      <c r="R215" s="11">
        <v>0</v>
      </c>
      <c r="S215" s="11">
        <f>SUM(C215:R215)</f>
        <v>0</v>
      </c>
      <c r="U215" s="22" t="s">
        <v>24</v>
      </c>
      <c r="V215" s="11">
        <v>0</v>
      </c>
      <c r="W215" s="11">
        <v>0</v>
      </c>
      <c r="X215" s="11">
        <v>0</v>
      </c>
      <c r="Y215" s="11">
        <v>0</v>
      </c>
      <c r="Z215" s="11">
        <v>0</v>
      </c>
      <c r="AA215" s="11">
        <v>0</v>
      </c>
      <c r="AB215" s="11">
        <v>0</v>
      </c>
      <c r="AC215" s="11">
        <v>0</v>
      </c>
      <c r="AD215" s="11">
        <v>0</v>
      </c>
      <c r="AE215" s="11">
        <f>SUM(V215:AD215)</f>
        <v>0</v>
      </c>
    </row>
    <row r="216" spans="2:31">
      <c r="B216" s="22" t="s">
        <v>25</v>
      </c>
      <c r="C216" s="11">
        <v>0</v>
      </c>
      <c r="D216" s="11">
        <v>0</v>
      </c>
      <c r="E216" s="11">
        <v>0</v>
      </c>
      <c r="F216" s="11">
        <v>0</v>
      </c>
      <c r="G216" s="11">
        <v>0</v>
      </c>
      <c r="H216" s="11"/>
      <c r="I216" s="11"/>
      <c r="J216" s="11"/>
      <c r="K216" s="11"/>
      <c r="L216" s="11"/>
      <c r="M216" s="11"/>
      <c r="N216" s="11"/>
      <c r="O216" s="11">
        <v>0</v>
      </c>
      <c r="P216" s="11">
        <v>0</v>
      </c>
      <c r="Q216" s="11">
        <v>0</v>
      </c>
      <c r="R216" s="11">
        <v>0</v>
      </c>
      <c r="S216" s="11">
        <f t="shared" ref="S216:S223" si="50">SUM(C216:R216)</f>
        <v>0</v>
      </c>
      <c r="U216" s="22" t="s">
        <v>25</v>
      </c>
      <c r="V216" s="11">
        <v>0</v>
      </c>
      <c r="W216" s="11">
        <v>0</v>
      </c>
      <c r="X216" s="11">
        <v>0</v>
      </c>
      <c r="Y216" s="11">
        <v>0</v>
      </c>
      <c r="Z216" s="11">
        <v>0</v>
      </c>
      <c r="AA216" s="11">
        <v>0</v>
      </c>
      <c r="AB216" s="11">
        <v>0</v>
      </c>
      <c r="AC216" s="11">
        <v>0</v>
      </c>
      <c r="AD216" s="11">
        <v>0</v>
      </c>
      <c r="AE216" s="11">
        <f t="shared" ref="AE216:AE223" si="51">SUM(V216:AD216)</f>
        <v>0</v>
      </c>
    </row>
    <row r="217" spans="2:31">
      <c r="B217" s="22" t="s">
        <v>26</v>
      </c>
      <c r="C217" s="11">
        <v>0</v>
      </c>
      <c r="D217" s="11">
        <v>0</v>
      </c>
      <c r="E217" s="11">
        <v>0</v>
      </c>
      <c r="F217" s="11">
        <v>0</v>
      </c>
      <c r="G217" s="11">
        <v>0</v>
      </c>
      <c r="H217" s="11"/>
      <c r="I217" s="11"/>
      <c r="J217" s="11"/>
      <c r="K217" s="11"/>
      <c r="L217" s="11"/>
      <c r="M217" s="11"/>
      <c r="N217" s="11"/>
      <c r="O217" s="11">
        <v>0</v>
      </c>
      <c r="P217" s="11">
        <v>0</v>
      </c>
      <c r="Q217" s="11">
        <v>0</v>
      </c>
      <c r="R217" s="11">
        <v>0</v>
      </c>
      <c r="S217" s="11">
        <f t="shared" si="50"/>
        <v>0</v>
      </c>
      <c r="U217" s="22" t="s">
        <v>26</v>
      </c>
      <c r="V217" s="11">
        <v>0</v>
      </c>
      <c r="W217" s="11">
        <v>0</v>
      </c>
      <c r="X217" s="11">
        <v>0</v>
      </c>
      <c r="Y217" s="11">
        <v>0</v>
      </c>
      <c r="Z217" s="11">
        <v>0</v>
      </c>
      <c r="AA217" s="11">
        <v>0</v>
      </c>
      <c r="AB217" s="11">
        <v>0</v>
      </c>
      <c r="AC217" s="11">
        <v>0</v>
      </c>
      <c r="AD217" s="11">
        <v>0</v>
      </c>
      <c r="AE217" s="11">
        <f t="shared" si="51"/>
        <v>0</v>
      </c>
    </row>
    <row r="218" spans="2:31">
      <c r="B218" s="22" t="s">
        <v>27</v>
      </c>
      <c r="C218" s="11">
        <v>0</v>
      </c>
      <c r="D218" s="11">
        <v>0</v>
      </c>
      <c r="E218" s="11">
        <v>0</v>
      </c>
      <c r="F218" s="11">
        <v>0</v>
      </c>
      <c r="G218" s="11">
        <v>0</v>
      </c>
      <c r="H218" s="11"/>
      <c r="I218" s="11"/>
      <c r="J218" s="11"/>
      <c r="K218" s="11"/>
      <c r="L218" s="11"/>
      <c r="M218" s="11"/>
      <c r="N218" s="11"/>
      <c r="O218" s="11">
        <v>0</v>
      </c>
      <c r="P218" s="11">
        <v>0</v>
      </c>
      <c r="Q218" s="11">
        <v>0</v>
      </c>
      <c r="R218" s="11">
        <v>0</v>
      </c>
      <c r="S218" s="11">
        <f t="shared" si="50"/>
        <v>0</v>
      </c>
      <c r="U218" s="22" t="s">
        <v>27</v>
      </c>
      <c r="V218" s="11">
        <v>0</v>
      </c>
      <c r="W218" s="11">
        <v>0</v>
      </c>
      <c r="X218" s="11">
        <v>0</v>
      </c>
      <c r="Y218" s="11">
        <v>0</v>
      </c>
      <c r="Z218" s="11">
        <v>0</v>
      </c>
      <c r="AA218" s="11">
        <v>0</v>
      </c>
      <c r="AB218" s="11">
        <v>0</v>
      </c>
      <c r="AC218" s="11">
        <v>0</v>
      </c>
      <c r="AD218" s="11">
        <v>0</v>
      </c>
      <c r="AE218" s="11">
        <f t="shared" si="51"/>
        <v>0</v>
      </c>
    </row>
    <row r="219" spans="2:31">
      <c r="B219" s="22" t="s">
        <v>28</v>
      </c>
      <c r="C219" s="11">
        <v>0</v>
      </c>
      <c r="D219" s="11">
        <v>0</v>
      </c>
      <c r="E219" s="11">
        <v>0</v>
      </c>
      <c r="F219" s="11">
        <v>0</v>
      </c>
      <c r="G219" s="11">
        <v>0</v>
      </c>
      <c r="H219" s="11"/>
      <c r="I219" s="11"/>
      <c r="J219" s="11"/>
      <c r="K219" s="11"/>
      <c r="L219" s="11"/>
      <c r="M219" s="11"/>
      <c r="N219" s="11"/>
      <c r="O219" s="11">
        <v>0</v>
      </c>
      <c r="P219" s="11">
        <v>0</v>
      </c>
      <c r="Q219" s="11">
        <v>0</v>
      </c>
      <c r="R219" s="11">
        <v>0</v>
      </c>
      <c r="S219" s="11">
        <f t="shared" si="50"/>
        <v>0</v>
      </c>
      <c r="U219" s="22" t="s">
        <v>28</v>
      </c>
      <c r="V219" s="11">
        <v>0</v>
      </c>
      <c r="W219" s="11">
        <v>0</v>
      </c>
      <c r="X219" s="11">
        <v>0</v>
      </c>
      <c r="Y219" s="11">
        <v>0</v>
      </c>
      <c r="Z219" s="11">
        <v>0</v>
      </c>
      <c r="AA219" s="11">
        <v>0</v>
      </c>
      <c r="AB219" s="11">
        <v>0</v>
      </c>
      <c r="AC219" s="11">
        <v>0</v>
      </c>
      <c r="AD219" s="11">
        <v>0</v>
      </c>
      <c r="AE219" s="11">
        <f t="shared" si="51"/>
        <v>0</v>
      </c>
    </row>
    <row r="220" spans="2:31">
      <c r="B220" s="22" t="s">
        <v>29</v>
      </c>
      <c r="C220" s="11">
        <v>0</v>
      </c>
      <c r="D220" s="11">
        <v>0</v>
      </c>
      <c r="E220" s="11">
        <v>0</v>
      </c>
      <c r="F220" s="11">
        <v>0</v>
      </c>
      <c r="G220" s="11">
        <v>0</v>
      </c>
      <c r="H220" s="11"/>
      <c r="I220" s="11"/>
      <c r="J220" s="11"/>
      <c r="K220" s="11"/>
      <c r="L220" s="11"/>
      <c r="M220" s="11"/>
      <c r="N220" s="11"/>
      <c r="O220" s="11">
        <v>0</v>
      </c>
      <c r="P220" s="11">
        <v>0</v>
      </c>
      <c r="Q220" s="11">
        <v>0</v>
      </c>
      <c r="R220" s="11">
        <v>0</v>
      </c>
      <c r="S220" s="11">
        <f t="shared" si="50"/>
        <v>0</v>
      </c>
      <c r="U220" s="22" t="s">
        <v>29</v>
      </c>
      <c r="V220" s="11">
        <v>0</v>
      </c>
      <c r="W220" s="11">
        <v>0</v>
      </c>
      <c r="X220" s="11">
        <v>0</v>
      </c>
      <c r="Y220" s="11">
        <v>0</v>
      </c>
      <c r="Z220" s="11">
        <v>0</v>
      </c>
      <c r="AA220" s="11">
        <v>0</v>
      </c>
      <c r="AB220" s="11">
        <v>0</v>
      </c>
      <c r="AC220" s="11">
        <v>0</v>
      </c>
      <c r="AD220" s="11">
        <v>0</v>
      </c>
      <c r="AE220" s="11">
        <f t="shared" si="51"/>
        <v>0</v>
      </c>
    </row>
    <row r="221" spans="2:31">
      <c r="B221" s="22" t="s">
        <v>30</v>
      </c>
      <c r="C221" s="11">
        <v>0</v>
      </c>
      <c r="D221" s="11">
        <v>0</v>
      </c>
      <c r="E221" s="11">
        <v>0</v>
      </c>
      <c r="F221" s="11">
        <v>0</v>
      </c>
      <c r="G221" s="11">
        <v>0</v>
      </c>
      <c r="H221" s="11"/>
      <c r="I221" s="11"/>
      <c r="J221" s="11"/>
      <c r="K221" s="11"/>
      <c r="L221" s="11"/>
      <c r="M221" s="11"/>
      <c r="N221" s="11"/>
      <c r="O221" s="11">
        <v>0</v>
      </c>
      <c r="P221" s="11">
        <v>0</v>
      </c>
      <c r="Q221" s="11">
        <v>0</v>
      </c>
      <c r="R221" s="11">
        <v>0</v>
      </c>
      <c r="S221" s="11">
        <f t="shared" si="50"/>
        <v>0</v>
      </c>
      <c r="U221" s="22" t="s">
        <v>30</v>
      </c>
      <c r="V221" s="11">
        <v>0</v>
      </c>
      <c r="W221" s="11">
        <v>0</v>
      </c>
      <c r="X221" s="11">
        <v>0</v>
      </c>
      <c r="Y221" s="11">
        <v>0</v>
      </c>
      <c r="Z221" s="11">
        <v>0</v>
      </c>
      <c r="AA221" s="11">
        <v>0</v>
      </c>
      <c r="AB221" s="11">
        <v>0</v>
      </c>
      <c r="AC221" s="11">
        <v>0</v>
      </c>
      <c r="AD221" s="11">
        <v>0</v>
      </c>
      <c r="AE221" s="11">
        <f t="shared" si="51"/>
        <v>0</v>
      </c>
    </row>
    <row r="222" spans="2:31">
      <c r="B222" s="22" t="s">
        <v>31</v>
      </c>
      <c r="C222" s="11">
        <v>0</v>
      </c>
      <c r="D222" s="11">
        <v>0</v>
      </c>
      <c r="E222" s="11">
        <v>0</v>
      </c>
      <c r="F222" s="11">
        <v>0</v>
      </c>
      <c r="G222" s="11">
        <v>0</v>
      </c>
      <c r="H222" s="11"/>
      <c r="I222" s="11"/>
      <c r="J222" s="11"/>
      <c r="K222" s="11"/>
      <c r="L222" s="11"/>
      <c r="M222" s="11"/>
      <c r="N222" s="11"/>
      <c r="O222" s="11">
        <v>0</v>
      </c>
      <c r="P222" s="11">
        <v>0</v>
      </c>
      <c r="Q222" s="11">
        <v>0</v>
      </c>
      <c r="R222" s="11">
        <v>0</v>
      </c>
      <c r="S222" s="11">
        <f t="shared" si="50"/>
        <v>0</v>
      </c>
      <c r="U222" s="22" t="s">
        <v>31</v>
      </c>
      <c r="V222" s="11">
        <v>0</v>
      </c>
      <c r="W222" s="11">
        <v>0</v>
      </c>
      <c r="X222" s="11">
        <v>0</v>
      </c>
      <c r="Y222" s="11">
        <v>0</v>
      </c>
      <c r="Z222" s="11">
        <v>0</v>
      </c>
      <c r="AA222" s="11">
        <v>0</v>
      </c>
      <c r="AB222" s="11">
        <v>0</v>
      </c>
      <c r="AC222" s="11">
        <v>0</v>
      </c>
      <c r="AD222" s="11">
        <v>0</v>
      </c>
      <c r="AE222" s="11">
        <f t="shared" si="51"/>
        <v>0</v>
      </c>
    </row>
    <row r="223" spans="2:31">
      <c r="B223" s="22" t="s">
        <v>32</v>
      </c>
      <c r="C223" s="11">
        <v>0</v>
      </c>
      <c r="D223" s="11">
        <v>0</v>
      </c>
      <c r="E223" s="23">
        <v>0</v>
      </c>
      <c r="F223" s="11">
        <v>0</v>
      </c>
      <c r="G223" s="11">
        <v>0</v>
      </c>
      <c r="H223" s="11"/>
      <c r="I223" s="11"/>
      <c r="J223" s="11"/>
      <c r="K223" s="11"/>
      <c r="L223" s="11"/>
      <c r="M223" s="11"/>
      <c r="N223" s="11"/>
      <c r="O223" s="11">
        <v>0</v>
      </c>
      <c r="P223" s="11">
        <v>0</v>
      </c>
      <c r="Q223" s="11">
        <v>0</v>
      </c>
      <c r="R223" s="11">
        <v>0</v>
      </c>
      <c r="S223" s="11">
        <f t="shared" si="50"/>
        <v>0</v>
      </c>
      <c r="U223" s="22" t="s">
        <v>32</v>
      </c>
      <c r="V223" s="11">
        <v>0</v>
      </c>
      <c r="W223" s="11">
        <v>0</v>
      </c>
      <c r="X223" s="23">
        <v>0</v>
      </c>
      <c r="Y223" s="11">
        <v>0</v>
      </c>
      <c r="Z223" s="11">
        <v>0</v>
      </c>
      <c r="AA223" s="11">
        <v>0</v>
      </c>
      <c r="AB223" s="11">
        <v>0</v>
      </c>
      <c r="AC223" s="11">
        <v>0</v>
      </c>
      <c r="AD223" s="11">
        <v>0</v>
      </c>
      <c r="AE223" s="11">
        <f t="shared" si="51"/>
        <v>0</v>
      </c>
    </row>
    <row r="224" spans="2:31">
      <c r="B224" s="24" t="s">
        <v>33</v>
      </c>
      <c r="C224" s="15">
        <f>C215+C219+C220+C221+C222+C223</f>
        <v>0</v>
      </c>
      <c r="D224" s="15">
        <f t="shared" ref="D224:R224" si="52">D215+D219+D220+D221+D222+D223</f>
        <v>0</v>
      </c>
      <c r="E224" s="15">
        <f t="shared" si="52"/>
        <v>0</v>
      </c>
      <c r="F224" s="15">
        <f t="shared" si="52"/>
        <v>0</v>
      </c>
      <c r="G224" s="15">
        <f t="shared" si="52"/>
        <v>0</v>
      </c>
      <c r="H224" s="15">
        <f t="shared" si="52"/>
        <v>0</v>
      </c>
      <c r="I224" s="15">
        <f t="shared" si="52"/>
        <v>0</v>
      </c>
      <c r="J224" s="15">
        <f t="shared" si="52"/>
        <v>0</v>
      </c>
      <c r="K224" s="15">
        <f t="shared" si="52"/>
        <v>0</v>
      </c>
      <c r="L224" s="15">
        <f t="shared" si="52"/>
        <v>0</v>
      </c>
      <c r="M224" s="15">
        <f t="shared" si="52"/>
        <v>0</v>
      </c>
      <c r="N224" s="15">
        <f t="shared" si="52"/>
        <v>0</v>
      </c>
      <c r="O224" s="15">
        <f t="shared" si="52"/>
        <v>0</v>
      </c>
      <c r="P224" s="15">
        <f t="shared" si="52"/>
        <v>0</v>
      </c>
      <c r="Q224" s="15">
        <f t="shared" si="52"/>
        <v>0</v>
      </c>
      <c r="R224" s="15">
        <f t="shared" si="52"/>
        <v>0</v>
      </c>
      <c r="S224" s="15">
        <f>SUM(C224:R224)</f>
        <v>0</v>
      </c>
      <c r="U224" s="24" t="s">
        <v>33</v>
      </c>
      <c r="V224" s="15">
        <f>V215+V219+V220+V221+V222+V223</f>
        <v>0</v>
      </c>
      <c r="W224" s="15">
        <f t="shared" ref="W224:AD224" si="53">W215+W219+W220+W221+W222+W223</f>
        <v>0</v>
      </c>
      <c r="X224" s="15">
        <f t="shared" si="53"/>
        <v>0</v>
      </c>
      <c r="Y224" s="15">
        <f t="shared" si="53"/>
        <v>0</v>
      </c>
      <c r="Z224" s="15">
        <f t="shared" si="53"/>
        <v>0</v>
      </c>
      <c r="AA224" s="15">
        <f t="shared" si="53"/>
        <v>0</v>
      </c>
      <c r="AB224" s="15">
        <f t="shared" si="53"/>
        <v>0</v>
      </c>
      <c r="AC224" s="15">
        <f t="shared" si="53"/>
        <v>0</v>
      </c>
      <c r="AD224" s="15">
        <f t="shared" si="53"/>
        <v>0</v>
      </c>
      <c r="AE224" s="15">
        <f>SUM(V224:AD224)</f>
        <v>0</v>
      </c>
    </row>
    <row r="225" spans="2:32">
      <c r="B225" s="22" t="s">
        <v>34</v>
      </c>
      <c r="C225" s="11">
        <v>0</v>
      </c>
      <c r="D225" s="11">
        <v>0</v>
      </c>
      <c r="E225" s="11">
        <v>0</v>
      </c>
      <c r="F225" s="11">
        <v>0</v>
      </c>
      <c r="G225" s="11">
        <v>0</v>
      </c>
      <c r="H225" s="11"/>
      <c r="I225" s="11"/>
      <c r="J225" s="11"/>
      <c r="K225" s="11"/>
      <c r="L225" s="11"/>
      <c r="M225" s="11"/>
      <c r="N225" s="11"/>
      <c r="O225" s="11">
        <v>0</v>
      </c>
      <c r="P225" s="11">
        <v>0</v>
      </c>
      <c r="Q225" s="11">
        <v>0</v>
      </c>
      <c r="R225" s="11">
        <v>0</v>
      </c>
      <c r="S225" s="11">
        <f t="shared" ref="S225:S232" si="54">SUM(C225:R225)</f>
        <v>0</v>
      </c>
      <c r="U225" s="22" t="s">
        <v>34</v>
      </c>
      <c r="V225" s="11">
        <v>0</v>
      </c>
      <c r="W225" s="11">
        <v>0</v>
      </c>
      <c r="X225" s="11">
        <v>0</v>
      </c>
      <c r="Y225" s="11">
        <v>0</v>
      </c>
      <c r="Z225" s="11">
        <v>0</v>
      </c>
      <c r="AA225" s="11">
        <v>0</v>
      </c>
      <c r="AB225" s="11">
        <v>0</v>
      </c>
      <c r="AC225" s="11">
        <v>0</v>
      </c>
      <c r="AD225" s="11">
        <v>0</v>
      </c>
      <c r="AE225" s="11">
        <f t="shared" ref="AE225:AE232" si="55">SUM(V225:AD225)</f>
        <v>0</v>
      </c>
    </row>
    <row r="226" spans="2:32">
      <c r="B226" s="22" t="s">
        <v>35</v>
      </c>
      <c r="C226" s="11">
        <f>(P226-Q226)*$X$48*('Prod Energie'!H32)</f>
        <v>0</v>
      </c>
      <c r="D226" s="11">
        <v>0</v>
      </c>
      <c r="E226" s="11">
        <f>(P226-Q226)*$X$48*('Prod Energie'!H33)</f>
        <v>15.761460012424708</v>
      </c>
      <c r="F226" s="11">
        <v>0</v>
      </c>
      <c r="G226" s="11">
        <f>(P226-Q226)*$X$48*('Prod Energie'!H40+'Prod Energie'!D39)</f>
        <v>7.2573821360540194</v>
      </c>
      <c r="H226" s="11"/>
      <c r="I226" s="11"/>
      <c r="J226" s="11"/>
      <c r="K226" s="11"/>
      <c r="L226" s="11"/>
      <c r="M226" s="11"/>
      <c r="N226" s="11"/>
      <c r="O226" s="11">
        <f>(P226-Q226)*$X$48*('Prod Energie'!H38)</f>
        <v>9.5465345589830513</v>
      </c>
      <c r="P226" s="11">
        <f>P231/(1+$P$48+$Q$48)</f>
        <v>-20.191099668894807</v>
      </c>
      <c r="Q226" s="11">
        <f>Q231/(1+$D$48)</f>
        <v>0</v>
      </c>
      <c r="R226" s="11">
        <v>0</v>
      </c>
      <c r="S226" s="11">
        <f t="shared" si="54"/>
        <v>12.374277038566973</v>
      </c>
      <c r="U226" s="22" t="s">
        <v>35</v>
      </c>
      <c r="V226" s="11">
        <f>(AB226-AC226)*$X$48*('Prod Energie'!H53)</f>
        <v>0</v>
      </c>
      <c r="W226" s="11">
        <v>0</v>
      </c>
      <c r="X226" s="11">
        <f>(AB226-AC226)*$X$48*('Prod Energie'!H54)</f>
        <v>0</v>
      </c>
      <c r="Y226" s="11">
        <v>0</v>
      </c>
      <c r="Z226" s="11">
        <f>(AB226-AC226)*$X$48*('Prod Energie'!H61+'Prod Energie'!D60)</f>
        <v>8.2204045733529636</v>
      </c>
      <c r="AA226" s="11">
        <f>(AB226-AC226)*$X$48*('Prod Energie'!H59)</f>
        <v>9.6764967358106517</v>
      </c>
      <c r="AB226" s="11">
        <f>AB231/(1+$P$48+$Q$48)</f>
        <v>-21.586009074367972</v>
      </c>
      <c r="AC226" s="11">
        <f>AC231/(1+$D$48)</f>
        <v>0</v>
      </c>
      <c r="AD226" s="11">
        <v>0</v>
      </c>
      <c r="AE226" s="11">
        <f t="shared" si="55"/>
        <v>-3.6891077652043549</v>
      </c>
    </row>
    <row r="227" spans="2:32">
      <c r="B227" s="22" t="s">
        <v>36</v>
      </c>
      <c r="C227" s="11">
        <v>0</v>
      </c>
      <c r="D227" s="11">
        <v>0</v>
      </c>
      <c r="E227" s="11">
        <v>0</v>
      </c>
      <c r="F227" s="11">
        <v>0</v>
      </c>
      <c r="G227" s="11">
        <v>0</v>
      </c>
      <c r="H227" s="11"/>
      <c r="I227" s="11"/>
      <c r="J227" s="11"/>
      <c r="K227" s="11"/>
      <c r="L227" s="11"/>
      <c r="M227" s="11"/>
      <c r="N227" s="11"/>
      <c r="O227" s="11">
        <v>0</v>
      </c>
      <c r="P227" s="11">
        <v>0</v>
      </c>
      <c r="Q227" s="11">
        <v>0</v>
      </c>
      <c r="R227" s="11">
        <v>0</v>
      </c>
      <c r="S227" s="11">
        <f t="shared" si="54"/>
        <v>0</v>
      </c>
      <c r="U227" s="22" t="s">
        <v>36</v>
      </c>
      <c r="V227" s="11">
        <v>0</v>
      </c>
      <c r="W227" s="11">
        <v>0</v>
      </c>
      <c r="X227" s="11">
        <v>0</v>
      </c>
      <c r="Y227" s="11">
        <v>0</v>
      </c>
      <c r="Z227" s="11">
        <v>0</v>
      </c>
      <c r="AA227" s="11">
        <v>0</v>
      </c>
      <c r="AB227" s="11">
        <v>0</v>
      </c>
      <c r="AC227" s="11">
        <v>0</v>
      </c>
      <c r="AD227" s="11">
        <v>0</v>
      </c>
      <c r="AE227" s="11">
        <f t="shared" si="55"/>
        <v>0</v>
      </c>
    </row>
    <row r="228" spans="2:32">
      <c r="B228" s="22" t="s">
        <v>37</v>
      </c>
      <c r="C228" s="11">
        <v>0</v>
      </c>
      <c r="D228" s="11">
        <v>0</v>
      </c>
      <c r="E228" s="11">
        <v>0</v>
      </c>
      <c r="F228" s="11">
        <v>0</v>
      </c>
      <c r="G228" s="11">
        <v>0</v>
      </c>
      <c r="H228" s="11"/>
      <c r="I228" s="11"/>
      <c r="J228" s="11"/>
      <c r="K228" s="11"/>
      <c r="L228" s="11"/>
      <c r="M228" s="11"/>
      <c r="N228" s="11"/>
      <c r="O228" s="11">
        <v>0</v>
      </c>
      <c r="P228" s="11">
        <v>0</v>
      </c>
      <c r="Q228" s="11">
        <v>0</v>
      </c>
      <c r="R228" s="11">
        <v>0</v>
      </c>
      <c r="S228" s="11">
        <f t="shared" si="54"/>
        <v>0</v>
      </c>
      <c r="U228" s="22" t="s">
        <v>37</v>
      </c>
      <c r="V228" s="11">
        <v>0</v>
      </c>
      <c r="W228" s="11">
        <v>0</v>
      </c>
      <c r="X228" s="11">
        <v>0</v>
      </c>
      <c r="Y228" s="11">
        <v>0</v>
      </c>
      <c r="Z228" s="11">
        <v>0</v>
      </c>
      <c r="AA228" s="11">
        <v>0</v>
      </c>
      <c r="AB228" s="11">
        <v>0</v>
      </c>
      <c r="AC228" s="11">
        <v>0</v>
      </c>
      <c r="AD228" s="11">
        <v>0</v>
      </c>
      <c r="AE228" s="11">
        <f t="shared" si="55"/>
        <v>0</v>
      </c>
    </row>
    <row r="229" spans="2:32">
      <c r="B229" s="22" t="s">
        <v>38</v>
      </c>
      <c r="C229" s="11">
        <v>0</v>
      </c>
      <c r="D229" s="11">
        <v>0</v>
      </c>
      <c r="E229" s="11">
        <v>0</v>
      </c>
      <c r="F229" s="11">
        <v>0</v>
      </c>
      <c r="G229" s="11">
        <v>0</v>
      </c>
      <c r="H229" s="11"/>
      <c r="I229" s="11"/>
      <c r="J229" s="11"/>
      <c r="K229" s="11"/>
      <c r="L229" s="11"/>
      <c r="M229" s="11"/>
      <c r="N229" s="11"/>
      <c r="O229" s="11">
        <v>0</v>
      </c>
      <c r="P229" s="11">
        <f>P226*$P$48</f>
        <v>0.24110790718594943</v>
      </c>
      <c r="Q229" s="11">
        <v>0</v>
      </c>
      <c r="R229" s="11">
        <v>0</v>
      </c>
      <c r="S229" s="11">
        <f t="shared" si="54"/>
        <v>0.24110790718594943</v>
      </c>
      <c r="U229" s="22" t="s">
        <v>38</v>
      </c>
      <c r="V229" s="11">
        <v>0</v>
      </c>
      <c r="W229" s="11">
        <v>0</v>
      </c>
      <c r="X229" s="11">
        <v>0</v>
      </c>
      <c r="Y229" s="11">
        <v>0</v>
      </c>
      <c r="Z229" s="11">
        <v>0</v>
      </c>
      <c r="AA229" s="11">
        <v>0</v>
      </c>
      <c r="AB229" s="11">
        <f>AB226*$P$48</f>
        <v>0.2577649339444153</v>
      </c>
      <c r="AC229" s="11">
        <v>0</v>
      </c>
      <c r="AD229" s="11">
        <v>0</v>
      </c>
      <c r="AE229" s="11">
        <f t="shared" si="55"/>
        <v>0.2577649339444153</v>
      </c>
    </row>
    <row r="230" spans="2:32">
      <c r="B230" s="22" t="s">
        <v>39</v>
      </c>
      <c r="C230" s="11">
        <v>0</v>
      </c>
      <c r="D230" s="11">
        <v>0</v>
      </c>
      <c r="E230" s="11">
        <v>0</v>
      </c>
      <c r="F230" s="11">
        <v>0</v>
      </c>
      <c r="G230" s="11">
        <v>0</v>
      </c>
      <c r="H230" s="11"/>
      <c r="I230" s="11"/>
      <c r="J230" s="11"/>
      <c r="K230" s="11"/>
      <c r="L230" s="11"/>
      <c r="M230" s="11"/>
      <c r="N230" s="11"/>
      <c r="O230" s="11">
        <v>0</v>
      </c>
      <c r="P230" s="11">
        <f>P226*$Q$48</f>
        <v>1.2912953969359005</v>
      </c>
      <c r="Q230" s="11">
        <f>Q226*$D$48</f>
        <v>0</v>
      </c>
      <c r="R230" s="11">
        <v>0</v>
      </c>
      <c r="S230" s="11">
        <f t="shared" si="54"/>
        <v>1.2912953969359005</v>
      </c>
      <c r="U230" s="22" t="s">
        <v>39</v>
      </c>
      <c r="V230" s="11">
        <v>0</v>
      </c>
      <c r="W230" s="11">
        <v>0</v>
      </c>
      <c r="X230" s="11">
        <v>0</v>
      </c>
      <c r="Y230" s="11">
        <v>0</v>
      </c>
      <c r="Z230" s="11">
        <v>0</v>
      </c>
      <c r="AA230" s="11">
        <v>0</v>
      </c>
      <c r="AB230" s="11">
        <f>AB226*$Q$48</f>
        <v>1.3805050053261247</v>
      </c>
      <c r="AC230" s="11">
        <f>AC226*$D$48</f>
        <v>0</v>
      </c>
      <c r="AD230" s="11">
        <v>0</v>
      </c>
      <c r="AE230" s="11">
        <f t="shared" si="55"/>
        <v>1.3805050053261247</v>
      </c>
    </row>
    <row r="231" spans="2:32">
      <c r="B231" s="24" t="s">
        <v>40</v>
      </c>
      <c r="C231" s="15">
        <f t="shared" ref="C231:O231" si="56">SUM(C225:C230)</f>
        <v>0</v>
      </c>
      <c r="D231" s="15">
        <f t="shared" si="56"/>
        <v>0</v>
      </c>
      <c r="E231" s="15">
        <f t="shared" si="56"/>
        <v>15.761460012424708</v>
      </c>
      <c r="F231" s="15">
        <f t="shared" si="56"/>
        <v>0</v>
      </c>
      <c r="G231" s="15">
        <f t="shared" si="56"/>
        <v>7.2573821360540194</v>
      </c>
      <c r="H231" s="15"/>
      <c r="I231" s="15"/>
      <c r="J231" s="15"/>
      <c r="K231" s="15"/>
      <c r="L231" s="15"/>
      <c r="M231" s="15"/>
      <c r="N231" s="15"/>
      <c r="O231" s="15">
        <f t="shared" si="56"/>
        <v>9.5465345589830513</v>
      </c>
      <c r="P231" s="15">
        <f>-P239</f>
        <v>-18.658696364772958</v>
      </c>
      <c r="Q231" s="15">
        <f>-Q239</f>
        <v>0</v>
      </c>
      <c r="R231" s="15">
        <v>0</v>
      </c>
      <c r="S231" s="15">
        <f t="shared" si="54"/>
        <v>13.906680342688823</v>
      </c>
      <c r="U231" s="24" t="s">
        <v>40</v>
      </c>
      <c r="V231" s="15">
        <f t="shared" ref="V231:AA231" si="57">SUM(V225:V230)</f>
        <v>0</v>
      </c>
      <c r="W231" s="15">
        <f t="shared" si="57"/>
        <v>0</v>
      </c>
      <c r="X231" s="15">
        <f t="shared" si="57"/>
        <v>0</v>
      </c>
      <c r="Y231" s="15">
        <f t="shared" si="57"/>
        <v>0</v>
      </c>
      <c r="Z231" s="15">
        <f t="shared" si="57"/>
        <v>8.2204045733529636</v>
      </c>
      <c r="AA231" s="15">
        <f t="shared" si="57"/>
        <v>9.6764967358106517</v>
      </c>
      <c r="AB231" s="15">
        <f>-AB239</f>
        <v>-19.947739135097432</v>
      </c>
      <c r="AC231" s="15">
        <f>-AC239</f>
        <v>0</v>
      </c>
      <c r="AD231" s="15">
        <v>0</v>
      </c>
      <c r="AE231" s="15">
        <f t="shared" si="55"/>
        <v>-2.0508378259338151</v>
      </c>
    </row>
    <row r="232" spans="2:32">
      <c r="B232" s="22" t="s">
        <v>41</v>
      </c>
      <c r="C232" s="11">
        <v>0</v>
      </c>
      <c r="D232" s="11">
        <v>0</v>
      </c>
      <c r="E232" s="11">
        <f>Industrie!H35</f>
        <v>0</v>
      </c>
      <c r="F232" s="11">
        <v>0</v>
      </c>
      <c r="G232" s="11">
        <v>0</v>
      </c>
      <c r="H232" s="11"/>
      <c r="I232" s="11"/>
      <c r="J232" s="11"/>
      <c r="K232" s="11"/>
      <c r="L232" s="11"/>
      <c r="M232" s="11"/>
      <c r="N232" s="11"/>
      <c r="O232" s="11">
        <f>Industrie!H38</f>
        <v>0</v>
      </c>
      <c r="P232" s="11">
        <f>Industrie!H36</f>
        <v>1.5313173552740136</v>
      </c>
      <c r="Q232" s="11">
        <f>Industrie!H39</f>
        <v>0</v>
      </c>
      <c r="R232" s="11">
        <v>0</v>
      </c>
      <c r="S232" s="11">
        <f t="shared" si="54"/>
        <v>1.5313173552740136</v>
      </c>
      <c r="U232" s="22" t="s">
        <v>41</v>
      </c>
      <c r="V232" s="11">
        <v>0</v>
      </c>
      <c r="W232" s="11">
        <v>0</v>
      </c>
      <c r="X232" s="11">
        <f>Industrie!H56</f>
        <v>0</v>
      </c>
      <c r="Y232" s="11">
        <v>0</v>
      </c>
      <c r="Z232" s="11">
        <v>0</v>
      </c>
      <c r="AA232" s="11">
        <f>Industrie!H62</f>
        <v>0</v>
      </c>
      <c r="AB232" s="11">
        <f>Industrie!H57</f>
        <v>0.99859145843925112</v>
      </c>
      <c r="AC232" s="11">
        <f>Industrie!H63</f>
        <v>0</v>
      </c>
      <c r="AD232" s="11">
        <v>0</v>
      </c>
      <c r="AE232" s="11">
        <f t="shared" si="55"/>
        <v>0.99859145843925112</v>
      </c>
    </row>
    <row r="233" spans="2:32">
      <c r="B233" s="22" t="s">
        <v>42</v>
      </c>
      <c r="C233" s="11">
        <v>0</v>
      </c>
      <c r="D233" s="11">
        <v>0</v>
      </c>
      <c r="E233" s="11">
        <f>Transports!J49</f>
        <v>30.362661649223998</v>
      </c>
      <c r="F233" s="11">
        <v>0</v>
      </c>
      <c r="G233" s="11">
        <v>0</v>
      </c>
      <c r="H233" s="11"/>
      <c r="I233" s="11"/>
      <c r="J233" s="11"/>
      <c r="K233" s="11"/>
      <c r="L233" s="11"/>
      <c r="M233" s="11"/>
      <c r="N233" s="11"/>
      <c r="O233" s="11">
        <v>0</v>
      </c>
      <c r="P233" s="11">
        <f>Transports!J50</f>
        <v>0.79077577406253585</v>
      </c>
      <c r="Q233" s="11">
        <v>0</v>
      </c>
      <c r="R233" s="11">
        <v>0</v>
      </c>
      <c r="S233" s="11">
        <f>Transports!J51</f>
        <v>31.153437423286533</v>
      </c>
      <c r="U233" s="22" t="s">
        <v>42</v>
      </c>
      <c r="V233" s="11">
        <v>0</v>
      </c>
      <c r="W233" s="11">
        <v>0</v>
      </c>
      <c r="X233" s="11">
        <f>Transports!J76</f>
        <v>9.1756152263029485</v>
      </c>
      <c r="Y233" s="11">
        <v>0</v>
      </c>
      <c r="Z233" s="11">
        <v>0</v>
      </c>
      <c r="AA233" s="11">
        <v>0</v>
      </c>
      <c r="AB233" s="11">
        <f>Transports!J77</f>
        <v>9.0947348902263023</v>
      </c>
      <c r="AC233" s="11">
        <v>0</v>
      </c>
      <c r="AD233" s="11">
        <v>0</v>
      </c>
      <c r="AE233" s="11">
        <f>Transports!J78</f>
        <v>18.270350116529251</v>
      </c>
    </row>
    <row r="234" spans="2:32">
      <c r="B234" s="22" t="s">
        <v>43</v>
      </c>
      <c r="C234" s="11">
        <v>0</v>
      </c>
      <c r="D234" s="11">
        <v>0</v>
      </c>
      <c r="E234" s="11">
        <f>'Résidentiel-tertiaire'!H172</f>
        <v>1.9613175427201921</v>
      </c>
      <c r="F234" s="11">
        <v>0</v>
      </c>
      <c r="G234" s="11">
        <v>0</v>
      </c>
      <c r="H234" s="11"/>
      <c r="I234" s="11"/>
      <c r="J234" s="11"/>
      <c r="K234" s="11"/>
      <c r="L234" s="11"/>
      <c r="M234" s="11"/>
      <c r="N234" s="11"/>
      <c r="O234" s="11">
        <f>'Résidentiel-tertiaire'!H173</f>
        <v>0</v>
      </c>
      <c r="P234" s="11">
        <f>'Résidentiel-tertiaire'!H174</f>
        <v>8.1286920818489623</v>
      </c>
      <c r="Q234" s="11">
        <v>0</v>
      </c>
      <c r="R234" s="11">
        <v>0</v>
      </c>
      <c r="S234" s="11">
        <f>SUM(C234:R234)</f>
        <v>10.090009624569154</v>
      </c>
      <c r="U234" s="22" t="s">
        <v>43</v>
      </c>
      <c r="V234" s="11">
        <v>0</v>
      </c>
      <c r="W234" s="11">
        <v>0</v>
      </c>
      <c r="X234" s="11">
        <f>'Résidentiel-tertiaire'!H187</f>
        <v>0.32583333333333303</v>
      </c>
      <c r="Y234" s="11">
        <v>0</v>
      </c>
      <c r="Z234" s="11">
        <v>0</v>
      </c>
      <c r="AA234" s="11">
        <f>'Résidentiel-tertiaire'!H188</f>
        <v>0.43417484034378462</v>
      </c>
      <c r="AB234" s="11">
        <f>'Résidentiel-tertiaire'!H189</f>
        <v>5.9408368792948263</v>
      </c>
      <c r="AC234" s="11">
        <v>0</v>
      </c>
      <c r="AD234" s="11">
        <v>0</v>
      </c>
      <c r="AE234" s="11">
        <f>SUM(V234:AD234)</f>
        <v>6.7008450529719443</v>
      </c>
    </row>
    <row r="235" spans="2:32">
      <c r="B235" s="22" t="s">
        <v>44</v>
      </c>
      <c r="C235" s="11">
        <v>0</v>
      </c>
      <c r="D235" s="11">
        <v>0</v>
      </c>
      <c r="E235" s="11">
        <f>'Résidentiel-tertiaire'!H177</f>
        <v>0.74869611541990366</v>
      </c>
      <c r="F235" s="11">
        <v>0</v>
      </c>
      <c r="G235" s="11">
        <v>0</v>
      </c>
      <c r="H235" s="11"/>
      <c r="I235" s="11"/>
      <c r="J235" s="11"/>
      <c r="K235" s="11"/>
      <c r="L235" s="11"/>
      <c r="M235" s="11"/>
      <c r="N235" s="11"/>
      <c r="O235" s="11">
        <f>'Résidentiel-tertiaire'!H178</f>
        <v>0</v>
      </c>
      <c r="P235" s="11">
        <f>'Résidentiel-tertiaire'!H179</f>
        <v>8.2079111535874461</v>
      </c>
      <c r="Q235" s="11">
        <v>0</v>
      </c>
      <c r="R235" s="11">
        <v>0</v>
      </c>
      <c r="S235" s="11">
        <f>SUM(C235:R235)</f>
        <v>8.9566072690073497</v>
      </c>
      <c r="U235" s="22" t="s">
        <v>44</v>
      </c>
      <c r="V235" s="11">
        <v>0</v>
      </c>
      <c r="W235" s="11">
        <v>0</v>
      </c>
      <c r="X235" s="11">
        <f>'Résidentiel-tertiaire'!H192</f>
        <v>0.16398148148148142</v>
      </c>
      <c r="Y235" s="11">
        <v>0</v>
      </c>
      <c r="Z235" s="11">
        <v>0</v>
      </c>
      <c r="AA235" s="11">
        <f>'Résidentiel-tertiaire'!H193</f>
        <v>0</v>
      </c>
      <c r="AB235" s="11">
        <f>'Résidentiel-tertiaire'!H194</f>
        <v>3.9135759071370555</v>
      </c>
      <c r="AC235" s="11">
        <v>0</v>
      </c>
      <c r="AD235" s="11">
        <v>0</v>
      </c>
      <c r="AE235" s="11">
        <f>SUM(V235:AD235)</f>
        <v>4.077557388618537</v>
      </c>
    </row>
    <row r="236" spans="2:32">
      <c r="B236" s="22" t="s">
        <v>4</v>
      </c>
      <c r="C236" s="11">
        <v>0</v>
      </c>
      <c r="D236" s="11">
        <v>0</v>
      </c>
      <c r="E236" s="11">
        <f>Agriculture!V27</f>
        <v>0.34264867614753147</v>
      </c>
      <c r="F236" s="11">
        <v>0</v>
      </c>
      <c r="G236" s="11">
        <v>0</v>
      </c>
      <c r="H236" s="11"/>
      <c r="I236" s="11"/>
      <c r="J236" s="11"/>
      <c r="K236" s="11"/>
      <c r="L236" s="11"/>
      <c r="M236" s="11"/>
      <c r="N236" s="11"/>
      <c r="O236" s="11">
        <v>0</v>
      </c>
      <c r="P236" s="11">
        <f>Agriculture!V28</f>
        <v>0</v>
      </c>
      <c r="Q236" s="11">
        <v>0</v>
      </c>
      <c r="R236" s="11">
        <v>0</v>
      </c>
      <c r="S236" s="11">
        <f>SUM(C236:R236)</f>
        <v>0.34264867614753147</v>
      </c>
      <c r="U236" s="22" t="s">
        <v>4</v>
      </c>
      <c r="V236" s="11">
        <v>0</v>
      </c>
      <c r="W236" s="11">
        <v>0</v>
      </c>
      <c r="X236" s="11">
        <f>Agriculture!AC43</f>
        <v>5.3584229390680971E-2</v>
      </c>
      <c r="Y236" s="11">
        <v>0</v>
      </c>
      <c r="Z236" s="11">
        <v>0</v>
      </c>
      <c r="AA236" s="11">
        <f>Agriculture!AC45</f>
        <v>0.25955129032258056</v>
      </c>
      <c r="AB236" s="11">
        <f>Agriculture!AC44</f>
        <v>0</v>
      </c>
      <c r="AC236" s="11">
        <v>0</v>
      </c>
      <c r="AD236" s="11">
        <v>0</v>
      </c>
      <c r="AE236" s="11">
        <f>SUM(V236:AD236)</f>
        <v>0.31313551971326153</v>
      </c>
    </row>
    <row r="237" spans="2:32">
      <c r="B237" s="26" t="s">
        <v>45</v>
      </c>
      <c r="C237" s="19">
        <v>0</v>
      </c>
      <c r="D237" s="19">
        <v>0</v>
      </c>
      <c r="E237" s="19">
        <f t="shared" ref="E237:S237" si="58">SUM(E232:E236)</f>
        <v>33.415323983511627</v>
      </c>
      <c r="F237" s="19">
        <f t="shared" si="58"/>
        <v>0</v>
      </c>
      <c r="G237" s="19">
        <f t="shared" si="58"/>
        <v>0</v>
      </c>
      <c r="H237" s="19"/>
      <c r="I237" s="19"/>
      <c r="J237" s="19"/>
      <c r="K237" s="19"/>
      <c r="L237" s="19"/>
      <c r="M237" s="19"/>
      <c r="N237" s="19"/>
      <c r="O237" s="19">
        <f t="shared" si="58"/>
        <v>0</v>
      </c>
      <c r="P237" s="19">
        <f t="shared" si="58"/>
        <v>18.658696364772958</v>
      </c>
      <c r="Q237" s="19">
        <f t="shared" si="58"/>
        <v>0</v>
      </c>
      <c r="R237" s="19">
        <f t="shared" si="58"/>
        <v>0</v>
      </c>
      <c r="S237" s="19">
        <f t="shared" si="58"/>
        <v>52.074020348284584</v>
      </c>
      <c r="U237" s="26" t="s">
        <v>45</v>
      </c>
      <c r="V237" s="19">
        <v>0</v>
      </c>
      <c r="W237" s="19">
        <v>0</v>
      </c>
      <c r="X237" s="19">
        <f t="shared" ref="X237:AE237" si="59">SUM(X232:X236)</f>
        <v>9.7190142705084455</v>
      </c>
      <c r="Y237" s="19">
        <f t="shared" si="59"/>
        <v>0</v>
      </c>
      <c r="Z237" s="19">
        <f t="shared" si="59"/>
        <v>0</v>
      </c>
      <c r="AA237" s="19">
        <f t="shared" si="59"/>
        <v>0.69372613066636513</v>
      </c>
      <c r="AB237" s="19">
        <f t="shared" si="59"/>
        <v>19.947739135097432</v>
      </c>
      <c r="AC237" s="19">
        <f t="shared" si="59"/>
        <v>0</v>
      </c>
      <c r="AD237" s="19">
        <f t="shared" si="59"/>
        <v>0</v>
      </c>
      <c r="AE237" s="19">
        <f t="shared" si="59"/>
        <v>30.360479536272241</v>
      </c>
    </row>
    <row r="238" spans="2:32">
      <c r="B238" s="26" t="s">
        <v>46</v>
      </c>
      <c r="C238" s="19">
        <v>0</v>
      </c>
      <c r="D238" s="19">
        <v>0</v>
      </c>
      <c r="E238" s="19">
        <f>Industrie!H37</f>
        <v>0</v>
      </c>
      <c r="F238" s="19">
        <v>0</v>
      </c>
      <c r="G238" s="19">
        <v>0</v>
      </c>
      <c r="H238" s="19"/>
      <c r="I238" s="19"/>
      <c r="J238" s="19"/>
      <c r="K238" s="19"/>
      <c r="L238" s="19"/>
      <c r="M238" s="19"/>
      <c r="N238" s="19"/>
      <c r="O238" s="19">
        <v>0</v>
      </c>
      <c r="P238" s="19">
        <v>0</v>
      </c>
      <c r="Q238" s="19">
        <v>0</v>
      </c>
      <c r="R238" s="19">
        <v>0</v>
      </c>
      <c r="S238" s="19">
        <f>SUM(C238:R238)</f>
        <v>0</v>
      </c>
      <c r="U238" s="26" t="s">
        <v>46</v>
      </c>
      <c r="V238" s="19">
        <v>0</v>
      </c>
      <c r="W238" s="19">
        <v>0</v>
      </c>
      <c r="X238" s="19">
        <f>Industrie!H59</f>
        <v>0</v>
      </c>
      <c r="Y238" s="19">
        <v>0</v>
      </c>
      <c r="Z238" s="19">
        <v>0</v>
      </c>
      <c r="AA238" s="19">
        <f>Industrie!H61</f>
        <v>0</v>
      </c>
      <c r="AB238" s="19">
        <v>0</v>
      </c>
      <c r="AC238" s="19">
        <v>0</v>
      </c>
      <c r="AD238" s="19">
        <v>0</v>
      </c>
      <c r="AE238" s="19">
        <f>SUM(V238:AD238)</f>
        <v>0</v>
      </c>
    </row>
    <row r="239" spans="2:32">
      <c r="B239" s="24" t="s">
        <v>47</v>
      </c>
      <c r="C239" s="15">
        <v>0</v>
      </c>
      <c r="D239" s="15">
        <v>0</v>
      </c>
      <c r="E239" s="15">
        <f t="shared" ref="E239:S239" si="60">SUM(E237:E238)</f>
        <v>33.415323983511627</v>
      </c>
      <c r="F239" s="15">
        <f t="shared" si="60"/>
        <v>0</v>
      </c>
      <c r="G239" s="15">
        <f t="shared" si="60"/>
        <v>0</v>
      </c>
      <c r="H239" s="15"/>
      <c r="I239" s="15"/>
      <c r="J239" s="15"/>
      <c r="K239" s="15"/>
      <c r="L239" s="15"/>
      <c r="M239" s="15"/>
      <c r="N239" s="15"/>
      <c r="O239" s="15">
        <f t="shared" si="60"/>
        <v>0</v>
      </c>
      <c r="P239" s="15">
        <f t="shared" si="60"/>
        <v>18.658696364772958</v>
      </c>
      <c r="Q239" s="15">
        <f t="shared" si="60"/>
        <v>0</v>
      </c>
      <c r="R239" s="15">
        <f t="shared" si="60"/>
        <v>0</v>
      </c>
      <c r="S239" s="15">
        <f t="shared" si="60"/>
        <v>52.074020348284584</v>
      </c>
      <c r="T239" s="27">
        <f>SUM(C239:R239)</f>
        <v>52.074020348284584</v>
      </c>
      <c r="U239" s="24" t="s">
        <v>47</v>
      </c>
      <c r="V239" s="15">
        <v>0</v>
      </c>
      <c r="W239" s="15">
        <v>0</v>
      </c>
      <c r="X239" s="15">
        <f t="shared" ref="X239:AE239" si="61">SUM(X237:X238)</f>
        <v>9.7190142705084455</v>
      </c>
      <c r="Y239" s="15">
        <f t="shared" si="61"/>
        <v>0</v>
      </c>
      <c r="Z239" s="15">
        <f t="shared" si="61"/>
        <v>0</v>
      </c>
      <c r="AA239" s="15">
        <f t="shared" si="61"/>
        <v>0.69372613066636513</v>
      </c>
      <c r="AB239" s="15">
        <f t="shared" si="61"/>
        <v>19.947739135097432</v>
      </c>
      <c r="AC239" s="15">
        <f t="shared" si="61"/>
        <v>0</v>
      </c>
      <c r="AD239" s="15">
        <f t="shared" si="61"/>
        <v>0</v>
      </c>
      <c r="AE239" s="15">
        <f t="shared" si="61"/>
        <v>30.360479536272241</v>
      </c>
      <c r="AF239" s="27">
        <f>SUM(V239:AD239)</f>
        <v>30.360479536272244</v>
      </c>
    </row>
    <row r="242" spans="2:31">
      <c r="C242" s="4" t="s">
        <v>54</v>
      </c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 t="s">
        <v>54</v>
      </c>
      <c r="W242" s="4"/>
    </row>
    <row r="243" spans="2:31" ht="43.2">
      <c r="B243" s="20">
        <v>2050</v>
      </c>
      <c r="C243" s="7" t="s">
        <v>14</v>
      </c>
      <c r="D243" s="7" t="s">
        <v>15</v>
      </c>
      <c r="E243" s="7" t="s">
        <v>16</v>
      </c>
      <c r="F243" s="7" t="s">
        <v>17</v>
      </c>
      <c r="G243" s="7" t="s">
        <v>18</v>
      </c>
      <c r="H243" s="222"/>
      <c r="I243" s="222"/>
      <c r="J243" s="222"/>
      <c r="K243" s="222"/>
      <c r="L243" s="222"/>
      <c r="M243" s="222"/>
      <c r="N243" s="222"/>
      <c r="O243" s="7" t="s">
        <v>19</v>
      </c>
      <c r="P243" s="7" t="s">
        <v>20</v>
      </c>
      <c r="Q243" s="7" t="s">
        <v>21</v>
      </c>
      <c r="R243" s="7"/>
      <c r="S243" s="7" t="s">
        <v>23</v>
      </c>
      <c r="U243" s="21">
        <v>2050</v>
      </c>
      <c r="V243" s="7" t="s">
        <v>14</v>
      </c>
      <c r="W243" s="7" t="s">
        <v>15</v>
      </c>
      <c r="X243" s="7" t="s">
        <v>16</v>
      </c>
      <c r="Y243" s="7" t="s">
        <v>17</v>
      </c>
      <c r="Z243" s="7" t="s">
        <v>18</v>
      </c>
      <c r="AA243" s="7" t="s">
        <v>19</v>
      </c>
      <c r="AB243" s="7" t="s">
        <v>20</v>
      </c>
      <c r="AC243" s="7" t="s">
        <v>21</v>
      </c>
      <c r="AD243" s="7"/>
      <c r="AE243" s="7" t="s">
        <v>23</v>
      </c>
    </row>
    <row r="244" spans="2:31">
      <c r="B244" s="22" t="s">
        <v>24</v>
      </c>
      <c r="C244" s="11">
        <v>0</v>
      </c>
      <c r="D244" s="11">
        <v>0</v>
      </c>
      <c r="E244" s="11">
        <v>0</v>
      </c>
      <c r="F244" s="11">
        <v>0</v>
      </c>
      <c r="G244" s="11">
        <v>0</v>
      </c>
      <c r="H244" s="11"/>
      <c r="I244" s="11"/>
      <c r="J244" s="11"/>
      <c r="K244" s="11"/>
      <c r="L244" s="11"/>
      <c r="M244" s="11"/>
      <c r="N244" s="11"/>
      <c r="O244" s="11">
        <v>0</v>
      </c>
      <c r="P244" s="11">
        <v>0</v>
      </c>
      <c r="Q244" s="11">
        <v>0</v>
      </c>
      <c r="R244" s="11">
        <v>0</v>
      </c>
      <c r="S244" s="11">
        <f>SUM(C244:R244)</f>
        <v>0</v>
      </c>
      <c r="U244" s="22" t="s">
        <v>24</v>
      </c>
      <c r="V244" s="11">
        <v>0</v>
      </c>
      <c r="W244" s="11">
        <v>0</v>
      </c>
      <c r="X244" s="11">
        <v>0</v>
      </c>
      <c r="Y244" s="11">
        <v>0</v>
      </c>
      <c r="Z244" s="11">
        <v>0</v>
      </c>
      <c r="AA244" s="11">
        <v>0</v>
      </c>
      <c r="AB244" s="11">
        <v>0</v>
      </c>
      <c r="AC244" s="11">
        <v>0</v>
      </c>
      <c r="AD244" s="11">
        <v>0</v>
      </c>
      <c r="AE244" s="11">
        <f>SUM(V244:AD244)</f>
        <v>0</v>
      </c>
    </row>
    <row r="245" spans="2:31">
      <c r="B245" s="22" t="s">
        <v>25</v>
      </c>
      <c r="C245" s="11">
        <v>0</v>
      </c>
      <c r="D245" s="11">
        <v>0</v>
      </c>
      <c r="E245" s="11">
        <v>0</v>
      </c>
      <c r="F245" s="11">
        <v>0</v>
      </c>
      <c r="G245" s="11">
        <v>0</v>
      </c>
      <c r="H245" s="11"/>
      <c r="I245" s="11"/>
      <c r="J245" s="11"/>
      <c r="K245" s="11"/>
      <c r="L245" s="11"/>
      <c r="M245" s="11"/>
      <c r="N245" s="11"/>
      <c r="O245" s="11">
        <v>0</v>
      </c>
      <c r="P245" s="11">
        <v>0</v>
      </c>
      <c r="Q245" s="11">
        <v>0</v>
      </c>
      <c r="R245" s="11">
        <v>0</v>
      </c>
      <c r="S245" s="11">
        <f t="shared" ref="S245:S253" si="62">SUM(C245:R245)</f>
        <v>0</v>
      </c>
      <c r="U245" s="22" t="s">
        <v>25</v>
      </c>
      <c r="V245" s="11">
        <v>0</v>
      </c>
      <c r="W245" s="11">
        <v>0</v>
      </c>
      <c r="X245" s="11">
        <v>0</v>
      </c>
      <c r="Y245" s="11">
        <v>0</v>
      </c>
      <c r="Z245" s="11">
        <v>0</v>
      </c>
      <c r="AA245" s="11">
        <v>0</v>
      </c>
      <c r="AB245" s="11">
        <v>0</v>
      </c>
      <c r="AC245" s="11">
        <v>0</v>
      </c>
      <c r="AD245" s="11">
        <v>0</v>
      </c>
      <c r="AE245" s="11">
        <f t="shared" ref="AE245:AE253" si="63">SUM(V245:AD245)</f>
        <v>0</v>
      </c>
    </row>
    <row r="246" spans="2:31">
      <c r="B246" s="22" t="s">
        <v>26</v>
      </c>
      <c r="C246" s="11">
        <v>0</v>
      </c>
      <c r="D246" s="11">
        <v>0</v>
      </c>
      <c r="E246" s="11">
        <v>0</v>
      </c>
      <c r="F246" s="11">
        <v>0</v>
      </c>
      <c r="G246" s="11">
        <v>0</v>
      </c>
      <c r="H246" s="11"/>
      <c r="I246" s="11"/>
      <c r="J246" s="11"/>
      <c r="K246" s="11"/>
      <c r="L246" s="11"/>
      <c r="M246" s="11"/>
      <c r="N246" s="11"/>
      <c r="O246" s="11">
        <v>0</v>
      </c>
      <c r="P246" s="11">
        <v>0</v>
      </c>
      <c r="Q246" s="11">
        <v>0</v>
      </c>
      <c r="R246" s="11">
        <v>0</v>
      </c>
      <c r="S246" s="11">
        <f t="shared" si="62"/>
        <v>0</v>
      </c>
      <c r="U246" s="22" t="s">
        <v>26</v>
      </c>
      <c r="V246" s="11">
        <v>0</v>
      </c>
      <c r="W246" s="11">
        <v>0</v>
      </c>
      <c r="X246" s="11">
        <v>0</v>
      </c>
      <c r="Y246" s="11">
        <v>0</v>
      </c>
      <c r="Z246" s="11">
        <v>0</v>
      </c>
      <c r="AA246" s="11">
        <v>0</v>
      </c>
      <c r="AB246" s="11">
        <v>0</v>
      </c>
      <c r="AC246" s="11">
        <v>0</v>
      </c>
      <c r="AD246" s="11">
        <v>0</v>
      </c>
      <c r="AE246" s="11">
        <f t="shared" si="63"/>
        <v>0</v>
      </c>
    </row>
    <row r="247" spans="2:31">
      <c r="B247" s="22" t="s">
        <v>27</v>
      </c>
      <c r="C247" s="11">
        <v>0</v>
      </c>
      <c r="D247" s="11">
        <v>0</v>
      </c>
      <c r="E247" s="11">
        <v>0</v>
      </c>
      <c r="F247" s="11">
        <v>0</v>
      </c>
      <c r="G247" s="11">
        <v>0</v>
      </c>
      <c r="H247" s="11"/>
      <c r="I247" s="11"/>
      <c r="J247" s="11"/>
      <c r="K247" s="11"/>
      <c r="L247" s="11"/>
      <c r="M247" s="11"/>
      <c r="N247" s="11"/>
      <c r="O247" s="11">
        <v>0</v>
      </c>
      <c r="P247" s="11">
        <v>0</v>
      </c>
      <c r="Q247" s="11">
        <v>0</v>
      </c>
      <c r="R247" s="11">
        <v>0</v>
      </c>
      <c r="S247" s="11">
        <f t="shared" si="62"/>
        <v>0</v>
      </c>
      <c r="U247" s="22" t="s">
        <v>27</v>
      </c>
      <c r="V247" s="11">
        <v>0</v>
      </c>
      <c r="W247" s="11">
        <v>0</v>
      </c>
      <c r="X247" s="11">
        <v>0</v>
      </c>
      <c r="Y247" s="11">
        <v>0</v>
      </c>
      <c r="Z247" s="11">
        <v>0</v>
      </c>
      <c r="AA247" s="11">
        <v>0</v>
      </c>
      <c r="AB247" s="11">
        <v>0</v>
      </c>
      <c r="AC247" s="11">
        <v>0</v>
      </c>
      <c r="AD247" s="11">
        <v>0</v>
      </c>
      <c r="AE247" s="11">
        <f t="shared" si="63"/>
        <v>0</v>
      </c>
    </row>
    <row r="248" spans="2:31">
      <c r="B248" s="22" t="s">
        <v>28</v>
      </c>
      <c r="C248" s="11">
        <v>0</v>
      </c>
      <c r="D248" s="11">
        <v>0</v>
      </c>
      <c r="E248" s="11">
        <v>0</v>
      </c>
      <c r="F248" s="11">
        <v>0</v>
      </c>
      <c r="G248" s="11">
        <v>0</v>
      </c>
      <c r="H248" s="11"/>
      <c r="I248" s="11"/>
      <c r="J248" s="11"/>
      <c r="K248" s="11"/>
      <c r="L248" s="11"/>
      <c r="M248" s="11"/>
      <c r="N248" s="11"/>
      <c r="O248" s="11">
        <v>0</v>
      </c>
      <c r="P248" s="11">
        <v>0</v>
      </c>
      <c r="Q248" s="11">
        <v>0</v>
      </c>
      <c r="R248" s="11">
        <v>0</v>
      </c>
      <c r="S248" s="11">
        <f t="shared" si="62"/>
        <v>0</v>
      </c>
      <c r="U248" s="22" t="s">
        <v>28</v>
      </c>
      <c r="V248" s="11">
        <v>0</v>
      </c>
      <c r="W248" s="11">
        <v>0</v>
      </c>
      <c r="X248" s="11">
        <v>0</v>
      </c>
      <c r="Y248" s="11">
        <v>0</v>
      </c>
      <c r="Z248" s="11">
        <v>0</v>
      </c>
      <c r="AA248" s="11">
        <v>0</v>
      </c>
      <c r="AB248" s="11">
        <v>0</v>
      </c>
      <c r="AC248" s="11">
        <v>0</v>
      </c>
      <c r="AD248" s="11">
        <v>0</v>
      </c>
      <c r="AE248" s="11">
        <f t="shared" si="63"/>
        <v>0</v>
      </c>
    </row>
    <row r="249" spans="2:31">
      <c r="B249" s="22" t="s">
        <v>29</v>
      </c>
      <c r="C249" s="11">
        <v>0</v>
      </c>
      <c r="D249" s="11">
        <v>0</v>
      </c>
      <c r="E249" s="11">
        <v>0</v>
      </c>
      <c r="F249" s="11">
        <v>0</v>
      </c>
      <c r="G249" s="11">
        <v>0</v>
      </c>
      <c r="H249" s="11"/>
      <c r="I249" s="11"/>
      <c r="J249" s="11"/>
      <c r="K249" s="11"/>
      <c r="L249" s="11"/>
      <c r="M249" s="11"/>
      <c r="N249" s="11"/>
      <c r="O249" s="11">
        <v>0</v>
      </c>
      <c r="P249" s="11">
        <v>0</v>
      </c>
      <c r="Q249" s="11">
        <v>0</v>
      </c>
      <c r="R249" s="11">
        <v>0</v>
      </c>
      <c r="S249" s="11">
        <f t="shared" si="62"/>
        <v>0</v>
      </c>
      <c r="U249" s="22" t="s">
        <v>29</v>
      </c>
      <c r="V249" s="11">
        <v>0</v>
      </c>
      <c r="W249" s="11">
        <v>0</v>
      </c>
      <c r="X249" s="11">
        <v>0</v>
      </c>
      <c r="Y249" s="11">
        <v>0</v>
      </c>
      <c r="Z249" s="11">
        <v>0</v>
      </c>
      <c r="AA249" s="11">
        <v>0</v>
      </c>
      <c r="AB249" s="11">
        <v>0</v>
      </c>
      <c r="AC249" s="11">
        <v>0</v>
      </c>
      <c r="AD249" s="11">
        <v>0</v>
      </c>
      <c r="AE249" s="11">
        <f t="shared" si="63"/>
        <v>0</v>
      </c>
    </row>
    <row r="250" spans="2:31">
      <c r="B250" s="22" t="s">
        <v>30</v>
      </c>
      <c r="C250" s="11">
        <v>0</v>
      </c>
      <c r="D250" s="11">
        <v>0</v>
      </c>
      <c r="E250" s="11">
        <v>0</v>
      </c>
      <c r="F250" s="11">
        <v>0</v>
      </c>
      <c r="G250" s="11">
        <v>0</v>
      </c>
      <c r="H250" s="11"/>
      <c r="I250" s="11"/>
      <c r="J250" s="11"/>
      <c r="K250" s="11"/>
      <c r="L250" s="11"/>
      <c r="M250" s="11"/>
      <c r="N250" s="11"/>
      <c r="O250" s="11">
        <v>0</v>
      </c>
      <c r="P250" s="11">
        <v>0</v>
      </c>
      <c r="Q250" s="11">
        <v>0</v>
      </c>
      <c r="R250" s="11">
        <v>0</v>
      </c>
      <c r="S250" s="11">
        <f t="shared" si="62"/>
        <v>0</v>
      </c>
      <c r="U250" s="22" t="s">
        <v>30</v>
      </c>
      <c r="V250" s="11">
        <v>0</v>
      </c>
      <c r="W250" s="11">
        <v>0</v>
      </c>
      <c r="X250" s="11">
        <v>0</v>
      </c>
      <c r="Y250" s="11">
        <v>0</v>
      </c>
      <c r="Z250" s="11">
        <v>0</v>
      </c>
      <c r="AA250" s="11">
        <v>0</v>
      </c>
      <c r="AB250" s="11">
        <v>0</v>
      </c>
      <c r="AC250" s="11">
        <v>0</v>
      </c>
      <c r="AD250" s="11">
        <v>0</v>
      </c>
      <c r="AE250" s="11">
        <f t="shared" si="63"/>
        <v>0</v>
      </c>
    </row>
    <row r="251" spans="2:31">
      <c r="B251" s="22" t="s">
        <v>31</v>
      </c>
      <c r="C251" s="11">
        <v>0</v>
      </c>
      <c r="D251" s="11">
        <v>0</v>
      </c>
      <c r="E251" s="11">
        <v>0</v>
      </c>
      <c r="F251" s="11">
        <v>0</v>
      </c>
      <c r="G251" s="11">
        <v>0</v>
      </c>
      <c r="H251" s="11"/>
      <c r="I251" s="11"/>
      <c r="J251" s="11"/>
      <c r="K251" s="11"/>
      <c r="L251" s="11"/>
      <c r="M251" s="11"/>
      <c r="N251" s="11"/>
      <c r="O251" s="11">
        <v>0</v>
      </c>
      <c r="P251" s="11">
        <v>0</v>
      </c>
      <c r="Q251" s="11">
        <v>0</v>
      </c>
      <c r="R251" s="11">
        <v>0</v>
      </c>
      <c r="S251" s="11">
        <f t="shared" si="62"/>
        <v>0</v>
      </c>
      <c r="U251" s="22" t="s">
        <v>31</v>
      </c>
      <c r="V251" s="11">
        <v>0</v>
      </c>
      <c r="W251" s="11">
        <v>0</v>
      </c>
      <c r="X251" s="11">
        <v>0</v>
      </c>
      <c r="Y251" s="11">
        <v>0</v>
      </c>
      <c r="Z251" s="11">
        <v>0</v>
      </c>
      <c r="AA251" s="11">
        <v>0</v>
      </c>
      <c r="AB251" s="11">
        <v>0</v>
      </c>
      <c r="AC251" s="11">
        <v>0</v>
      </c>
      <c r="AD251" s="11">
        <v>0</v>
      </c>
      <c r="AE251" s="11">
        <f t="shared" si="63"/>
        <v>0</v>
      </c>
    </row>
    <row r="252" spans="2:31">
      <c r="B252" s="22" t="s">
        <v>32</v>
      </c>
      <c r="C252" s="11">
        <v>0</v>
      </c>
      <c r="D252" s="11">
        <v>0</v>
      </c>
      <c r="E252" s="23">
        <v>0</v>
      </c>
      <c r="F252" s="11">
        <v>0</v>
      </c>
      <c r="G252" s="11">
        <v>0</v>
      </c>
      <c r="H252" s="11"/>
      <c r="I252" s="11"/>
      <c r="J252" s="11"/>
      <c r="K252" s="11"/>
      <c r="L252" s="11"/>
      <c r="M252" s="11"/>
      <c r="N252" s="11"/>
      <c r="O252" s="11">
        <v>0</v>
      </c>
      <c r="P252" s="11">
        <v>0</v>
      </c>
      <c r="Q252" s="11">
        <v>0</v>
      </c>
      <c r="R252" s="11">
        <v>0</v>
      </c>
      <c r="S252" s="11">
        <f t="shared" si="62"/>
        <v>0</v>
      </c>
      <c r="U252" s="22" t="s">
        <v>32</v>
      </c>
      <c r="V252" s="11">
        <v>0</v>
      </c>
      <c r="W252" s="11">
        <v>0</v>
      </c>
      <c r="X252" s="23">
        <v>0</v>
      </c>
      <c r="Y252" s="11">
        <v>0</v>
      </c>
      <c r="Z252" s="11">
        <v>0</v>
      </c>
      <c r="AA252" s="11">
        <v>0</v>
      </c>
      <c r="AB252" s="11">
        <v>0</v>
      </c>
      <c r="AC252" s="11">
        <v>0</v>
      </c>
      <c r="AD252" s="11">
        <v>0</v>
      </c>
      <c r="AE252" s="11">
        <f t="shared" si="63"/>
        <v>0</v>
      </c>
    </row>
    <row r="253" spans="2:31">
      <c r="B253" s="24" t="s">
        <v>33</v>
      </c>
      <c r="C253" s="15">
        <f>C244+C248+C249+C250+C251+C252</f>
        <v>0</v>
      </c>
      <c r="D253" s="15">
        <f t="shared" ref="D253:R253" si="64">D244+D248+D249+D250+D251+D252</f>
        <v>0</v>
      </c>
      <c r="E253" s="15">
        <f t="shared" si="64"/>
        <v>0</v>
      </c>
      <c r="F253" s="15">
        <f t="shared" si="64"/>
        <v>0</v>
      </c>
      <c r="G253" s="15">
        <f t="shared" si="64"/>
        <v>0</v>
      </c>
      <c r="H253" s="15">
        <f t="shared" si="64"/>
        <v>0</v>
      </c>
      <c r="I253" s="15">
        <f t="shared" si="64"/>
        <v>0</v>
      </c>
      <c r="J253" s="15">
        <f t="shared" si="64"/>
        <v>0</v>
      </c>
      <c r="K253" s="15">
        <f t="shared" si="64"/>
        <v>0</v>
      </c>
      <c r="L253" s="15">
        <f t="shared" si="64"/>
        <v>0</v>
      </c>
      <c r="M253" s="15">
        <f t="shared" si="64"/>
        <v>0</v>
      </c>
      <c r="N253" s="15">
        <f t="shared" si="64"/>
        <v>0</v>
      </c>
      <c r="O253" s="15">
        <f t="shared" si="64"/>
        <v>0</v>
      </c>
      <c r="P253" s="15">
        <f t="shared" si="64"/>
        <v>0</v>
      </c>
      <c r="Q253" s="15">
        <f t="shared" si="64"/>
        <v>0</v>
      </c>
      <c r="R253" s="15">
        <f t="shared" si="64"/>
        <v>0</v>
      </c>
      <c r="S253" s="15">
        <f t="shared" si="62"/>
        <v>0</v>
      </c>
      <c r="U253" s="24" t="s">
        <v>33</v>
      </c>
      <c r="V253" s="15">
        <f>V244+V248+V249+V250+V251+V252</f>
        <v>0</v>
      </c>
      <c r="W253" s="15">
        <f t="shared" ref="W253:AD253" si="65">W244+W248+W249+W250+W251+W252</f>
        <v>0</v>
      </c>
      <c r="X253" s="15">
        <f t="shared" si="65"/>
        <v>0</v>
      </c>
      <c r="Y253" s="15">
        <f t="shared" si="65"/>
        <v>0</v>
      </c>
      <c r="Z253" s="15">
        <f t="shared" si="65"/>
        <v>0</v>
      </c>
      <c r="AA253" s="15">
        <f t="shared" si="65"/>
        <v>0</v>
      </c>
      <c r="AB253" s="15">
        <f t="shared" si="65"/>
        <v>0</v>
      </c>
      <c r="AC253" s="15">
        <f t="shared" si="65"/>
        <v>0</v>
      </c>
      <c r="AD253" s="15">
        <f t="shared" si="65"/>
        <v>0</v>
      </c>
      <c r="AE253" s="15">
        <f t="shared" si="63"/>
        <v>0</v>
      </c>
    </row>
    <row r="254" spans="2:31">
      <c r="B254" s="22" t="s">
        <v>34</v>
      </c>
      <c r="C254" s="11">
        <v>0</v>
      </c>
      <c r="D254" s="11">
        <v>0</v>
      </c>
      <c r="E254" s="11">
        <v>0</v>
      </c>
      <c r="F254" s="11">
        <v>0</v>
      </c>
      <c r="G254" s="11">
        <v>0</v>
      </c>
      <c r="H254" s="11"/>
      <c r="I254" s="11"/>
      <c r="J254" s="11"/>
      <c r="K254" s="11"/>
      <c r="L254" s="11"/>
      <c r="M254" s="11"/>
      <c r="N254" s="11"/>
      <c r="O254" s="11">
        <v>0</v>
      </c>
      <c r="P254" s="11">
        <v>0</v>
      </c>
      <c r="Q254" s="11">
        <v>0</v>
      </c>
      <c r="R254" s="11">
        <v>0</v>
      </c>
      <c r="S254" s="11">
        <f t="shared" ref="S254:S261" si="66">SUM(C254:R254)</f>
        <v>0</v>
      </c>
      <c r="U254" s="22" t="s">
        <v>34</v>
      </c>
      <c r="V254" s="11">
        <v>0</v>
      </c>
      <c r="W254" s="11">
        <v>0</v>
      </c>
      <c r="X254" s="11">
        <v>0</v>
      </c>
      <c r="Y254" s="11">
        <v>0</v>
      </c>
      <c r="Z254" s="11">
        <v>0</v>
      </c>
      <c r="AA254" s="11">
        <v>0</v>
      </c>
      <c r="AB254" s="11">
        <v>0</v>
      </c>
      <c r="AC254" s="11">
        <v>0</v>
      </c>
      <c r="AD254" s="11">
        <v>0</v>
      </c>
      <c r="AE254" s="11">
        <f t="shared" ref="AE254:AE261" si="67">SUM(V254:AD254)</f>
        <v>0</v>
      </c>
    </row>
    <row r="255" spans="2:31">
      <c r="B255" s="22" t="s">
        <v>35</v>
      </c>
      <c r="C255" s="11">
        <f>(P255-Q255)*$X$48*('Prod Energie'!I32)</f>
        <v>0</v>
      </c>
      <c r="D255" s="11">
        <v>0</v>
      </c>
      <c r="E255" s="11">
        <f>(P255-Q255)*$X$48*('Prod Energie'!I33)</f>
        <v>15.082870223085886</v>
      </c>
      <c r="F255" s="11">
        <v>0</v>
      </c>
      <c r="G255" s="11">
        <f>(P255-Q255)*$X$48*('Prod Energie'!I40+'Prod Energie'!D39)</f>
        <v>7.2085597856312766</v>
      </c>
      <c r="H255" s="11"/>
      <c r="I255" s="11"/>
      <c r="J255" s="11"/>
      <c r="K255" s="11"/>
      <c r="L255" s="11"/>
      <c r="M255" s="11"/>
      <c r="N255" s="11"/>
      <c r="O255" s="11">
        <f>(P255-Q255)*$X$48*('Prod Energie'!I38)</f>
        <v>9.5465345589830513</v>
      </c>
      <c r="P255" s="11">
        <f>P260/(1+$P$48+$Q$48)</f>
        <v>-19.899372220029587</v>
      </c>
      <c r="Q255" s="11">
        <f>Q260/(1+$D$48)</f>
        <v>0</v>
      </c>
      <c r="R255" s="11">
        <v>0</v>
      </c>
      <c r="S255" s="11">
        <f t="shared" si="66"/>
        <v>11.938592347670628</v>
      </c>
      <c r="U255" s="22" t="s">
        <v>35</v>
      </c>
      <c r="V255" s="11">
        <f>(AB255-AC255)*$X$48*('Prod Energie'!I53)</f>
        <v>0</v>
      </c>
      <c r="W255" s="11">
        <v>0</v>
      </c>
      <c r="X255" s="11">
        <f>(AB255-AC255)*$X$48*('Prod Energie'!I54)</f>
        <v>0</v>
      </c>
      <c r="Y255" s="11">
        <v>0</v>
      </c>
      <c r="Z255" s="11">
        <f>(AB255-AC255)*$X$48*('Prod Energie'!I61+'Prod Energie'!D60)</f>
        <v>9.4080572511116181</v>
      </c>
      <c r="AA255" s="11">
        <f>(AB255-AC255)*$X$48*('Prod Energie'!I59)</f>
        <v>11.490136775931212</v>
      </c>
      <c r="AB255" s="11">
        <f>AB260/(1+$P$48+$Q$48)</f>
        <v>-23.522088373335166</v>
      </c>
      <c r="AC255" s="11">
        <f>AC260/(1+$D$48)</f>
        <v>0</v>
      </c>
      <c r="AD255" s="11">
        <v>0</v>
      </c>
      <c r="AE255" s="11">
        <f t="shared" si="67"/>
        <v>-2.6238943462923352</v>
      </c>
    </row>
    <row r="256" spans="2:31">
      <c r="B256" s="22" t="s">
        <v>36</v>
      </c>
      <c r="C256" s="11">
        <v>0</v>
      </c>
      <c r="D256" s="11">
        <v>0</v>
      </c>
      <c r="E256" s="11">
        <v>0</v>
      </c>
      <c r="F256" s="11">
        <v>0</v>
      </c>
      <c r="G256" s="11">
        <v>0</v>
      </c>
      <c r="H256" s="11"/>
      <c r="I256" s="11"/>
      <c r="J256" s="11"/>
      <c r="K256" s="11"/>
      <c r="L256" s="11"/>
      <c r="M256" s="11"/>
      <c r="N256" s="11"/>
      <c r="O256" s="11">
        <v>0</v>
      </c>
      <c r="P256" s="11">
        <v>0</v>
      </c>
      <c r="Q256" s="11">
        <v>0</v>
      </c>
      <c r="R256" s="11">
        <v>0</v>
      </c>
      <c r="S256" s="11">
        <f t="shared" si="66"/>
        <v>0</v>
      </c>
      <c r="U256" s="22" t="s">
        <v>36</v>
      </c>
      <c r="V256" s="11">
        <v>0</v>
      </c>
      <c r="W256" s="11">
        <v>0</v>
      </c>
      <c r="X256" s="11">
        <v>0</v>
      </c>
      <c r="Y256" s="11">
        <v>0</v>
      </c>
      <c r="Z256" s="11">
        <v>0</v>
      </c>
      <c r="AA256" s="11">
        <v>0</v>
      </c>
      <c r="AB256" s="11">
        <v>0</v>
      </c>
      <c r="AC256" s="11">
        <v>0</v>
      </c>
      <c r="AD256" s="11">
        <v>0</v>
      </c>
      <c r="AE256" s="11">
        <f t="shared" si="67"/>
        <v>0</v>
      </c>
    </row>
    <row r="257" spans="2:32">
      <c r="B257" s="22" t="s">
        <v>37</v>
      </c>
      <c r="C257" s="11">
        <v>0</v>
      </c>
      <c r="D257" s="11">
        <v>0</v>
      </c>
      <c r="E257" s="11">
        <v>0</v>
      </c>
      <c r="F257" s="11">
        <v>0</v>
      </c>
      <c r="G257" s="11">
        <v>0</v>
      </c>
      <c r="H257" s="11"/>
      <c r="I257" s="11"/>
      <c r="J257" s="11"/>
      <c r="K257" s="11"/>
      <c r="L257" s="11"/>
      <c r="M257" s="11"/>
      <c r="N257" s="11"/>
      <c r="O257" s="11">
        <v>0</v>
      </c>
      <c r="P257" s="11">
        <v>0</v>
      </c>
      <c r="Q257" s="11">
        <v>0</v>
      </c>
      <c r="R257" s="11">
        <v>0</v>
      </c>
      <c r="S257" s="11">
        <f t="shared" si="66"/>
        <v>0</v>
      </c>
      <c r="U257" s="22" t="s">
        <v>37</v>
      </c>
      <c r="V257" s="11">
        <v>0</v>
      </c>
      <c r="W257" s="11">
        <v>0</v>
      </c>
      <c r="X257" s="11">
        <v>0</v>
      </c>
      <c r="Y257" s="11">
        <v>0</v>
      </c>
      <c r="Z257" s="11">
        <v>0</v>
      </c>
      <c r="AA257" s="11">
        <v>0</v>
      </c>
      <c r="AB257" s="11">
        <v>0</v>
      </c>
      <c r="AC257" s="11">
        <v>0</v>
      </c>
      <c r="AD257" s="11">
        <v>0</v>
      </c>
      <c r="AE257" s="11">
        <f t="shared" si="67"/>
        <v>0</v>
      </c>
    </row>
    <row r="258" spans="2:32">
      <c r="B258" s="22" t="s">
        <v>38</v>
      </c>
      <c r="C258" s="11">
        <v>0</v>
      </c>
      <c r="D258" s="11">
        <v>0</v>
      </c>
      <c r="E258" s="11">
        <v>0</v>
      </c>
      <c r="F258" s="11">
        <v>0</v>
      </c>
      <c r="G258" s="11">
        <v>0</v>
      </c>
      <c r="H258" s="11"/>
      <c r="I258" s="11"/>
      <c r="J258" s="11"/>
      <c r="K258" s="11"/>
      <c r="L258" s="11"/>
      <c r="M258" s="11"/>
      <c r="N258" s="11"/>
      <c r="O258" s="11">
        <v>0</v>
      </c>
      <c r="P258" s="11">
        <f>P255*$P$48</f>
        <v>0.23762430323083908</v>
      </c>
      <c r="Q258" s="11">
        <v>0</v>
      </c>
      <c r="R258" s="11">
        <v>0</v>
      </c>
      <c r="S258" s="11">
        <f t="shared" si="66"/>
        <v>0.23762430323083908</v>
      </c>
      <c r="U258" s="22" t="s">
        <v>38</v>
      </c>
      <c r="V258" s="11">
        <v>0</v>
      </c>
      <c r="W258" s="11">
        <v>0</v>
      </c>
      <c r="X258" s="11">
        <v>0</v>
      </c>
      <c r="Y258" s="11">
        <v>0</v>
      </c>
      <c r="Z258" s="11">
        <v>0</v>
      </c>
      <c r="AA258" s="11">
        <v>0</v>
      </c>
      <c r="AB258" s="11">
        <f>AB255*$P$48</f>
        <v>0.28088423084131242</v>
      </c>
      <c r="AC258" s="11">
        <v>0</v>
      </c>
      <c r="AD258" s="11">
        <v>0</v>
      </c>
      <c r="AE258" s="11">
        <f t="shared" si="67"/>
        <v>0.28088423084131242</v>
      </c>
    </row>
    <row r="259" spans="2:32">
      <c r="B259" s="22" t="s">
        <v>39</v>
      </c>
      <c r="C259" s="11">
        <v>0</v>
      </c>
      <c r="D259" s="11">
        <v>0</v>
      </c>
      <c r="E259" s="11">
        <v>0</v>
      </c>
      <c r="F259" s="11">
        <v>0</v>
      </c>
      <c r="G259" s="11">
        <v>0</v>
      </c>
      <c r="H259" s="11"/>
      <c r="I259" s="11"/>
      <c r="J259" s="11"/>
      <c r="K259" s="11"/>
      <c r="L259" s="11"/>
      <c r="M259" s="11"/>
      <c r="N259" s="11"/>
      <c r="O259" s="11">
        <v>0</v>
      </c>
      <c r="P259" s="11">
        <f>P255*$Q$48</f>
        <v>1.2726383491248869</v>
      </c>
      <c r="Q259" s="11">
        <f>Q255*$D$48</f>
        <v>0</v>
      </c>
      <c r="R259" s="11">
        <v>0</v>
      </c>
      <c r="S259" s="11">
        <f t="shared" si="66"/>
        <v>1.2726383491248869</v>
      </c>
      <c r="U259" s="22" t="s">
        <v>39</v>
      </c>
      <c r="V259" s="11">
        <v>0</v>
      </c>
      <c r="W259" s="11">
        <v>0</v>
      </c>
      <c r="X259" s="11">
        <v>0</v>
      </c>
      <c r="Y259" s="11">
        <v>0</v>
      </c>
      <c r="Z259" s="11">
        <v>0</v>
      </c>
      <c r="AA259" s="11">
        <v>0</v>
      </c>
      <c r="AB259" s="11">
        <f>AB255*$Q$48</f>
        <v>1.5043244271434837</v>
      </c>
      <c r="AC259" s="11">
        <f>AC255*$D$48</f>
        <v>0</v>
      </c>
      <c r="AD259" s="11">
        <v>0</v>
      </c>
      <c r="AE259" s="11">
        <f t="shared" si="67"/>
        <v>1.5043244271434837</v>
      </c>
    </row>
    <row r="260" spans="2:32">
      <c r="B260" s="24" t="s">
        <v>40</v>
      </c>
      <c r="C260" s="15">
        <f t="shared" ref="C260:O260" si="68">SUM(C254:C259)</f>
        <v>0</v>
      </c>
      <c r="D260" s="15">
        <f t="shared" si="68"/>
        <v>0</v>
      </c>
      <c r="E260" s="15">
        <f t="shared" si="68"/>
        <v>15.082870223085886</v>
      </c>
      <c r="F260" s="15">
        <f t="shared" si="68"/>
        <v>0</v>
      </c>
      <c r="G260" s="15">
        <f t="shared" si="68"/>
        <v>7.2085597856312766</v>
      </c>
      <c r="H260" s="15"/>
      <c r="I260" s="15"/>
      <c r="J260" s="15"/>
      <c r="K260" s="15"/>
      <c r="L260" s="15"/>
      <c r="M260" s="15"/>
      <c r="N260" s="15"/>
      <c r="O260" s="15">
        <f t="shared" si="68"/>
        <v>9.5465345589830513</v>
      </c>
      <c r="P260" s="15">
        <f>-P268</f>
        <v>-18.389109567673863</v>
      </c>
      <c r="Q260" s="15">
        <f>-Q268</f>
        <v>0</v>
      </c>
      <c r="R260" s="15">
        <v>0</v>
      </c>
      <c r="S260" s="15">
        <f t="shared" si="66"/>
        <v>13.448855000026352</v>
      </c>
      <c r="U260" s="24" t="s">
        <v>40</v>
      </c>
      <c r="V260" s="15">
        <f t="shared" ref="V260:AA260" si="69">SUM(V254:V259)</f>
        <v>0</v>
      </c>
      <c r="W260" s="15">
        <f t="shared" si="69"/>
        <v>0</v>
      </c>
      <c r="X260" s="15">
        <f t="shared" si="69"/>
        <v>0</v>
      </c>
      <c r="Y260" s="15">
        <f t="shared" si="69"/>
        <v>0</v>
      </c>
      <c r="Z260" s="15">
        <f t="shared" si="69"/>
        <v>9.4080572511116181</v>
      </c>
      <c r="AA260" s="15">
        <f t="shared" si="69"/>
        <v>11.490136775931212</v>
      </c>
      <c r="AB260" s="15">
        <f>-AB268</f>
        <v>-21.736879715350369</v>
      </c>
      <c r="AC260" s="15">
        <f>-AC268</f>
        <v>0</v>
      </c>
      <c r="AD260" s="15">
        <v>0</v>
      </c>
      <c r="AE260" s="15">
        <f t="shared" si="67"/>
        <v>-0.83868568830753887</v>
      </c>
    </row>
    <row r="261" spans="2:32">
      <c r="B261" s="22" t="s">
        <v>41</v>
      </c>
      <c r="C261" s="11">
        <v>0</v>
      </c>
      <c r="D261" s="11">
        <v>0</v>
      </c>
      <c r="E261" s="11">
        <f>Industrie!I35</f>
        <v>0</v>
      </c>
      <c r="F261" s="11">
        <v>0</v>
      </c>
      <c r="G261" s="11">
        <v>0</v>
      </c>
      <c r="H261" s="11"/>
      <c r="I261" s="11"/>
      <c r="J261" s="11"/>
      <c r="K261" s="11"/>
      <c r="L261" s="11"/>
      <c r="M261" s="11"/>
      <c r="N261" s="11"/>
      <c r="O261" s="11">
        <f>Industrie!I38</f>
        <v>0</v>
      </c>
      <c r="P261" s="11">
        <f>Industrie!I36</f>
        <v>1.584748850042645</v>
      </c>
      <c r="Q261" s="11">
        <f>Industrie!I39</f>
        <v>0</v>
      </c>
      <c r="R261" s="11">
        <v>0</v>
      </c>
      <c r="S261" s="11">
        <f t="shared" si="66"/>
        <v>1.584748850042645</v>
      </c>
      <c r="U261" s="22" t="s">
        <v>41</v>
      </c>
      <c r="V261" s="11">
        <v>0</v>
      </c>
      <c r="W261" s="11">
        <v>0</v>
      </c>
      <c r="X261" s="11">
        <f>Industrie!I56</f>
        <v>0</v>
      </c>
      <c r="Y261" s="11">
        <v>0</v>
      </c>
      <c r="Z261" s="11">
        <v>0</v>
      </c>
      <c r="AA261" s="11">
        <f>Industrie!I62</f>
        <v>0</v>
      </c>
      <c r="AB261" s="11">
        <f>Industrie!I57</f>
        <v>0.91563266891352812</v>
      </c>
      <c r="AC261" s="11">
        <f>Industrie!I63</f>
        <v>0</v>
      </c>
      <c r="AD261" s="11">
        <v>0</v>
      </c>
      <c r="AE261" s="11">
        <f t="shared" si="67"/>
        <v>0.91563266891352812</v>
      </c>
    </row>
    <row r="262" spans="2:32">
      <c r="B262" s="22" t="s">
        <v>42</v>
      </c>
      <c r="C262" s="11">
        <v>0</v>
      </c>
      <c r="D262" s="11">
        <v>0</v>
      </c>
      <c r="E262" s="11">
        <f>Transports!K49</f>
        <v>30.173492691277854</v>
      </c>
      <c r="F262" s="11">
        <v>0</v>
      </c>
      <c r="G262" s="11">
        <v>0</v>
      </c>
      <c r="H262" s="11"/>
      <c r="I262" s="11"/>
      <c r="J262" s="11"/>
      <c r="K262" s="11"/>
      <c r="L262" s="11"/>
      <c r="M262" s="11"/>
      <c r="N262" s="11"/>
      <c r="O262" s="11">
        <v>0</v>
      </c>
      <c r="P262" s="11">
        <f>Transports!K50</f>
        <v>0.95856927980839379</v>
      </c>
      <c r="Q262" s="11">
        <v>0</v>
      </c>
      <c r="R262" s="11">
        <v>0</v>
      </c>
      <c r="S262" s="11">
        <f>Transports!K51</f>
        <v>31.132061971086248</v>
      </c>
      <c r="U262" s="22" t="s">
        <v>42</v>
      </c>
      <c r="V262" s="11">
        <v>0</v>
      </c>
      <c r="W262" s="11">
        <v>0</v>
      </c>
      <c r="X262" s="11">
        <f>Transports!K76</f>
        <v>3.4379708419489754</v>
      </c>
      <c r="Y262" s="11">
        <v>0</v>
      </c>
      <c r="Z262" s="11">
        <v>0</v>
      </c>
      <c r="AA262" s="11">
        <v>0</v>
      </c>
      <c r="AB262" s="11">
        <f>Transports!K77</f>
        <v>11.450946177369767</v>
      </c>
      <c r="AC262" s="11">
        <v>0</v>
      </c>
      <c r="AD262" s="11">
        <v>0</v>
      </c>
      <c r="AE262" s="11">
        <f>Transports!K78</f>
        <v>14.888917019318743</v>
      </c>
    </row>
    <row r="263" spans="2:32">
      <c r="B263" s="22" t="s">
        <v>43</v>
      </c>
      <c r="C263" s="11">
        <v>0</v>
      </c>
      <c r="D263" s="11">
        <v>0</v>
      </c>
      <c r="E263" s="11">
        <f>'Résidentiel-tertiaire'!I172</f>
        <v>1.9625324547817673</v>
      </c>
      <c r="F263" s="11">
        <v>0</v>
      </c>
      <c r="G263" s="11">
        <v>0</v>
      </c>
      <c r="H263" s="11"/>
      <c r="I263" s="11"/>
      <c r="J263" s="11"/>
      <c r="K263" s="11"/>
      <c r="L263" s="11"/>
      <c r="M263" s="11"/>
      <c r="N263" s="11"/>
      <c r="O263" s="11">
        <f>'Résidentiel-tertiaire'!I173</f>
        <v>0</v>
      </c>
      <c r="P263" s="11">
        <f>'Résidentiel-tertiaire'!I174</f>
        <v>8.1337272920278156</v>
      </c>
      <c r="Q263" s="11">
        <v>0</v>
      </c>
      <c r="R263" s="11">
        <v>0</v>
      </c>
      <c r="S263" s="11">
        <f>SUM(C263:R263)</f>
        <v>10.096259746809583</v>
      </c>
      <c r="U263" s="22" t="s">
        <v>43</v>
      </c>
      <c r="V263" s="11">
        <v>0</v>
      </c>
      <c r="W263" s="11">
        <v>0</v>
      </c>
      <c r="X263" s="11">
        <f>'Résidentiel-tertiaire'!I187</f>
        <v>0</v>
      </c>
      <c r="Y263" s="11">
        <v>0</v>
      </c>
      <c r="Z263" s="11">
        <v>0</v>
      </c>
      <c r="AA263" s="11">
        <f>'Résidentiel-tertiaire'!I188</f>
        <v>0.39234948912784584</v>
      </c>
      <c r="AB263" s="11">
        <f>'Résidentiel-tertiaire'!I189</f>
        <v>5.6629832684696799</v>
      </c>
      <c r="AC263" s="11">
        <v>0</v>
      </c>
      <c r="AD263" s="11">
        <v>0</v>
      </c>
      <c r="AE263" s="11">
        <f>SUM(V263:AD263)</f>
        <v>6.055332757597526</v>
      </c>
    </row>
    <row r="264" spans="2:32">
      <c r="B264" s="22" t="s">
        <v>44</v>
      </c>
      <c r="C264" s="11">
        <v>0</v>
      </c>
      <c r="D264" s="11">
        <v>0</v>
      </c>
      <c r="E264" s="11">
        <f>'Résidentiel-tertiaire'!I177</f>
        <v>0.703466735906637</v>
      </c>
      <c r="F264" s="11">
        <v>0</v>
      </c>
      <c r="G264" s="11">
        <v>0</v>
      </c>
      <c r="H264" s="11"/>
      <c r="I264" s="11"/>
      <c r="J264" s="11"/>
      <c r="K264" s="11"/>
      <c r="L264" s="11"/>
      <c r="M264" s="11"/>
      <c r="N264" s="11"/>
      <c r="O264" s="11">
        <f>'Résidentiel-tertiaire'!I178</f>
        <v>0</v>
      </c>
      <c r="P264" s="11">
        <f>'Résidentiel-tertiaire'!I179</f>
        <v>7.7120641457950088</v>
      </c>
      <c r="Q264" s="11">
        <v>0</v>
      </c>
      <c r="R264" s="11">
        <v>0</v>
      </c>
      <c r="S264" s="11">
        <f>SUM(C264:R264)</f>
        <v>8.4155308817016454</v>
      </c>
      <c r="U264" s="22" t="s">
        <v>44</v>
      </c>
      <c r="V264" s="11">
        <v>0</v>
      </c>
      <c r="W264" s="11">
        <v>0</v>
      </c>
      <c r="X264" s="11">
        <f>'Résidentiel-tertiaire'!I192</f>
        <v>0</v>
      </c>
      <c r="Y264" s="11">
        <v>0</v>
      </c>
      <c r="Z264" s="11">
        <v>0</v>
      </c>
      <c r="AA264" s="11">
        <f>'Résidentiel-tertiaire'!I193</f>
        <v>0</v>
      </c>
      <c r="AB264" s="11">
        <f>'Résidentiel-tertiaire'!I194</f>
        <v>3.7073176005973956</v>
      </c>
      <c r="AC264" s="11">
        <v>0</v>
      </c>
      <c r="AD264" s="11">
        <v>0</v>
      </c>
      <c r="AE264" s="11">
        <f>SUM(V264:AD264)</f>
        <v>3.7073176005973956</v>
      </c>
    </row>
    <row r="265" spans="2:32">
      <c r="B265" s="22" t="s">
        <v>4</v>
      </c>
      <c r="C265" s="11">
        <v>0</v>
      </c>
      <c r="D265" s="11">
        <v>0</v>
      </c>
      <c r="E265" s="11">
        <f>Agriculture!Y27</f>
        <v>0.34384999999999993</v>
      </c>
      <c r="F265" s="11">
        <v>0</v>
      </c>
      <c r="G265" s="11">
        <v>0</v>
      </c>
      <c r="H265" s="11"/>
      <c r="I265" s="11"/>
      <c r="J265" s="11"/>
      <c r="K265" s="11"/>
      <c r="L265" s="11"/>
      <c r="M265" s="11"/>
      <c r="N265" s="11"/>
      <c r="O265" s="11">
        <v>0</v>
      </c>
      <c r="P265" s="11">
        <f>Agriculture!Y28</f>
        <v>0</v>
      </c>
      <c r="Q265" s="11">
        <v>0</v>
      </c>
      <c r="R265" s="11">
        <v>0</v>
      </c>
      <c r="S265" s="11">
        <f>SUM(C265:R265)</f>
        <v>0.34384999999999993</v>
      </c>
      <c r="U265" s="22" t="s">
        <v>4</v>
      </c>
      <c r="V265" s="11">
        <v>0</v>
      </c>
      <c r="W265" s="11">
        <v>0</v>
      </c>
      <c r="X265" s="11">
        <f>Agriculture!AG43</f>
        <v>0</v>
      </c>
      <c r="Y265" s="11">
        <v>0</v>
      </c>
      <c r="Z265" s="11">
        <v>0</v>
      </c>
      <c r="AA265" s="11">
        <f>Agriculture!AG45</f>
        <v>0.30946499999999993</v>
      </c>
      <c r="AB265" s="11">
        <f>Agriculture!AG44</f>
        <v>0</v>
      </c>
      <c r="AC265" s="11">
        <v>0</v>
      </c>
      <c r="AD265" s="11">
        <v>0</v>
      </c>
      <c r="AE265" s="11">
        <f>SUM(V265:AD265)</f>
        <v>0.30946499999999993</v>
      </c>
    </row>
    <row r="266" spans="2:32">
      <c r="B266" s="26" t="s">
        <v>45</v>
      </c>
      <c r="C266" s="19">
        <v>0</v>
      </c>
      <c r="D266" s="19">
        <v>0</v>
      </c>
      <c r="E266" s="19">
        <f t="shared" ref="E266:S266" si="70">SUM(E261:E265)</f>
        <v>33.183341881966264</v>
      </c>
      <c r="F266" s="19">
        <f t="shared" si="70"/>
        <v>0</v>
      </c>
      <c r="G266" s="19">
        <f t="shared" si="70"/>
        <v>0</v>
      </c>
      <c r="H266" s="19"/>
      <c r="I266" s="19"/>
      <c r="J266" s="19"/>
      <c r="K266" s="19"/>
      <c r="L266" s="19"/>
      <c r="M266" s="19"/>
      <c r="N266" s="19"/>
      <c r="O266" s="19">
        <f t="shared" si="70"/>
        <v>0</v>
      </c>
      <c r="P266" s="19">
        <f t="shared" si="70"/>
        <v>18.389109567673863</v>
      </c>
      <c r="Q266" s="19">
        <f t="shared" si="70"/>
        <v>0</v>
      </c>
      <c r="R266" s="19">
        <f t="shared" si="70"/>
        <v>0</v>
      </c>
      <c r="S266" s="19">
        <f t="shared" si="70"/>
        <v>51.572451449640127</v>
      </c>
      <c r="U266" s="26" t="s">
        <v>45</v>
      </c>
      <c r="V266" s="19">
        <v>0</v>
      </c>
      <c r="W266" s="19">
        <v>0</v>
      </c>
      <c r="X266" s="19">
        <f t="shared" ref="X266:AE266" si="71">SUM(X261:X265)</f>
        <v>3.4379708419489754</v>
      </c>
      <c r="Y266" s="19">
        <f t="shared" si="71"/>
        <v>0</v>
      </c>
      <c r="Z266" s="19">
        <f t="shared" si="71"/>
        <v>0</v>
      </c>
      <c r="AA266" s="19">
        <f t="shared" si="71"/>
        <v>0.70181448912784572</v>
      </c>
      <c r="AB266" s="19">
        <f t="shared" si="71"/>
        <v>21.736879715350369</v>
      </c>
      <c r="AC266" s="19">
        <f t="shared" si="71"/>
        <v>0</v>
      </c>
      <c r="AD266" s="19">
        <f t="shared" si="71"/>
        <v>0</v>
      </c>
      <c r="AE266" s="19">
        <f t="shared" si="71"/>
        <v>25.876665046427192</v>
      </c>
    </row>
    <row r="267" spans="2:32">
      <c r="B267" s="26" t="s">
        <v>46</v>
      </c>
      <c r="C267" s="19">
        <v>0</v>
      </c>
      <c r="D267" s="19">
        <v>0</v>
      </c>
      <c r="E267" s="19">
        <f>Industrie!I37</f>
        <v>0</v>
      </c>
      <c r="F267" s="19">
        <v>0</v>
      </c>
      <c r="G267" s="19">
        <v>0</v>
      </c>
      <c r="H267" s="19"/>
      <c r="I267" s="19"/>
      <c r="J267" s="19"/>
      <c r="K267" s="19"/>
      <c r="L267" s="19"/>
      <c r="M267" s="19"/>
      <c r="N267" s="19"/>
      <c r="O267" s="19">
        <v>0</v>
      </c>
      <c r="P267" s="19">
        <v>0</v>
      </c>
      <c r="Q267" s="19">
        <v>0</v>
      </c>
      <c r="R267" s="19">
        <v>0</v>
      </c>
      <c r="S267" s="19">
        <f>SUM(C267:R267)</f>
        <v>0</v>
      </c>
      <c r="U267" s="26" t="s">
        <v>46</v>
      </c>
      <c r="V267" s="19">
        <v>0</v>
      </c>
      <c r="W267" s="19">
        <v>0</v>
      </c>
      <c r="X267" s="19">
        <f>Industrie!I59</f>
        <v>0</v>
      </c>
      <c r="Y267" s="19">
        <v>0</v>
      </c>
      <c r="Z267" s="19">
        <v>0</v>
      </c>
      <c r="AA267" s="19">
        <f>Industrie!I61</f>
        <v>0</v>
      </c>
      <c r="AB267" s="19">
        <v>0</v>
      </c>
      <c r="AC267" s="19">
        <v>0</v>
      </c>
      <c r="AD267" s="19">
        <v>0</v>
      </c>
      <c r="AE267" s="19">
        <f>SUM(V267:AD267)</f>
        <v>0</v>
      </c>
    </row>
    <row r="268" spans="2:32">
      <c r="B268" s="24" t="s">
        <v>47</v>
      </c>
      <c r="C268" s="15">
        <v>0</v>
      </c>
      <c r="D268" s="15">
        <v>0</v>
      </c>
      <c r="E268" s="15">
        <f t="shared" ref="E268:S268" si="72">SUM(E266:E267)</f>
        <v>33.183341881966264</v>
      </c>
      <c r="F268" s="15">
        <f t="shared" si="72"/>
        <v>0</v>
      </c>
      <c r="G268" s="15">
        <f t="shared" si="72"/>
        <v>0</v>
      </c>
      <c r="H268" s="15"/>
      <c r="I268" s="15"/>
      <c r="J268" s="15"/>
      <c r="K268" s="15"/>
      <c r="L268" s="15"/>
      <c r="M268" s="15"/>
      <c r="N268" s="15"/>
      <c r="O268" s="15">
        <f t="shared" si="72"/>
        <v>0</v>
      </c>
      <c r="P268" s="15">
        <f t="shared" si="72"/>
        <v>18.389109567673863</v>
      </c>
      <c r="Q268" s="15">
        <f t="shared" si="72"/>
        <v>0</v>
      </c>
      <c r="R268" s="15">
        <f t="shared" si="72"/>
        <v>0</v>
      </c>
      <c r="S268" s="15">
        <f t="shared" si="72"/>
        <v>51.572451449640127</v>
      </c>
      <c r="T268" s="27">
        <f>SUM(C268:R268)</f>
        <v>51.572451449640127</v>
      </c>
      <c r="U268" s="24" t="s">
        <v>47</v>
      </c>
      <c r="V268" s="15">
        <v>0</v>
      </c>
      <c r="W268" s="15">
        <v>0</v>
      </c>
      <c r="X268" s="15">
        <f t="shared" ref="X268:AE268" si="73">SUM(X266:X267)</f>
        <v>3.4379708419489754</v>
      </c>
      <c r="Y268" s="15">
        <f t="shared" si="73"/>
        <v>0</v>
      </c>
      <c r="Z268" s="15">
        <f t="shared" si="73"/>
        <v>0</v>
      </c>
      <c r="AA268" s="15">
        <f t="shared" si="73"/>
        <v>0.70181448912784572</v>
      </c>
      <c r="AB268" s="15">
        <f t="shared" si="73"/>
        <v>21.736879715350369</v>
      </c>
      <c r="AC268" s="15">
        <f t="shared" si="73"/>
        <v>0</v>
      </c>
      <c r="AD268" s="15">
        <f t="shared" si="73"/>
        <v>0</v>
      </c>
      <c r="AE268" s="15">
        <f t="shared" si="73"/>
        <v>25.876665046427192</v>
      </c>
      <c r="AF268" s="27">
        <f>SUM(V268:AD268)</f>
        <v>25.876665046427192</v>
      </c>
    </row>
  </sheetData>
  <mergeCells count="2">
    <mergeCell ref="B2:D2"/>
    <mergeCell ref="B13:D1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2:AU63"/>
  <sheetViews>
    <sheetView topLeftCell="R19" zoomScaleNormal="100" workbookViewId="0">
      <selection activeCell="E44" sqref="E44"/>
    </sheetView>
  </sheetViews>
  <sheetFormatPr baseColWidth="10" defaultColWidth="8.88671875" defaultRowHeight="14.4"/>
  <cols>
    <col min="1" max="1" width="22.6640625" customWidth="1"/>
    <col min="2" max="12" width="10.44140625" customWidth="1"/>
    <col min="13" max="13" width="14.109375" customWidth="1"/>
    <col min="14" max="1025" width="10.44140625" customWidth="1"/>
  </cols>
  <sheetData>
    <row r="2" spans="1:47">
      <c r="A2" s="516" t="s">
        <v>55</v>
      </c>
      <c r="B2" s="516"/>
      <c r="C2" s="516"/>
      <c r="D2" s="516"/>
      <c r="E2" s="516"/>
      <c r="F2" s="516"/>
      <c r="G2" s="516"/>
      <c r="H2" s="516"/>
      <c r="I2" s="516"/>
      <c r="J2" s="516"/>
      <c r="K2" s="516"/>
      <c r="L2" s="516"/>
      <c r="M2" s="516"/>
    </row>
    <row r="4" spans="1:47">
      <c r="A4" s="30"/>
      <c r="B4" s="30">
        <v>2010</v>
      </c>
      <c r="C4" s="30">
        <v>2011</v>
      </c>
      <c r="D4" s="30">
        <v>2012</v>
      </c>
      <c r="E4" s="30">
        <v>2013</v>
      </c>
      <c r="F4" s="30">
        <v>2014</v>
      </c>
      <c r="G4" s="30">
        <v>2015</v>
      </c>
      <c r="H4" s="30">
        <v>2016</v>
      </c>
      <c r="I4" s="30">
        <v>2017</v>
      </c>
      <c r="J4" s="30">
        <v>2018</v>
      </c>
      <c r="K4" s="30">
        <v>2019</v>
      </c>
      <c r="L4" s="30">
        <v>2020</v>
      </c>
      <c r="M4" s="246" t="s">
        <v>405</v>
      </c>
      <c r="Q4" s="35"/>
    </row>
    <row r="5" spans="1:47">
      <c r="A5" s="30" t="s">
        <v>327</v>
      </c>
      <c r="B5" s="39">
        <f>GES!V10</f>
        <v>9.4774486299116187</v>
      </c>
      <c r="C5" s="39">
        <f>GES!W10</f>
        <v>9.3191837550700658</v>
      </c>
      <c r="D5" s="39">
        <f>GES!X10</f>
        <v>9.112666695113635</v>
      </c>
      <c r="E5" s="39">
        <f>GES!Y10</f>
        <v>8.8903561123349206</v>
      </c>
      <c r="F5" s="39">
        <f>GES!Z10</f>
        <v>8.7445974634715036</v>
      </c>
      <c r="G5" s="39">
        <f>GES!AA10</f>
        <v>8.9117526338226725</v>
      </c>
      <c r="H5" s="39">
        <f>GES!AB10</f>
        <v>9.2766322807060213</v>
      </c>
      <c r="I5" s="39">
        <f>GES!AC10</f>
        <v>9.0496983268450659</v>
      </c>
      <c r="J5" s="39">
        <f>GES!AD10</f>
        <v>8.9081152282066309</v>
      </c>
      <c r="K5" s="39">
        <f>GES!AE10</f>
        <v>8.9123250964093224</v>
      </c>
      <c r="L5" s="30"/>
      <c r="M5" s="304" t="s">
        <v>227</v>
      </c>
      <c r="Q5" s="35"/>
    </row>
    <row r="6" spans="1:47">
      <c r="A6" s="1" t="s">
        <v>328</v>
      </c>
      <c r="B6" s="174">
        <f>N2O!W11*298/1000</f>
        <v>0.24671590543584285</v>
      </c>
      <c r="C6" s="174">
        <f>N2O!X11*298/1000</f>
        <v>0.23557292564865973</v>
      </c>
      <c r="D6" s="174">
        <f>N2O!Y11*298/1000</f>
        <v>0.23988882418636348</v>
      </c>
      <c r="E6" s="174">
        <f>N2O!Z11*298/1000</f>
        <v>0.19845075405417739</v>
      </c>
      <c r="F6" s="174">
        <f>N2O!AA11*298/1000</f>
        <v>0.18688421866867408</v>
      </c>
      <c r="G6" s="174">
        <f>N2O!AB11*298/1000</f>
        <v>0.19637210612230468</v>
      </c>
      <c r="H6" s="174">
        <f>N2O!AC11*298/1000</f>
        <v>0.20478847557856852</v>
      </c>
      <c r="I6" s="174">
        <f>N2O!AD11*298/1000</f>
        <v>0.20672296293925438</v>
      </c>
      <c r="J6" s="174">
        <f>N2O!AE11*298/1000</f>
        <v>0.19295030024111848</v>
      </c>
      <c r="K6" s="174">
        <f>N2O!AF11*298/1000</f>
        <v>0.20266533750472568</v>
      </c>
      <c r="L6" s="30"/>
      <c r="M6" s="304" t="s">
        <v>329</v>
      </c>
      <c r="Q6" s="35"/>
    </row>
    <row r="7" spans="1:47">
      <c r="A7" s="1" t="s">
        <v>330</v>
      </c>
      <c r="B7" s="174">
        <f>'CH4'!W11*25/1000</f>
        <v>9.1448294038862787</v>
      </c>
      <c r="C7" s="174">
        <f>'CH4'!X11*25/1000</f>
        <v>9.0022418150628383</v>
      </c>
      <c r="D7" s="174">
        <f>'CH4'!Y11*25/1000</f>
        <v>8.7906507873081381</v>
      </c>
      <c r="E7" s="174">
        <f>'CH4'!Z11*25/1000</f>
        <v>8.617718030167044</v>
      </c>
      <c r="F7" s="174">
        <f>'CH4'!AA11*25/1000</f>
        <v>8.4760026212427366</v>
      </c>
      <c r="G7" s="174">
        <f>'CH4'!AB11*25/1000</f>
        <v>8.635622780511877</v>
      </c>
      <c r="H7" s="174">
        <f>'CH4'!AC11*25/1000</f>
        <v>8.9947625788274923</v>
      </c>
      <c r="I7" s="174">
        <f>'CH4'!AD11*25/1000</f>
        <v>8.7621948312249707</v>
      </c>
      <c r="J7" s="174">
        <f>'CH4'!AE11*25/1000</f>
        <v>8.6384912178568847</v>
      </c>
      <c r="K7" s="174">
        <f>'CH4'!AF11*25/1000</f>
        <v>8.632991943934071</v>
      </c>
      <c r="L7" s="30"/>
      <c r="M7" s="304" t="s">
        <v>331</v>
      </c>
      <c r="Q7" s="35"/>
    </row>
    <row r="8" spans="1:47">
      <c r="A8" s="1" t="s">
        <v>332</v>
      </c>
      <c r="B8" s="174">
        <f t="shared" ref="B8:K8" si="0">SUM(B6:B7)</f>
        <v>9.3915453093221224</v>
      </c>
      <c r="C8" s="174">
        <f t="shared" si="0"/>
        <v>9.2378147407114977</v>
      </c>
      <c r="D8" s="174">
        <f t="shared" si="0"/>
        <v>9.0305396114945022</v>
      </c>
      <c r="E8" s="174">
        <f t="shared" si="0"/>
        <v>8.8161687842212206</v>
      </c>
      <c r="F8" s="174">
        <f t="shared" si="0"/>
        <v>8.6628868399114101</v>
      </c>
      <c r="G8" s="174">
        <f t="shared" si="0"/>
        <v>8.8319948866341811</v>
      </c>
      <c r="H8" s="174">
        <f t="shared" si="0"/>
        <v>9.1995510544060615</v>
      </c>
      <c r="I8" s="174">
        <f t="shared" si="0"/>
        <v>8.9689177941642253</v>
      </c>
      <c r="J8" s="174">
        <f t="shared" si="0"/>
        <v>8.8314415180980035</v>
      </c>
      <c r="K8" s="174">
        <f t="shared" si="0"/>
        <v>8.835657281438797</v>
      </c>
      <c r="L8" s="30"/>
      <c r="M8" s="304" t="s">
        <v>333</v>
      </c>
      <c r="Q8" s="35"/>
    </row>
    <row r="9" spans="1:47">
      <c r="A9" s="1" t="s">
        <v>334</v>
      </c>
      <c r="B9" s="174">
        <f>B8+'CO2'!W11</f>
        <v>9.4739210973221226</v>
      </c>
      <c r="C9" s="174">
        <f>C8+'CO2'!X11</f>
        <v>9.3160398107114979</v>
      </c>
      <c r="D9" s="174">
        <f>D8+'CO2'!Y11</f>
        <v>9.1095628964945021</v>
      </c>
      <c r="E9" s="174">
        <f>E8+'CO2'!Z11</f>
        <v>8.8872824842212204</v>
      </c>
      <c r="F9" s="174">
        <f>F8+'CO2'!AA11</f>
        <v>8.74183755991141</v>
      </c>
      <c r="G9" s="174">
        <f>G8+'CO2'!AB11</f>
        <v>8.9092040466341818</v>
      </c>
      <c r="H9" s="174">
        <f>H8+'CO2'!AC11</f>
        <v>9.2741478744060615</v>
      </c>
      <c r="I9" s="174">
        <f>I8+'CO2'!AD11</f>
        <v>9.0469977341642256</v>
      </c>
      <c r="J9" s="174">
        <f>J8+'CO2'!AE11</f>
        <v>8.9054578180980037</v>
      </c>
      <c r="K9" s="174">
        <f>K8+'CO2'!AF11</f>
        <v>8.9096735814387973</v>
      </c>
      <c r="L9" s="30"/>
      <c r="M9" s="304"/>
      <c r="O9" s="444"/>
      <c r="Q9" s="35"/>
    </row>
    <row r="10" spans="1:47">
      <c r="A10" s="1" t="s">
        <v>335</v>
      </c>
      <c r="B10" s="30"/>
      <c r="C10" s="39"/>
      <c r="D10" s="39"/>
      <c r="E10" s="39"/>
      <c r="F10" s="39"/>
      <c r="G10" s="39"/>
      <c r="H10" s="39"/>
      <c r="I10" s="176"/>
      <c r="J10" s="176"/>
      <c r="K10" s="177"/>
      <c r="L10" s="177"/>
      <c r="M10" s="305" t="s">
        <v>61</v>
      </c>
    </row>
    <row r="11" spans="1:47">
      <c r="A11" s="1" t="s">
        <v>336</v>
      </c>
      <c r="B11" s="30"/>
      <c r="C11" s="30"/>
      <c r="D11" s="30"/>
      <c r="E11" s="39">
        <f t="shared" ref="E11:K11" si="1">E10/E5</f>
        <v>0</v>
      </c>
      <c r="F11" s="39">
        <f t="shared" si="1"/>
        <v>0</v>
      </c>
      <c r="G11" s="39">
        <f t="shared" si="1"/>
        <v>0</v>
      </c>
      <c r="H11" s="39">
        <f t="shared" si="1"/>
        <v>0</v>
      </c>
      <c r="I11" s="39">
        <f t="shared" si="1"/>
        <v>0</v>
      </c>
      <c r="J11" s="39">
        <f t="shared" si="1"/>
        <v>0</v>
      </c>
      <c r="K11" s="39">
        <f t="shared" si="1"/>
        <v>0</v>
      </c>
      <c r="L11" s="30"/>
      <c r="M11" s="304" t="s">
        <v>337</v>
      </c>
      <c r="Q11" s="35"/>
    </row>
    <row r="12" spans="1:47">
      <c r="A12" s="1" t="s">
        <v>338</v>
      </c>
      <c r="B12" s="30"/>
      <c r="C12" s="30"/>
      <c r="D12" s="30"/>
      <c r="E12" s="39"/>
      <c r="F12" s="39"/>
      <c r="G12" s="39"/>
      <c r="H12" s="39"/>
      <c r="I12" s="39"/>
      <c r="J12" s="39"/>
      <c r="K12" s="39">
        <f>'Bilan d''énergie SDES historique'!D32</f>
        <v>0.3322222222222222</v>
      </c>
      <c r="L12" s="146"/>
      <c r="M12" s="304" t="s">
        <v>430</v>
      </c>
      <c r="Q12" s="35"/>
    </row>
    <row r="13" spans="1:47">
      <c r="A13" s="1" t="s">
        <v>339</v>
      </c>
      <c r="B13" s="30"/>
      <c r="C13" s="30"/>
      <c r="D13" s="30"/>
      <c r="E13" s="39"/>
      <c r="F13" s="39"/>
      <c r="G13" s="39"/>
      <c r="H13" s="39"/>
      <c r="I13" s="39"/>
      <c r="J13" s="39"/>
      <c r="K13" s="39">
        <f>'Bilan d''énergie SDES historique'!N32</f>
        <v>0</v>
      </c>
      <c r="L13" s="146"/>
      <c r="M13" s="304" t="s">
        <v>430</v>
      </c>
      <c r="Q13" s="35"/>
    </row>
    <row r="14" spans="1:47">
      <c r="M14" s="178"/>
      <c r="N14" s="179"/>
    </row>
    <row r="15" spans="1:47">
      <c r="A15" s="516" t="s">
        <v>152</v>
      </c>
      <c r="B15" s="516"/>
      <c r="C15" s="516"/>
      <c r="D15" s="516"/>
      <c r="E15" s="516"/>
      <c r="F15" s="516"/>
      <c r="G15" s="516"/>
      <c r="H15" s="516"/>
      <c r="I15" s="516"/>
      <c r="J15" s="516"/>
      <c r="K15" s="516"/>
      <c r="L15" s="516"/>
      <c r="M15" s="516"/>
      <c r="AI15" s="516" t="s">
        <v>153</v>
      </c>
      <c r="AJ15" s="516"/>
      <c r="AK15" s="516"/>
      <c r="AL15" s="516"/>
      <c r="AM15" s="516"/>
      <c r="AN15" s="516"/>
      <c r="AO15" s="516"/>
      <c r="AP15" s="516"/>
      <c r="AQ15" s="516"/>
      <c r="AR15" s="516"/>
      <c r="AS15" s="516"/>
      <c r="AT15" s="516"/>
      <c r="AU15" s="516"/>
    </row>
    <row r="17" spans="1:47">
      <c r="A17" s="35"/>
      <c r="B17" s="551">
        <v>2019</v>
      </c>
      <c r="C17" s="551"/>
      <c r="D17" s="551"/>
      <c r="E17" s="550">
        <v>2020</v>
      </c>
      <c r="F17" s="550"/>
      <c r="G17" s="550"/>
      <c r="H17" s="550">
        <v>2025</v>
      </c>
      <c r="I17" s="550"/>
      <c r="J17" s="550"/>
      <c r="K17" s="550">
        <v>2030</v>
      </c>
      <c r="L17" s="550"/>
      <c r="M17" s="550"/>
      <c r="N17" s="550">
        <v>2035</v>
      </c>
      <c r="O17" s="550"/>
      <c r="P17" s="550"/>
      <c r="Q17" s="550">
        <v>2040</v>
      </c>
      <c r="R17" s="550"/>
      <c r="S17" s="550"/>
      <c r="T17" s="550">
        <v>2045</v>
      </c>
      <c r="U17" s="550"/>
      <c r="V17" s="550"/>
      <c r="W17" s="550">
        <v>2050</v>
      </c>
      <c r="X17" s="550"/>
      <c r="Y17" s="550"/>
      <c r="AI17" s="35"/>
      <c r="AJ17" s="551">
        <v>2015</v>
      </c>
      <c r="AK17" s="551"/>
      <c r="AL17" s="551"/>
      <c r="AM17" s="559">
        <v>2017</v>
      </c>
      <c r="AN17" s="559"/>
      <c r="AO17" s="559"/>
      <c r="AP17" s="550">
        <v>2050</v>
      </c>
      <c r="AQ17" s="550"/>
      <c r="AR17" s="550"/>
    </row>
    <row r="18" spans="1:47" ht="28.8">
      <c r="A18" s="35"/>
      <c r="B18" s="41" t="s">
        <v>340</v>
      </c>
      <c r="C18" s="41" t="s">
        <v>341</v>
      </c>
      <c r="D18" s="180" t="s">
        <v>342</v>
      </c>
      <c r="E18" s="181" t="s">
        <v>340</v>
      </c>
      <c r="F18" s="41" t="s">
        <v>341</v>
      </c>
      <c r="G18" s="180" t="s">
        <v>342</v>
      </c>
      <c r="H18" s="181" t="s">
        <v>340</v>
      </c>
      <c r="I18" s="41" t="s">
        <v>341</v>
      </c>
      <c r="J18" s="180" t="s">
        <v>342</v>
      </c>
      <c r="K18" s="181" t="s">
        <v>340</v>
      </c>
      <c r="L18" s="41" t="s">
        <v>341</v>
      </c>
      <c r="M18" s="180" t="s">
        <v>342</v>
      </c>
      <c r="N18" s="181" t="s">
        <v>340</v>
      </c>
      <c r="O18" s="41" t="s">
        <v>341</v>
      </c>
      <c r="P18" s="180" t="s">
        <v>342</v>
      </c>
      <c r="Q18" s="181" t="s">
        <v>340</v>
      </c>
      <c r="R18" s="41" t="s">
        <v>341</v>
      </c>
      <c r="S18" s="180" t="s">
        <v>342</v>
      </c>
      <c r="T18" s="181" t="s">
        <v>340</v>
      </c>
      <c r="U18" s="41" t="s">
        <v>341</v>
      </c>
      <c r="V18" s="180" t="s">
        <v>342</v>
      </c>
      <c r="W18" s="181" t="s">
        <v>340</v>
      </c>
      <c r="X18" s="41" t="s">
        <v>341</v>
      </c>
      <c r="Y18" s="180" t="s">
        <v>342</v>
      </c>
      <c r="AI18" s="35"/>
      <c r="AJ18" s="41" t="s">
        <v>340</v>
      </c>
      <c r="AK18" s="41" t="s">
        <v>341</v>
      </c>
      <c r="AL18" s="180" t="s">
        <v>342</v>
      </c>
      <c r="AM18" s="181" t="s">
        <v>340</v>
      </c>
      <c r="AN18" s="41" t="s">
        <v>341</v>
      </c>
      <c r="AO18" s="180" t="s">
        <v>342</v>
      </c>
      <c r="AP18" s="181" t="s">
        <v>340</v>
      </c>
      <c r="AQ18" s="41" t="s">
        <v>341</v>
      </c>
      <c r="AR18" s="180" t="s">
        <v>342</v>
      </c>
    </row>
    <row r="19" spans="1:47">
      <c r="A19" s="182" t="s">
        <v>328</v>
      </c>
      <c r="B19" s="41">
        <v>1</v>
      </c>
      <c r="C19" s="183">
        <v>1</v>
      </c>
      <c r="D19" s="184">
        <f>K6</f>
        <v>0.20266533750472568</v>
      </c>
      <c r="E19" s="185">
        <f>$B19+($W19-$B19)*1/31</f>
        <v>1.0048387096774194</v>
      </c>
      <c r="F19" s="186">
        <f>$C19+($X19-$C19)*1/31</f>
        <v>0.99838709677419357</v>
      </c>
      <c r="G19" s="184">
        <f>$D$19*E19*F19</f>
        <v>0.20331751498259601</v>
      </c>
      <c r="H19" s="185">
        <f>$B$19+($W$19-$B$19)*6/31</f>
        <v>1.0290322580645161</v>
      </c>
      <c r="I19" s="186">
        <f>$C$19+($X$19-$C$19)*6/31</f>
        <v>0.99032258064516132</v>
      </c>
      <c r="J19" s="184">
        <f>$D$19*H19*I19</f>
        <v>0.20653095211082517</v>
      </c>
      <c r="K19" s="185">
        <f>$B$19+($W$19-$B$19)*11/31</f>
        <v>1.0532258064516129</v>
      </c>
      <c r="L19" s="186">
        <f>$C$19+($X$19-$C$19)*11/31</f>
        <v>0.98225806451612907</v>
      </c>
      <c r="M19" s="184">
        <f>$D$19*K19*L19</f>
        <v>0.20966530547051718</v>
      </c>
      <c r="N19" s="185">
        <f>$B$19+($W$19-$B$19)*16/31</f>
        <v>1.0774193548387097</v>
      </c>
      <c r="O19" s="186">
        <f>$C$19+($X$19-$C$19)*16/31</f>
        <v>0.97419354838709671</v>
      </c>
      <c r="P19" s="184">
        <f>$D$19*N19*O19</f>
        <v>0.21272057506167188</v>
      </c>
      <c r="Q19" s="185">
        <f>$B$19+($W$19-$B$19)*21/31</f>
        <v>1.1016129032258064</v>
      </c>
      <c r="R19" s="186">
        <f>$C$19+($X$19-$C$19)*21/31</f>
        <v>0.96612903225806446</v>
      </c>
      <c r="S19" s="184">
        <f>$D$19*Q19*R19</f>
        <v>0.21569676088428941</v>
      </c>
      <c r="T19" s="185">
        <f>$B$19+($W$19-$B$19)*26/31</f>
        <v>1.1258064516129032</v>
      </c>
      <c r="U19" s="186">
        <f>$C$19+($X$19-$C$19)*26/31</f>
        <v>0.95806451612903221</v>
      </c>
      <c r="V19" s="184">
        <f>$D$19*T19*U19</f>
        <v>0.21859386293836972</v>
      </c>
      <c r="W19" s="187">
        <v>1.1499999999999999</v>
      </c>
      <c r="X19" s="188">
        <v>0.95</v>
      </c>
      <c r="Y19" s="40">
        <f>D19*X19*W19</f>
        <v>0.22141188122391275</v>
      </c>
      <c r="AI19" s="182" t="s">
        <v>352</v>
      </c>
      <c r="AJ19" s="41">
        <v>1.1499999999999999</v>
      </c>
      <c r="AK19" s="183">
        <v>0.95</v>
      </c>
      <c r="AL19" s="215">
        <v>217</v>
      </c>
      <c r="AM19" s="181">
        <v>1.1499999999999999</v>
      </c>
      <c r="AN19" s="194">
        <v>0.95</v>
      </c>
      <c r="AO19" s="215">
        <v>220</v>
      </c>
      <c r="AP19" s="187">
        <v>1.1499999999999999</v>
      </c>
      <c r="AQ19" s="188">
        <v>0.95</v>
      </c>
      <c r="AR19" s="37">
        <v>237.07249999999999</v>
      </c>
    </row>
    <row r="20" spans="1:47">
      <c r="A20" s="182" t="s">
        <v>330</v>
      </c>
      <c r="B20" s="41">
        <v>1</v>
      </c>
      <c r="C20" s="183">
        <v>1</v>
      </c>
      <c r="D20" s="184">
        <f>K7</f>
        <v>8.632991943934071</v>
      </c>
      <c r="E20" s="185">
        <f>$B20+($W20-$B20)*1/31</f>
        <v>1.0048387096774194</v>
      </c>
      <c r="F20" s="186">
        <f>$C20+($X20-$C20)*1/31</f>
        <v>1</v>
      </c>
      <c r="G20" s="184">
        <f>$D$20*E20*F20</f>
        <v>8.6747644855982688</v>
      </c>
      <c r="H20" s="185">
        <f>$B$20+($W$20-$B$20)*6/31</f>
        <v>1.0290322580645161</v>
      </c>
      <c r="I20" s="186">
        <f>$C$20+($X$20-$C$20)*6/31</f>
        <v>1</v>
      </c>
      <c r="J20" s="184">
        <f>$D$20*H20*I20</f>
        <v>8.8836271939192546</v>
      </c>
      <c r="K20" s="185">
        <f>$B$20+($W$20-$B$20)*11/31</f>
        <v>1.0532258064516129</v>
      </c>
      <c r="L20" s="186">
        <f>$C$20+($X$20-$C$20)*11/31</f>
        <v>1</v>
      </c>
      <c r="M20" s="184">
        <f>$D$20*K20*L20</f>
        <v>9.0924899022402386</v>
      </c>
      <c r="N20" s="185">
        <f>$B$20+($W$20-$B$20)*16/31</f>
        <v>1.0774193548387097</v>
      </c>
      <c r="O20" s="186">
        <f>$C$20+($X$20-$C$20)*16/31</f>
        <v>1</v>
      </c>
      <c r="P20" s="184">
        <f>$D$20*N20*O20</f>
        <v>9.3013526105612243</v>
      </c>
      <c r="Q20" s="185">
        <f>$B$20+($W$20-$B$20)*21/31</f>
        <v>1.1016129032258064</v>
      </c>
      <c r="R20" s="186">
        <f>$C$20+($X$20-$C$20)*21/31</f>
        <v>1</v>
      </c>
      <c r="S20" s="184">
        <f>$D$20*Q20*R20</f>
        <v>9.5102153188822101</v>
      </c>
      <c r="T20" s="185">
        <f>$B$20+($W$20-$B$20)*26/31</f>
        <v>1.1258064516129032</v>
      </c>
      <c r="U20" s="186">
        <f>$C$20+($X$20-$C$20)*26/31</f>
        <v>1</v>
      </c>
      <c r="V20" s="184">
        <f>$D$20*T20*U20</f>
        <v>9.7190780272031958</v>
      </c>
      <c r="W20" s="187">
        <v>1.1499999999999999</v>
      </c>
      <c r="X20" s="188">
        <v>1</v>
      </c>
      <c r="Y20" s="40">
        <f>D20*X20*W20</f>
        <v>9.9279407355241815</v>
      </c>
      <c r="AI20" s="182" t="s">
        <v>353</v>
      </c>
      <c r="AJ20" s="41">
        <v>1.1499999999999999</v>
      </c>
      <c r="AK20" s="183">
        <v>1</v>
      </c>
      <c r="AL20" s="215">
        <v>3445</v>
      </c>
      <c r="AM20" s="181">
        <v>1.1499999999999999</v>
      </c>
      <c r="AN20" s="194">
        <v>1</v>
      </c>
      <c r="AO20" s="215">
        <v>3511</v>
      </c>
      <c r="AP20" s="187">
        <v>1.1499999999999999</v>
      </c>
      <c r="AQ20" s="188">
        <v>1</v>
      </c>
      <c r="AR20" s="37">
        <v>3961.75</v>
      </c>
    </row>
    <row r="21" spans="1:47">
      <c r="A21" s="182" t="s">
        <v>332</v>
      </c>
      <c r="B21" s="41"/>
      <c r="C21" s="183"/>
      <c r="D21" s="184">
        <f>K8</f>
        <v>8.835657281438797</v>
      </c>
      <c r="E21" s="189"/>
      <c r="F21" s="190"/>
      <c r="G21" s="184">
        <f>SUM(G19:G20)</f>
        <v>8.8780820005808643</v>
      </c>
      <c r="H21" s="189"/>
      <c r="I21" s="190"/>
      <c r="J21" s="184">
        <f>SUM(J19:J20)</f>
        <v>9.0901581460300793</v>
      </c>
      <c r="K21" s="189"/>
      <c r="L21" s="190"/>
      <c r="M21" s="184">
        <f>SUM(M19:M20)</f>
        <v>9.3021552077107561</v>
      </c>
      <c r="N21" s="189"/>
      <c r="O21" s="190"/>
      <c r="P21" s="184">
        <f>SUM(P19:P20)</f>
        <v>9.5140731856228964</v>
      </c>
      <c r="Q21" s="189"/>
      <c r="R21" s="190"/>
      <c r="S21" s="184">
        <f>SUM(S19:S20)</f>
        <v>9.7259120797665002</v>
      </c>
      <c r="T21" s="191"/>
      <c r="U21" s="192"/>
      <c r="V21" s="184">
        <f>SUM(V19:V20)</f>
        <v>9.9376718901415657</v>
      </c>
      <c r="W21" s="187"/>
      <c r="X21" s="188"/>
      <c r="Y21" s="40">
        <f>SUM(Y19:Y20)</f>
        <v>10.149352616748095</v>
      </c>
      <c r="AI21" s="182" t="s">
        <v>23</v>
      </c>
      <c r="AJ21" s="41"/>
      <c r="AK21" s="183"/>
      <c r="AL21" s="215">
        <v>150.791</v>
      </c>
      <c r="AM21" s="181"/>
      <c r="AN21" s="194"/>
      <c r="AO21" s="215">
        <v>153.33500000000001</v>
      </c>
      <c r="AP21" s="187"/>
      <c r="AQ21" s="188"/>
      <c r="AR21" s="37">
        <v>169.69135499999999</v>
      </c>
    </row>
    <row r="22" spans="1:47">
      <c r="A22" s="182" t="s">
        <v>334</v>
      </c>
      <c r="B22" s="41"/>
      <c r="C22" s="183"/>
      <c r="D22" s="184">
        <f>K9</f>
        <v>8.9096735814387973</v>
      </c>
      <c r="E22" s="189"/>
      <c r="F22" s="190"/>
      <c r="G22" s="184">
        <f>G21+D22-D21</f>
        <v>8.9520983005808663</v>
      </c>
      <c r="H22" s="189"/>
      <c r="I22" s="190"/>
      <c r="J22" s="184">
        <f>J21+D22-D21</f>
        <v>9.1641744460300796</v>
      </c>
      <c r="K22" s="189"/>
      <c r="L22" s="190"/>
      <c r="M22" s="184">
        <f>M21+D22-D21</f>
        <v>9.3761715077107564</v>
      </c>
      <c r="N22" s="189"/>
      <c r="O22" s="190"/>
      <c r="P22" s="184">
        <f>P21+D22-D21</f>
        <v>9.5880894856228966</v>
      </c>
      <c r="Q22" s="189"/>
      <c r="R22" s="190"/>
      <c r="S22" s="193">
        <f>S21+D22-D21</f>
        <v>9.7999283797665004</v>
      </c>
      <c r="T22" s="191"/>
      <c r="U22" s="192"/>
      <c r="V22" s="193">
        <f>V21+D22-D21</f>
        <v>10.011688190141564</v>
      </c>
      <c r="W22" s="187"/>
      <c r="X22" s="188"/>
      <c r="Y22" s="40">
        <f>Y21+D22-D21</f>
        <v>10.223368916748095</v>
      </c>
      <c r="Z22" s="4"/>
      <c r="AI22" s="182" t="s">
        <v>354</v>
      </c>
      <c r="AJ22" s="41"/>
      <c r="AK22" s="183"/>
      <c r="AL22" s="215">
        <v>160.791</v>
      </c>
      <c r="AM22" s="181"/>
      <c r="AN22" s="194"/>
      <c r="AO22" s="215">
        <v>163.33500000000001</v>
      </c>
      <c r="AP22" s="187"/>
      <c r="AQ22" s="188"/>
      <c r="AR22" s="37">
        <v>175.69135499999999</v>
      </c>
    </row>
    <row r="23" spans="1:47" ht="57.6">
      <c r="A23" s="517" t="s">
        <v>417</v>
      </c>
      <c r="B23" s="518"/>
      <c r="C23" s="518"/>
      <c r="D23" s="518"/>
      <c r="E23" s="518"/>
      <c r="F23" s="518"/>
      <c r="G23" s="518"/>
      <c r="H23" s="518"/>
      <c r="I23" s="518"/>
      <c r="J23" s="518"/>
      <c r="K23" s="518"/>
      <c r="L23" s="518"/>
      <c r="M23" s="518"/>
      <c r="N23" s="518"/>
      <c r="O23" s="518"/>
      <c r="P23" s="518"/>
      <c r="Q23" s="518"/>
      <c r="R23" s="518"/>
      <c r="S23" s="518"/>
      <c r="T23" s="518"/>
      <c r="U23" s="518"/>
      <c r="V23" s="518"/>
      <c r="W23" s="518"/>
      <c r="X23" s="518"/>
      <c r="Y23" s="518"/>
      <c r="AI23" s="182"/>
      <c r="AJ23" s="194" t="s">
        <v>355</v>
      </c>
      <c r="AK23" s="194" t="s">
        <v>356</v>
      </c>
      <c r="AL23" s="194"/>
      <c r="AM23" s="194" t="s">
        <v>355</v>
      </c>
      <c r="AN23" s="194" t="s">
        <v>356</v>
      </c>
      <c r="AO23" s="194"/>
      <c r="AP23" s="194" t="s">
        <v>355</v>
      </c>
      <c r="AQ23" s="194" t="s">
        <v>356</v>
      </c>
      <c r="AR23" s="194"/>
      <c r="AS23" s="216"/>
      <c r="AT23" s="216"/>
      <c r="AU23" s="216"/>
    </row>
    <row r="24" spans="1:47">
      <c r="A24" s="552" t="s">
        <v>343</v>
      </c>
      <c r="B24" s="552"/>
      <c r="C24" s="552"/>
      <c r="D24" s="552"/>
      <c r="E24" s="552"/>
      <c r="F24" s="552"/>
      <c r="G24" s="552"/>
      <c r="H24" s="552"/>
      <c r="I24" s="552"/>
      <c r="J24" s="552"/>
      <c r="K24" s="552"/>
      <c r="L24" s="552"/>
      <c r="M24" s="552"/>
      <c r="N24" s="552"/>
      <c r="O24" s="552"/>
      <c r="P24" s="552"/>
      <c r="Q24" s="552"/>
      <c r="R24" s="552"/>
      <c r="S24" s="552"/>
      <c r="T24" s="552"/>
      <c r="U24" s="552"/>
      <c r="V24" s="552"/>
      <c r="W24" s="552"/>
      <c r="X24" s="552"/>
      <c r="Y24" s="552"/>
      <c r="AI24" s="560" t="s">
        <v>343</v>
      </c>
      <c r="AJ24" s="560"/>
      <c r="AK24" s="560"/>
      <c r="AL24" s="560"/>
      <c r="AM24" s="560"/>
      <c r="AN24" s="560"/>
      <c r="AO24" s="560"/>
      <c r="AP24" s="560"/>
      <c r="AQ24" s="560"/>
      <c r="AR24" s="560"/>
      <c r="AS24" s="76"/>
      <c r="AT24" s="76"/>
      <c r="AU24" s="76"/>
    </row>
    <row r="25" spans="1:47">
      <c r="A25" s="76"/>
      <c r="B25" s="551">
        <v>2019</v>
      </c>
      <c r="C25" s="551"/>
      <c r="D25" s="551"/>
      <c r="E25" s="550">
        <v>2020</v>
      </c>
      <c r="F25" s="550"/>
      <c r="G25" s="550"/>
      <c r="H25" s="550">
        <v>2025</v>
      </c>
      <c r="I25" s="550"/>
      <c r="J25" s="550"/>
      <c r="K25" s="550">
        <v>2030</v>
      </c>
      <c r="L25" s="550"/>
      <c r="M25" s="550"/>
      <c r="N25" s="550">
        <v>2035</v>
      </c>
      <c r="O25" s="550"/>
      <c r="P25" s="550"/>
      <c r="Q25" s="550">
        <v>2040</v>
      </c>
      <c r="R25" s="550"/>
      <c r="S25" s="550"/>
      <c r="T25" s="550">
        <v>2045</v>
      </c>
      <c r="U25" s="550"/>
      <c r="V25" s="550"/>
      <c r="W25" s="550">
        <v>2050</v>
      </c>
      <c r="X25" s="550"/>
      <c r="Y25" s="550"/>
      <c r="AI25" s="76"/>
      <c r="AJ25" s="551">
        <v>2015</v>
      </c>
      <c r="AK25" s="551"/>
      <c r="AL25" s="551"/>
      <c r="AM25" s="559">
        <v>2018</v>
      </c>
      <c r="AN25" s="559"/>
      <c r="AO25" s="559"/>
      <c r="AP25" s="550">
        <v>2050</v>
      </c>
      <c r="AQ25" s="550"/>
      <c r="AR25" s="550"/>
    </row>
    <row r="26" spans="1:47" ht="43.2">
      <c r="A26" s="76"/>
      <c r="B26" s="41" t="s">
        <v>340</v>
      </c>
      <c r="C26" s="41" t="s">
        <v>344</v>
      </c>
      <c r="D26" s="180" t="s">
        <v>345</v>
      </c>
      <c r="E26" s="181" t="s">
        <v>340</v>
      </c>
      <c r="F26" s="41" t="s">
        <v>344</v>
      </c>
      <c r="G26" s="180" t="s">
        <v>345</v>
      </c>
      <c r="H26" s="181" t="s">
        <v>340</v>
      </c>
      <c r="I26" s="41" t="s">
        <v>344</v>
      </c>
      <c r="J26" s="180" t="s">
        <v>345</v>
      </c>
      <c r="K26" s="181" t="s">
        <v>340</v>
      </c>
      <c r="L26" s="41" t="s">
        <v>344</v>
      </c>
      <c r="M26" s="180" t="s">
        <v>345</v>
      </c>
      <c r="N26" s="181" t="s">
        <v>340</v>
      </c>
      <c r="O26" s="41" t="s">
        <v>344</v>
      </c>
      <c r="P26" s="180" t="s">
        <v>345</v>
      </c>
      <c r="Q26" s="181" t="s">
        <v>340</v>
      </c>
      <c r="R26" s="41" t="s">
        <v>344</v>
      </c>
      <c r="S26" s="180" t="s">
        <v>345</v>
      </c>
      <c r="T26" s="181" t="s">
        <v>340</v>
      </c>
      <c r="U26" s="41" t="s">
        <v>344</v>
      </c>
      <c r="V26" s="180" t="s">
        <v>345</v>
      </c>
      <c r="W26" s="181" t="s">
        <v>340</v>
      </c>
      <c r="X26" s="41" t="s">
        <v>344</v>
      </c>
      <c r="Y26" s="180" t="s">
        <v>345</v>
      </c>
      <c r="AI26" s="76"/>
      <c r="AJ26" s="41" t="s">
        <v>340</v>
      </c>
      <c r="AK26" s="41" t="s">
        <v>344</v>
      </c>
      <c r="AL26" s="180" t="s">
        <v>345</v>
      </c>
      <c r="AM26" s="181" t="s">
        <v>340</v>
      </c>
      <c r="AN26" s="41" t="s">
        <v>344</v>
      </c>
      <c r="AO26" s="180" t="s">
        <v>345</v>
      </c>
      <c r="AP26" s="181" t="s">
        <v>340</v>
      </c>
      <c r="AQ26" s="41" t="s">
        <v>344</v>
      </c>
      <c r="AR26" s="180" t="s">
        <v>345</v>
      </c>
    </row>
    <row r="27" spans="1:47">
      <c r="A27" s="30" t="s">
        <v>346</v>
      </c>
      <c r="B27" s="36">
        <v>1</v>
      </c>
      <c r="C27" s="195">
        <v>1</v>
      </c>
      <c r="D27" s="196">
        <f>K12</f>
        <v>0.3322222222222222</v>
      </c>
      <c r="E27" s="185">
        <f>$B27+($W27-$B27)*1/31</f>
        <v>1.0048387096774194</v>
      </c>
      <c r="F27" s="186">
        <f>$C27+($X27-$C27)*1/31</f>
        <v>0.99677419354838714</v>
      </c>
      <c r="G27" s="197">
        <v>84</v>
      </c>
      <c r="H27" s="185">
        <f>$B27+($W27-$B27)*6/31</f>
        <v>1.0290322580645161</v>
      </c>
      <c r="I27" s="186">
        <f>$C27+($X27-$C27)*6/31</f>
        <v>0.98064516129032253</v>
      </c>
      <c r="J27" s="197">
        <f>$D$27*H27*I27</f>
        <v>0.33525059544456004</v>
      </c>
      <c r="K27" s="185">
        <f>$B27+($W27-$B27)*11/31</f>
        <v>1.0532258064516129</v>
      </c>
      <c r="L27" s="186">
        <f>$C27+($X27-$C27)*11/31</f>
        <v>0.96451612903225803</v>
      </c>
      <c r="M27" s="197">
        <f>$D$27*K27*L27</f>
        <v>0.3374890334142675</v>
      </c>
      <c r="N27" s="185">
        <f>$B27+($W27-$B27)*16/31</f>
        <v>1.0774193548387097</v>
      </c>
      <c r="O27" s="186">
        <f>$C27+($X27-$C27)*16/31</f>
        <v>0.94838709677419353</v>
      </c>
      <c r="P27" s="197">
        <f>$D$27*N27*O27</f>
        <v>0.33946819285466528</v>
      </c>
      <c r="Q27" s="185">
        <f>$B27+($W27-$B27)*21/31</f>
        <v>1.1016129032258064</v>
      </c>
      <c r="R27" s="186">
        <f>$C27+($X27-$C27)*21/31</f>
        <v>0.93225806451612903</v>
      </c>
      <c r="S27" s="197">
        <f>$D$27*Q27*R27</f>
        <v>0.34118807376575322</v>
      </c>
      <c r="T27" s="185">
        <f>$B27+($W27-$B27)*26/31</f>
        <v>1.1258064516129032</v>
      </c>
      <c r="U27" s="186">
        <f>$C27+($X27-$C27)*26/31</f>
        <v>0.91612903225806452</v>
      </c>
      <c r="V27" s="197">
        <f>$D$27*T27*U27</f>
        <v>0.34264867614753147</v>
      </c>
      <c r="W27" s="198">
        <v>1.1499999999999999</v>
      </c>
      <c r="X27" s="199">
        <v>0.9</v>
      </c>
      <c r="Y27" s="200">
        <f>D27*W27*X27</f>
        <v>0.34384999999999993</v>
      </c>
      <c r="AI27" s="36" t="s">
        <v>346</v>
      </c>
      <c r="AJ27" s="36">
        <v>1.1499999999999999</v>
      </c>
      <c r="AK27" s="195">
        <v>0.9</v>
      </c>
      <c r="AL27" s="217"/>
      <c r="AM27" s="198">
        <v>1.1499999999999999</v>
      </c>
      <c r="AN27" s="199">
        <v>0.9</v>
      </c>
      <c r="AO27" s="217">
        <v>8.93</v>
      </c>
      <c r="AP27" s="198">
        <v>1.1499999999999999</v>
      </c>
      <c r="AQ27" s="199">
        <v>0.9</v>
      </c>
      <c r="AR27" s="217">
        <v>9.24</v>
      </c>
    </row>
    <row r="28" spans="1:47">
      <c r="A28" s="30" t="s">
        <v>347</v>
      </c>
      <c r="B28" s="30">
        <v>1</v>
      </c>
      <c r="C28" s="30">
        <v>1</v>
      </c>
      <c r="D28" s="193">
        <f>K13</f>
        <v>0</v>
      </c>
      <c r="E28" s="185">
        <f>$B28+($W28-$B28)*1/31</f>
        <v>1.0048387096774194</v>
      </c>
      <c r="F28" s="186">
        <f>$C28+($X28-$C28)*1/31</f>
        <v>0.99677419354838714</v>
      </c>
      <c r="G28" s="197">
        <v>20</v>
      </c>
      <c r="H28" s="185">
        <f>$B28+($W28-$B28)*6/31</f>
        <v>1.0290322580645161</v>
      </c>
      <c r="I28" s="186">
        <f>$C28+($X28-$C28)*6/31</f>
        <v>0.98064516129032253</v>
      </c>
      <c r="J28" s="197">
        <f>$D$28*H28*I28</f>
        <v>0</v>
      </c>
      <c r="K28" s="185">
        <f>$B28+($W28-$B28)*11/31</f>
        <v>1.0532258064516129</v>
      </c>
      <c r="L28" s="186">
        <f>$C28+($X28-$C28)*11/31</f>
        <v>0.96451612903225803</v>
      </c>
      <c r="M28" s="197">
        <f>$D$28*K28*L28</f>
        <v>0</v>
      </c>
      <c r="N28" s="185">
        <f>$B28+($W28-$B28)*16/31</f>
        <v>1.0774193548387097</v>
      </c>
      <c r="O28" s="186">
        <f>$C28+($X28-$C28)*16/31</f>
        <v>0.94838709677419353</v>
      </c>
      <c r="P28" s="197">
        <f>$D$28*N28*O28</f>
        <v>0</v>
      </c>
      <c r="Q28" s="185">
        <f>$B28+($W28-$B28)*21/31</f>
        <v>1.1016129032258064</v>
      </c>
      <c r="R28" s="186">
        <f>$C28+($X28-$C28)*21/31</f>
        <v>0.93225806451612903</v>
      </c>
      <c r="S28" s="197">
        <f>$D$28*Q28*R28</f>
        <v>0</v>
      </c>
      <c r="T28" s="185">
        <f>$B28+($W28-$B28)*26/31</f>
        <v>1.1258064516129032</v>
      </c>
      <c r="U28" s="186">
        <f>$C28+($X28-$C28)*26/31</f>
        <v>0.91612903225806452</v>
      </c>
      <c r="V28" s="197">
        <f>$D$28*T28*U28</f>
        <v>0</v>
      </c>
      <c r="W28" s="30">
        <v>1.1499999999999999</v>
      </c>
      <c r="X28" s="30">
        <v>0.9</v>
      </c>
      <c r="Y28" s="200">
        <f>D28*W28*X28</f>
        <v>0</v>
      </c>
      <c r="AI28" s="30" t="s">
        <v>347</v>
      </c>
      <c r="AJ28" s="30">
        <v>1.1499999999999999</v>
      </c>
      <c r="AK28" s="30">
        <v>0.9</v>
      </c>
      <c r="AL28" s="37"/>
      <c r="AM28" s="33">
        <v>1.1499999999999999</v>
      </c>
      <c r="AN28" s="30">
        <v>0.9</v>
      </c>
      <c r="AO28" s="37">
        <v>2.13</v>
      </c>
      <c r="AP28" s="30">
        <v>1.1499999999999999</v>
      </c>
      <c r="AQ28" s="30">
        <v>0.9</v>
      </c>
      <c r="AR28" s="37">
        <v>2.2000000000000002</v>
      </c>
    </row>
    <row r="29" spans="1:47">
      <c r="A29" s="30" t="s">
        <v>23</v>
      </c>
      <c r="B29" s="30"/>
      <c r="C29" s="30"/>
      <c r="D29" s="193">
        <f>SUM(D27:D28)</f>
        <v>0.3322222222222222</v>
      </c>
      <c r="E29" s="201"/>
      <c r="F29" s="1"/>
      <c r="G29" s="193">
        <f>SUM(G27:G28)</f>
        <v>104</v>
      </c>
      <c r="H29" s="1"/>
      <c r="I29" s="1"/>
      <c r="J29" s="193">
        <f>SUM(J27:J28)</f>
        <v>0.33525059544456004</v>
      </c>
      <c r="K29" s="1"/>
      <c r="L29" s="1"/>
      <c r="M29" s="193">
        <f>SUM(M27:M28)</f>
        <v>0.3374890334142675</v>
      </c>
      <c r="N29" s="1"/>
      <c r="O29" s="1"/>
      <c r="P29" s="193">
        <f>SUM(P27:P28)</f>
        <v>0.33946819285466528</v>
      </c>
      <c r="Q29" s="1"/>
      <c r="R29" s="1"/>
      <c r="S29" s="193">
        <f>SUM(S27:S28)</f>
        <v>0.34118807376575322</v>
      </c>
      <c r="T29" s="1"/>
      <c r="U29" s="1"/>
      <c r="V29" s="193">
        <f>SUM(V27:V28)</f>
        <v>0.34264867614753147</v>
      </c>
      <c r="W29" s="30"/>
      <c r="X29" s="30"/>
      <c r="Y29" s="40">
        <f>SUM(Y27:Y28)</f>
        <v>0.34384999999999993</v>
      </c>
      <c r="AI29" s="35" t="s">
        <v>23</v>
      </c>
      <c r="AJ29" s="30"/>
      <c r="AK29" s="30"/>
      <c r="AL29" s="37"/>
      <c r="AM29" s="33"/>
      <c r="AN29" s="30"/>
      <c r="AO29" s="37">
        <f>SUM(AO27:AO28)</f>
        <v>11.059999999999999</v>
      </c>
      <c r="AP29" s="30"/>
      <c r="AQ29" s="30"/>
      <c r="AR29" s="37">
        <f>SUM(AR27:AR28)</f>
        <v>11.440000000000001</v>
      </c>
    </row>
    <row r="30" spans="1:47">
      <c r="A30" s="530" t="s">
        <v>418</v>
      </c>
      <c r="B30" s="530"/>
      <c r="C30" s="530"/>
      <c r="D30" s="530"/>
      <c r="E30" s="530"/>
      <c r="F30" s="530"/>
      <c r="G30" s="530"/>
      <c r="H30" s="530"/>
      <c r="I30" s="530"/>
      <c r="J30" s="530"/>
      <c r="K30" s="530"/>
      <c r="L30" s="530"/>
      <c r="M30" s="530"/>
      <c r="N30" s="530"/>
      <c r="O30" s="530"/>
      <c r="P30" s="530"/>
      <c r="Q30" s="530"/>
      <c r="R30" s="530"/>
      <c r="S30" s="530"/>
      <c r="T30" s="530"/>
      <c r="U30" s="530"/>
      <c r="V30" s="530"/>
      <c r="W30" s="530"/>
      <c r="X30" s="530"/>
      <c r="Y30" s="530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</row>
    <row r="31" spans="1:47">
      <c r="A31" s="516" t="s">
        <v>158</v>
      </c>
      <c r="B31" s="516"/>
      <c r="C31" s="516"/>
      <c r="D31" s="516"/>
      <c r="E31" s="516"/>
      <c r="F31" s="516"/>
      <c r="G31" s="516"/>
      <c r="H31" s="516"/>
      <c r="I31" s="516"/>
      <c r="J31" s="516"/>
      <c r="K31" s="516"/>
      <c r="L31" s="516"/>
      <c r="M31" s="516"/>
    </row>
    <row r="32" spans="1:47">
      <c r="AI32" s="516" t="s">
        <v>159</v>
      </c>
      <c r="AJ32" s="516"/>
      <c r="AK32" s="516"/>
      <c r="AL32" s="516"/>
      <c r="AM32" s="516"/>
      <c r="AN32" s="516"/>
      <c r="AO32" s="516"/>
      <c r="AP32" s="516"/>
      <c r="AQ32" s="516"/>
      <c r="AR32" s="516"/>
      <c r="AS32" s="516"/>
      <c r="AT32" s="516"/>
      <c r="AU32" s="516"/>
    </row>
    <row r="33" spans="1:41">
      <c r="A33" s="35"/>
      <c r="B33" s="551">
        <v>2019</v>
      </c>
      <c r="C33" s="551"/>
      <c r="D33" s="551"/>
      <c r="E33" s="550">
        <v>2020</v>
      </c>
      <c r="F33" s="550"/>
      <c r="G33" s="550"/>
      <c r="H33" s="550">
        <v>2025</v>
      </c>
      <c r="I33" s="550"/>
      <c r="J33" s="550"/>
      <c r="K33" s="550">
        <v>2030</v>
      </c>
      <c r="L33" s="550"/>
      <c r="M33" s="550"/>
      <c r="N33" s="550">
        <v>2035</v>
      </c>
      <c r="O33" s="550"/>
      <c r="P33" s="550"/>
      <c r="Q33" s="550">
        <v>2040</v>
      </c>
      <c r="R33" s="550"/>
      <c r="S33" s="550"/>
      <c r="T33" s="550">
        <v>2045</v>
      </c>
      <c r="U33" s="550"/>
      <c r="V33" s="550"/>
      <c r="W33" s="550">
        <v>2050</v>
      </c>
      <c r="X33" s="550"/>
      <c r="Y33" s="550"/>
    </row>
    <row r="34" spans="1:41" ht="28.8">
      <c r="A34" s="35"/>
      <c r="B34" s="41" t="s">
        <v>340</v>
      </c>
      <c r="C34" s="41" t="s">
        <v>341</v>
      </c>
      <c r="D34" s="180" t="s">
        <v>342</v>
      </c>
      <c r="E34" s="181" t="s">
        <v>340</v>
      </c>
      <c r="F34" s="41" t="s">
        <v>341</v>
      </c>
      <c r="G34" s="180" t="s">
        <v>342</v>
      </c>
      <c r="H34" s="181" t="s">
        <v>340</v>
      </c>
      <c r="I34" s="41" t="s">
        <v>341</v>
      </c>
      <c r="J34" s="180" t="s">
        <v>342</v>
      </c>
      <c r="K34" s="181" t="s">
        <v>340</v>
      </c>
      <c r="L34" s="41" t="s">
        <v>341</v>
      </c>
      <c r="M34" s="180" t="s">
        <v>342</v>
      </c>
      <c r="N34" s="181" t="s">
        <v>340</v>
      </c>
      <c r="O34" s="41" t="s">
        <v>341</v>
      </c>
      <c r="P34" s="180" t="s">
        <v>342</v>
      </c>
      <c r="Q34" s="181" t="s">
        <v>340</v>
      </c>
      <c r="R34" s="41" t="s">
        <v>341</v>
      </c>
      <c r="S34" s="180" t="s">
        <v>342</v>
      </c>
      <c r="T34" s="181" t="s">
        <v>340</v>
      </c>
      <c r="U34" s="41" t="s">
        <v>341</v>
      </c>
      <c r="V34" s="180" t="s">
        <v>342</v>
      </c>
      <c r="W34" s="181" t="s">
        <v>340</v>
      </c>
      <c r="X34" s="41" t="s">
        <v>341</v>
      </c>
      <c r="Y34" s="180" t="s">
        <v>342</v>
      </c>
      <c r="AI34" s="35"/>
      <c r="AJ34" s="551">
        <v>2015</v>
      </c>
      <c r="AK34" s="551"/>
      <c r="AL34" s="551"/>
      <c r="AM34" s="550">
        <v>2050</v>
      </c>
      <c r="AN34" s="550"/>
      <c r="AO34" s="550"/>
    </row>
    <row r="35" spans="1:41" ht="28.8">
      <c r="A35" s="182" t="s">
        <v>328</v>
      </c>
      <c r="B35" s="41">
        <v>1</v>
      </c>
      <c r="C35" s="183">
        <v>1</v>
      </c>
      <c r="D35" s="174">
        <f>D19</f>
        <v>0.20266533750472568</v>
      </c>
      <c r="E35" s="185">
        <f>$B35+($W35-$B35)*1/31</f>
        <v>1.0048387096774194</v>
      </c>
      <c r="F35" s="186">
        <f>$C35+($X35-$C35)*1/31</f>
        <v>0.98774193548387101</v>
      </c>
      <c r="G35" s="184">
        <f>D35*E35*F35</f>
        <v>0.20114967071945364</v>
      </c>
      <c r="H35" s="185">
        <f>$B35+($W35-$B35)*6/31</f>
        <v>1.0290322580645161</v>
      </c>
      <c r="I35" s="186">
        <f>$C35+($X35-$C35)*6/31</f>
        <v>0.92645161290322575</v>
      </c>
      <c r="J35" s="184">
        <f>$D$35*H35*I35</f>
        <v>0.19321071480856347</v>
      </c>
      <c r="K35" s="185">
        <f>$B35+($W35-$B35)*11/31</f>
        <v>1.0532258064516129</v>
      </c>
      <c r="L35" s="186">
        <f>$C35+($X35-$C35)*11/31</f>
        <v>0.86516129032258071</v>
      </c>
      <c r="M35" s="184">
        <f>$D$35*K35*L35</f>
        <v>0.18467072225679049</v>
      </c>
      <c r="N35" s="185">
        <f>$B35+($W35-$B35)*16/31</f>
        <v>1.0774193548387097</v>
      </c>
      <c r="O35" s="186">
        <f>$C35+($X35-$C35)*16/31</f>
        <v>0.80387096774193545</v>
      </c>
      <c r="P35" s="184">
        <f>$D$35*N35*O35</f>
        <v>0.17552969306413457</v>
      </c>
      <c r="Q35" s="185">
        <f>$B35+($W35-$B35)*21/31</f>
        <v>1.1016129032258064</v>
      </c>
      <c r="R35" s="186">
        <f>$C35+($X35-$C35)*21/31</f>
        <v>0.7425806451612903</v>
      </c>
      <c r="S35" s="184">
        <f>$D$35*Q35*R35</f>
        <v>0.16578762723059573</v>
      </c>
      <c r="T35" s="185">
        <f>$B35+($W35-$B35)*26/31</f>
        <v>1.1258064516129032</v>
      </c>
      <c r="U35" s="186">
        <f>$C35+($X35-$C35)*26/31</f>
        <v>0.68129032258064515</v>
      </c>
      <c r="V35" s="184">
        <f>$D$35*T35*U35</f>
        <v>0.15544452475617401</v>
      </c>
      <c r="W35" s="187">
        <v>1.1499999999999999</v>
      </c>
      <c r="X35" s="188">
        <v>0.62</v>
      </c>
      <c r="Y35" s="40">
        <f>D35*W35*X35</f>
        <v>0.14450038564086939</v>
      </c>
      <c r="AI35" s="35"/>
      <c r="AJ35" s="41" t="s">
        <v>340</v>
      </c>
      <c r="AK35" s="41" t="s">
        <v>341</v>
      </c>
      <c r="AL35" s="180" t="s">
        <v>342</v>
      </c>
      <c r="AM35" s="181" t="s">
        <v>340</v>
      </c>
      <c r="AN35" s="41" t="s">
        <v>341</v>
      </c>
      <c r="AO35" s="180" t="s">
        <v>342</v>
      </c>
    </row>
    <row r="36" spans="1:41">
      <c r="A36" s="182" t="s">
        <v>330</v>
      </c>
      <c r="B36" s="41">
        <v>1</v>
      </c>
      <c r="C36" s="183">
        <v>1</v>
      </c>
      <c r="D36" s="174">
        <f>D20</f>
        <v>8.632991943934071</v>
      </c>
      <c r="E36" s="185">
        <f>$B36+($W36-$B36)*1/31</f>
        <v>1.0048387096774194</v>
      </c>
      <c r="F36" s="186">
        <f>$C36+($X36-$C36)*1/31</f>
        <v>0.99838709677419357</v>
      </c>
      <c r="G36" s="184">
        <f>$D$36*E36*F36</f>
        <v>8.6607729299763356</v>
      </c>
      <c r="H36" s="185">
        <f>$B36+($W36-$B36)*6/31</f>
        <v>1.0290322580645161</v>
      </c>
      <c r="I36" s="186">
        <f>$C36+($X36-$C36)*6/31</f>
        <v>0.99032258064516132</v>
      </c>
      <c r="J36" s="184">
        <f>$D$36*H36*I36</f>
        <v>8.7976566081716499</v>
      </c>
      <c r="K36" s="185">
        <f>$B36+($W36-$B36)*11/31</f>
        <v>1.0532258064516129</v>
      </c>
      <c r="L36" s="186">
        <f>$C36+($X36-$C36)*11/31</f>
        <v>0.98225806451612907</v>
      </c>
      <c r="M36" s="184">
        <f>$D$36*K36*L36</f>
        <v>8.9311715330069443</v>
      </c>
      <c r="N36" s="185">
        <f>$B36+($W36-$B36)*16/31</f>
        <v>1.0774193548387097</v>
      </c>
      <c r="O36" s="186">
        <f>$C36+($X36-$C36)*16/31</f>
        <v>0.97419354838709671</v>
      </c>
      <c r="P36" s="184">
        <f>$D$36*N36*O36</f>
        <v>9.0613177044822244</v>
      </c>
      <c r="Q36" s="185">
        <f>$B36+($W36-$B36)*21/31</f>
        <v>1.1016129032258064</v>
      </c>
      <c r="R36" s="186">
        <f>$C36+($X36-$C36)*21/31</f>
        <v>0.96612903225806446</v>
      </c>
      <c r="S36" s="184">
        <f>$D$36*Q36*R36</f>
        <v>9.1880951225974901</v>
      </c>
      <c r="T36" s="185">
        <f>$B36+($W36-$B36)*26/31</f>
        <v>1.1258064516129032</v>
      </c>
      <c r="U36" s="186">
        <f>$C36+($X36-$C36)*26/31</f>
        <v>0.95806451612903221</v>
      </c>
      <c r="V36" s="184">
        <f>$D$36*T36*U36</f>
        <v>9.3115037873527395</v>
      </c>
      <c r="W36" s="187">
        <v>1.1499999999999999</v>
      </c>
      <c r="X36" s="188">
        <v>0.95</v>
      </c>
      <c r="Y36" s="40">
        <f>D36*W36*X36</f>
        <v>9.4315436987479728</v>
      </c>
      <c r="AI36" s="182" t="s">
        <v>352</v>
      </c>
      <c r="AJ36" s="41">
        <v>1.1499999999999999</v>
      </c>
      <c r="AK36" s="183">
        <v>0.62</v>
      </c>
      <c r="AL36" s="215">
        <v>250</v>
      </c>
      <c r="AM36" s="187">
        <v>1.1499999999999999</v>
      </c>
      <c r="AN36" s="188">
        <v>0.62</v>
      </c>
      <c r="AO36" s="37">
        <v>178.25</v>
      </c>
    </row>
    <row r="37" spans="1:41">
      <c r="A37" s="182" t="s">
        <v>332</v>
      </c>
      <c r="B37" s="41"/>
      <c r="C37" s="183"/>
      <c r="D37" s="174">
        <f>D21</f>
        <v>8.835657281438797</v>
      </c>
      <c r="E37" s="189"/>
      <c r="F37" s="190"/>
      <c r="G37" s="184">
        <f>SUM(G35:G36)</f>
        <v>8.8619226006957899</v>
      </c>
      <c r="H37" s="189"/>
      <c r="I37" s="190"/>
      <c r="J37" s="184">
        <f>SUM(J35:J36)</f>
        <v>8.990867322980213</v>
      </c>
      <c r="K37" s="189"/>
      <c r="L37" s="190"/>
      <c r="M37" s="184">
        <f>SUM(M35:M36)</f>
        <v>9.1158422552637344</v>
      </c>
      <c r="N37" s="189"/>
      <c r="O37" s="190"/>
      <c r="P37" s="184">
        <f>SUM(P35:P36)</f>
        <v>9.2368473975463594</v>
      </c>
      <c r="Q37" s="189"/>
      <c r="R37" s="190"/>
      <c r="S37" s="184">
        <f>SUM(S35:S36)</f>
        <v>9.3538827498280863</v>
      </c>
      <c r="T37" s="191"/>
      <c r="U37" s="192"/>
      <c r="V37" s="184">
        <f>SUM(V35:V36)</f>
        <v>9.4669483121089133</v>
      </c>
      <c r="W37" s="187"/>
      <c r="X37" s="188"/>
      <c r="Y37" s="40">
        <f>SUM(Y35:Y36)</f>
        <v>9.5760440843888421</v>
      </c>
      <c r="AI37" s="182" t="s">
        <v>353</v>
      </c>
      <c r="AJ37" s="41">
        <v>1.1499999999999999</v>
      </c>
      <c r="AK37" s="183">
        <v>0.95</v>
      </c>
      <c r="AL37" s="215">
        <v>4500</v>
      </c>
      <c r="AM37" s="187">
        <v>1.1499999999999999</v>
      </c>
      <c r="AN37" s="188">
        <v>0.95</v>
      </c>
      <c r="AO37" s="37">
        <v>4916.25</v>
      </c>
    </row>
    <row r="38" spans="1:41">
      <c r="A38" s="182" t="s">
        <v>334</v>
      </c>
      <c r="B38" s="41"/>
      <c r="C38" s="183"/>
      <c r="D38" s="174">
        <f>D22</f>
        <v>8.9096735814387973</v>
      </c>
      <c r="E38" s="189"/>
      <c r="F38" s="190"/>
      <c r="G38" s="184">
        <f>G37+$K$9-$K$8</f>
        <v>8.9359389006957901</v>
      </c>
      <c r="H38" s="189"/>
      <c r="I38" s="190"/>
      <c r="J38" s="184">
        <f>J37+$K$9-$K$8</f>
        <v>9.0648836229802132</v>
      </c>
      <c r="K38" s="189"/>
      <c r="L38" s="190"/>
      <c r="M38" s="184">
        <f>M37+$K$9-$K$8</f>
        <v>9.1898585552637346</v>
      </c>
      <c r="N38" s="189"/>
      <c r="O38" s="190"/>
      <c r="P38" s="184">
        <f>P37+$K$9-$K$8</f>
        <v>9.3108636975463615</v>
      </c>
      <c r="Q38" s="189"/>
      <c r="R38" s="190"/>
      <c r="S38" s="193">
        <f>S37+$K$9-$K$8</f>
        <v>9.4278990498280866</v>
      </c>
      <c r="T38" s="191"/>
      <c r="U38" s="192"/>
      <c r="V38" s="193">
        <f>V37+$K$9-$K$8</f>
        <v>9.5409646121089136</v>
      </c>
      <c r="W38" s="187"/>
      <c r="X38" s="188"/>
      <c r="Y38" s="40">
        <f>Y37+$K$9-$K$8</f>
        <v>9.6500603843888424</v>
      </c>
      <c r="Z38" s="4"/>
      <c r="AI38" s="182" t="s">
        <v>23</v>
      </c>
      <c r="AJ38" s="41"/>
      <c r="AK38" s="183"/>
      <c r="AL38" s="215">
        <v>187</v>
      </c>
      <c r="AM38" s="187"/>
      <c r="AN38" s="188"/>
      <c r="AO38" s="37">
        <v>176.02475000000001</v>
      </c>
    </row>
    <row r="39" spans="1:41">
      <c r="A39" s="517" t="s">
        <v>419</v>
      </c>
      <c r="B39" s="518"/>
      <c r="C39" s="518"/>
      <c r="D39" s="518"/>
      <c r="E39" s="518"/>
      <c r="F39" s="518"/>
      <c r="G39" s="518"/>
      <c r="H39" s="518"/>
      <c r="I39" s="518"/>
      <c r="J39" s="518"/>
      <c r="K39" s="518"/>
      <c r="L39" s="518"/>
      <c r="M39" s="518"/>
      <c r="N39" s="518"/>
      <c r="O39" s="518"/>
      <c r="P39" s="518"/>
      <c r="Q39" s="518"/>
      <c r="R39" s="518"/>
      <c r="S39" s="518"/>
      <c r="T39" s="518"/>
      <c r="U39" s="518"/>
      <c r="V39" s="518"/>
      <c r="W39" s="518"/>
      <c r="X39" s="518"/>
      <c r="Y39" s="518"/>
      <c r="AI39" s="182" t="s">
        <v>354</v>
      </c>
      <c r="AJ39" s="41"/>
      <c r="AK39" s="183"/>
      <c r="AL39" s="215">
        <v>197</v>
      </c>
      <c r="AM39" s="187"/>
      <c r="AN39" s="188"/>
      <c r="AO39" s="37">
        <v>182.02475000000001</v>
      </c>
    </row>
    <row r="40" spans="1:41">
      <c r="A40" s="552" t="s">
        <v>343</v>
      </c>
      <c r="B40" s="552"/>
      <c r="C40" s="552"/>
      <c r="D40" s="552"/>
      <c r="E40" s="552"/>
      <c r="F40" s="552"/>
      <c r="G40" s="552"/>
      <c r="H40" s="552"/>
      <c r="I40" s="552"/>
      <c r="J40" s="552"/>
      <c r="K40" s="552"/>
      <c r="L40" s="552"/>
      <c r="M40" s="552"/>
      <c r="N40" s="552"/>
      <c r="O40" s="552"/>
      <c r="P40" s="552"/>
      <c r="Q40" s="552"/>
      <c r="R40" s="552"/>
      <c r="S40" s="552"/>
      <c r="T40" s="552"/>
      <c r="U40" s="552"/>
      <c r="V40" s="552"/>
      <c r="W40" s="552"/>
      <c r="X40" s="552"/>
      <c r="Y40" s="552"/>
    </row>
    <row r="41" spans="1:41">
      <c r="A41" s="202"/>
      <c r="B41" s="553">
        <v>2019</v>
      </c>
      <c r="C41" s="553"/>
      <c r="D41" s="553"/>
      <c r="E41" s="553"/>
      <c r="F41" s="554">
        <v>2020</v>
      </c>
      <c r="G41" s="554"/>
      <c r="H41" s="554"/>
      <c r="I41" s="554"/>
      <c r="J41" s="554">
        <v>2025</v>
      </c>
      <c r="K41" s="554"/>
      <c r="L41" s="554"/>
      <c r="M41" s="554"/>
      <c r="N41" s="554">
        <v>2030</v>
      </c>
      <c r="O41" s="554"/>
      <c r="P41" s="554"/>
      <c r="Q41" s="554"/>
      <c r="R41" s="555">
        <v>2035</v>
      </c>
      <c r="S41" s="555"/>
      <c r="T41" s="555"/>
      <c r="U41" s="555"/>
      <c r="V41" s="556">
        <v>2040</v>
      </c>
      <c r="W41" s="556"/>
      <c r="X41" s="556"/>
      <c r="Y41" s="556"/>
      <c r="Z41" s="557">
        <v>2045</v>
      </c>
      <c r="AA41" s="557"/>
      <c r="AB41" s="557"/>
      <c r="AC41" s="557"/>
      <c r="AD41" s="558">
        <v>2050</v>
      </c>
      <c r="AE41" s="558"/>
      <c r="AF41" s="558"/>
      <c r="AG41" s="558"/>
      <c r="AH41" s="203"/>
    </row>
    <row r="42" spans="1:41" ht="43.2">
      <c r="A42" s="202"/>
      <c r="B42" s="122" t="s">
        <v>340</v>
      </c>
      <c r="C42" s="204" t="s">
        <v>348</v>
      </c>
      <c r="D42" s="122" t="s">
        <v>344</v>
      </c>
      <c r="E42" s="205" t="s">
        <v>349</v>
      </c>
      <c r="F42" s="189" t="s">
        <v>340</v>
      </c>
      <c r="G42" s="204" t="s">
        <v>348</v>
      </c>
      <c r="H42" s="122" t="s">
        <v>344</v>
      </c>
      <c r="I42" s="205" t="s">
        <v>345</v>
      </c>
      <c r="J42" s="189" t="s">
        <v>340</v>
      </c>
      <c r="K42" s="204" t="s">
        <v>348</v>
      </c>
      <c r="L42" s="122" t="s">
        <v>344</v>
      </c>
      <c r="M42" s="205" t="s">
        <v>345</v>
      </c>
      <c r="N42" s="189" t="s">
        <v>340</v>
      </c>
      <c r="O42" s="204" t="s">
        <v>348</v>
      </c>
      <c r="P42" s="122" t="s">
        <v>344</v>
      </c>
      <c r="Q42" s="205" t="s">
        <v>345</v>
      </c>
      <c r="R42" s="189" t="s">
        <v>340</v>
      </c>
      <c r="S42" s="204" t="s">
        <v>348</v>
      </c>
      <c r="T42" s="122" t="s">
        <v>344</v>
      </c>
      <c r="U42" s="205" t="s">
        <v>345</v>
      </c>
      <c r="V42" s="189" t="s">
        <v>340</v>
      </c>
      <c r="W42" s="204" t="s">
        <v>348</v>
      </c>
      <c r="X42" s="122" t="s">
        <v>344</v>
      </c>
      <c r="Y42" s="205" t="s">
        <v>345</v>
      </c>
      <c r="Z42" s="189" t="s">
        <v>340</v>
      </c>
      <c r="AA42" s="204" t="s">
        <v>348</v>
      </c>
      <c r="AB42" s="122" t="s">
        <v>344</v>
      </c>
      <c r="AC42" s="205" t="s">
        <v>345</v>
      </c>
      <c r="AD42" s="189" t="s">
        <v>340</v>
      </c>
      <c r="AE42" s="206" t="s">
        <v>348</v>
      </c>
      <c r="AF42" s="122" t="s">
        <v>344</v>
      </c>
      <c r="AG42" s="205" t="s">
        <v>345</v>
      </c>
      <c r="AH42" s="4"/>
    </row>
    <row r="43" spans="1:41">
      <c r="A43" s="207" t="s">
        <v>350</v>
      </c>
      <c r="B43" s="207">
        <v>1</v>
      </c>
      <c r="C43" s="207">
        <v>0.98</v>
      </c>
      <c r="D43" s="207">
        <v>1</v>
      </c>
      <c r="E43" s="197">
        <f>K12</f>
        <v>0.3322222222222222</v>
      </c>
      <c r="F43" s="208">
        <f>$B43+($AD43-$B43)*1/31</f>
        <v>1.0048387096774194</v>
      </c>
      <c r="G43" s="209">
        <f>$C43+($AE43-$C43)*1/31</f>
        <v>0.94838709677419353</v>
      </c>
      <c r="H43" s="164">
        <f>$D43+($AF43-$D43)*1/31</f>
        <v>0.99677419354838714</v>
      </c>
      <c r="I43" s="210">
        <f>$E43+($AG43-$E43)*1/31</f>
        <v>0.32150537634408599</v>
      </c>
      <c r="J43" s="208">
        <f>$B43+($AD43-$B43)*6/31</f>
        <v>1.0290322580645161</v>
      </c>
      <c r="K43" s="209">
        <f>$C43+($AE43-$C43)*6/31</f>
        <v>0.79032258064516125</v>
      </c>
      <c r="L43" s="164">
        <f>$D43+($AF43-$D43)*6/31</f>
        <v>0.98064516129032253</v>
      </c>
      <c r="M43" s="210">
        <f>$E43+($AG43-$E43)*6/31</f>
        <v>0.26792114695340496</v>
      </c>
      <c r="N43" s="208">
        <f>$B43+($AD43-$B43)*11/31</f>
        <v>1.0532258064516129</v>
      </c>
      <c r="O43" s="209">
        <f>$C43+($AE43-$C43)*11/31</f>
        <v>0.63225806451612909</v>
      </c>
      <c r="P43" s="164">
        <f>$D43+($AF43-$D43)*11/31</f>
        <v>0.96451612903225803</v>
      </c>
      <c r="Q43" s="210">
        <f>$E43+($AG43-$E43)*11/31</f>
        <v>0.21433691756272399</v>
      </c>
      <c r="R43" s="208">
        <f>$B43+($AD43-$B43)*16/31</f>
        <v>1.0774193548387097</v>
      </c>
      <c r="S43" s="209">
        <f>$C43+($AE43-$C43)*16/31</f>
        <v>0.47419354838709682</v>
      </c>
      <c r="T43" s="164">
        <f>$D43+($AF43-$D43)*16/31</f>
        <v>0.94838709677419353</v>
      </c>
      <c r="U43" s="210">
        <f>$E43+($AG43-$E43)*16/31</f>
        <v>0.160752688172043</v>
      </c>
      <c r="V43" s="208">
        <f>$B43+($AD43-$B43)*21/31</f>
        <v>1.1016129032258064</v>
      </c>
      <c r="W43" s="209">
        <f>$C43+($AE43-$C43)*21/31</f>
        <v>0.31612903225806455</v>
      </c>
      <c r="X43" s="164">
        <f>$D43+($AF43-$D43)*21/31</f>
        <v>0.93225806451612903</v>
      </c>
      <c r="Y43" s="210">
        <f>$E43+($AG43-$E43)*21/31</f>
        <v>0.107168458781362</v>
      </c>
      <c r="Z43" s="208">
        <f>$B43+($AD43-$B43)*26/31</f>
        <v>1.1258064516129032</v>
      </c>
      <c r="AA43" s="209">
        <f>$C43+($AE43-$C43)*26/31</f>
        <v>0.15806451612903227</v>
      </c>
      <c r="AB43" s="164">
        <f>$D43+($AF43-$D43)*26/31</f>
        <v>0.91612903225806452</v>
      </c>
      <c r="AC43" s="210">
        <f>$E43+($AG43-$E43)*26/31</f>
        <v>5.3584229390680971E-2</v>
      </c>
      <c r="AD43" s="191">
        <v>1.1499999999999999</v>
      </c>
      <c r="AE43" s="211">
        <v>0</v>
      </c>
      <c r="AF43" s="212">
        <v>0.9</v>
      </c>
      <c r="AG43" s="213">
        <f>E43*AD43*AE43*AF43</f>
        <v>0</v>
      </c>
      <c r="AH43" s="4"/>
    </row>
    <row r="44" spans="1:41">
      <c r="A44" s="1" t="s">
        <v>347</v>
      </c>
      <c r="B44" s="207">
        <v>1</v>
      </c>
      <c r="C44" s="207">
        <v>0.02</v>
      </c>
      <c r="D44" s="207">
        <v>1</v>
      </c>
      <c r="E44" s="193">
        <f>K13</f>
        <v>0</v>
      </c>
      <c r="F44" s="208">
        <f>$B44+($AD44-$B44)*1/31</f>
        <v>1.0048387096774194</v>
      </c>
      <c r="G44" s="209">
        <f>$C44+($AE44-$C44)*1/31</f>
        <v>2.2580645161290325E-2</v>
      </c>
      <c r="H44" s="164">
        <f>$D44+($AF44-$D44)*1/31</f>
        <v>0.99677419354838714</v>
      </c>
      <c r="I44" s="210">
        <f>$E44+($AG44-$E44)*1/31</f>
        <v>0</v>
      </c>
      <c r="J44" s="208">
        <f>$B44+($AD44-$B44)*6/31</f>
        <v>1.0290322580645161</v>
      </c>
      <c r="K44" s="209">
        <f>$C44+($AE44-$C44)*6/31</f>
        <v>3.5483870967741936E-2</v>
      </c>
      <c r="L44" s="164">
        <f>$D44+($AF44-$D44)*6/31</f>
        <v>0.98064516129032253</v>
      </c>
      <c r="M44" s="210">
        <f>$E44+($AG44-$E44)*6/31</f>
        <v>0</v>
      </c>
      <c r="N44" s="208">
        <f>$B44+($AD44-$B44)*11/31</f>
        <v>1.0532258064516129</v>
      </c>
      <c r="O44" s="209">
        <f>$C44+($AE44-$C44)*11/31</f>
        <v>4.8387096774193547E-2</v>
      </c>
      <c r="P44" s="164">
        <f>$D44+($AF44-$D44)*11/31</f>
        <v>0.96451612903225803</v>
      </c>
      <c r="Q44" s="210">
        <f>$E44+($AG44-$E44)*11/31</f>
        <v>0</v>
      </c>
      <c r="R44" s="208">
        <f>$B44+($AD44-$B44)*16/31</f>
        <v>1.0774193548387097</v>
      </c>
      <c r="S44" s="209">
        <f>$C44+($AE44-$C44)*16/31</f>
        <v>6.1290322580645165E-2</v>
      </c>
      <c r="T44" s="164">
        <f>$D44+($AF44-$D44)*16/31</f>
        <v>0.94838709677419353</v>
      </c>
      <c r="U44" s="210">
        <f>$E44+($AG44-$E44)*16/31</f>
        <v>0</v>
      </c>
      <c r="V44" s="208">
        <f>$B44+($AD44-$B44)*21/31</f>
        <v>1.1016129032258064</v>
      </c>
      <c r="W44" s="209">
        <f>$C44+($AE44-$C44)*21/31</f>
        <v>7.4193548387096769E-2</v>
      </c>
      <c r="X44" s="164">
        <f>$D44+($AF44-$D44)*21/31</f>
        <v>0.93225806451612903</v>
      </c>
      <c r="Y44" s="210">
        <f>$E44+($AG44-$E44)*21/31</f>
        <v>0</v>
      </c>
      <c r="Z44" s="208">
        <f>$B44+($AD44-$B44)*26/31</f>
        <v>1.1258064516129032</v>
      </c>
      <c r="AA44" s="209">
        <f>$C44+($AE44-$C44)*26/31</f>
        <v>8.7096774193548387E-2</v>
      </c>
      <c r="AB44" s="164">
        <f>$D44+($AF44-$D44)*26/31</f>
        <v>0.91612903225806452</v>
      </c>
      <c r="AC44" s="210">
        <f>$E44+($AG44-$E44)*26/31</f>
        <v>0</v>
      </c>
      <c r="AD44" s="191">
        <v>1.1499999999999999</v>
      </c>
      <c r="AE44" s="211">
        <v>0.1</v>
      </c>
      <c r="AF44" s="1">
        <v>0.9</v>
      </c>
      <c r="AG44" s="214">
        <f>AD44*AE44*E44*AF44</f>
        <v>0</v>
      </c>
      <c r="AH44" s="4"/>
    </row>
    <row r="45" spans="1:41">
      <c r="A45" s="161" t="s">
        <v>351</v>
      </c>
      <c r="B45" s="207">
        <v>1</v>
      </c>
      <c r="C45" s="207">
        <v>0</v>
      </c>
      <c r="D45" s="207">
        <v>1</v>
      </c>
      <c r="E45" s="193">
        <v>0</v>
      </c>
      <c r="F45" s="208">
        <f>$B45+($AD45-$B45)*1/31</f>
        <v>1.0048387096774194</v>
      </c>
      <c r="G45" s="209">
        <f>$C45+($AE45-$C45)*1/31</f>
        <v>2.903225806451613E-2</v>
      </c>
      <c r="H45" s="164">
        <f>$D45+($AF45-$D45)*1/31</f>
        <v>0.99677419354838714</v>
      </c>
      <c r="I45" s="210">
        <f>$E45+($AG45-$E45)*1/31</f>
        <v>9.982741935483869E-3</v>
      </c>
      <c r="J45" s="208">
        <f>$B45+($AD45-$B45)*6/31</f>
        <v>1.0290322580645161</v>
      </c>
      <c r="K45" s="209">
        <f>$C45+($AE45-$C45)*6/31</f>
        <v>0.17419354838709677</v>
      </c>
      <c r="L45" s="164">
        <f>$D45+($AF45-$D45)*6/31</f>
        <v>0.98064516129032253</v>
      </c>
      <c r="M45" s="210">
        <f>$E45+($AG45-$E45)*6/31</f>
        <v>5.9896451612903218E-2</v>
      </c>
      <c r="N45" s="208">
        <f>$B45+($AD45-$B45)*11/31</f>
        <v>1.0532258064516129</v>
      </c>
      <c r="O45" s="209">
        <f>$C45+($AE45-$C45)*11/31</f>
        <v>0.31935483870967746</v>
      </c>
      <c r="P45" s="164">
        <f>$D45+($AF45-$D45)*11/31</f>
        <v>0.96451612903225803</v>
      </c>
      <c r="Q45" s="210">
        <f>$E45+($AG45-$E45)*11/31</f>
        <v>0.10981016129032255</v>
      </c>
      <c r="R45" s="208">
        <f>$B45+($AD45-$B45)*16/31</f>
        <v>1.0774193548387097</v>
      </c>
      <c r="S45" s="209">
        <f>$C45+($AE45-$C45)*16/31</f>
        <v>0.46451612903225808</v>
      </c>
      <c r="T45" s="164">
        <f>$D45+($AF45-$D45)*16/31</f>
        <v>0.94838709677419353</v>
      </c>
      <c r="U45" s="210">
        <f>$E45+($AG45-$E45)*16/31</f>
        <v>0.1597238709677419</v>
      </c>
      <c r="V45" s="208">
        <f>$B45+($AD45-$B45)*21/31</f>
        <v>1.1016129032258064</v>
      </c>
      <c r="W45" s="209">
        <f>$C45+($AE45-$C45)*21/31</f>
        <v>0.60967741935483877</v>
      </c>
      <c r="X45" s="164">
        <f>$D45+($AF45-$D45)*21/31</f>
        <v>0.93225806451612903</v>
      </c>
      <c r="Y45" s="210">
        <f>$E45+($AG45-$E45)*21/31</f>
        <v>0.20963758064516125</v>
      </c>
      <c r="Z45" s="208">
        <f>$B45+($AD45-$B45)*26/31</f>
        <v>1.1258064516129032</v>
      </c>
      <c r="AA45" s="209">
        <f>$C45+($AE45-$C45)*26/31</f>
        <v>0.75483870967741939</v>
      </c>
      <c r="AB45" s="164">
        <f>$D45+($AF45-$D45)*26/31</f>
        <v>0.91612903225806452</v>
      </c>
      <c r="AC45" s="210">
        <f>$E45+($AG45-$E45)*26/31</f>
        <v>0.25955129032258056</v>
      </c>
      <c r="AD45" s="191">
        <v>1.1499999999999999</v>
      </c>
      <c r="AE45" s="211">
        <v>0.9</v>
      </c>
      <c r="AF45" s="1">
        <v>0.9</v>
      </c>
      <c r="AG45" s="193">
        <f>AD45*AE45*E43*AF45</f>
        <v>0.30946499999999993</v>
      </c>
      <c r="AH45" s="4"/>
    </row>
    <row r="46" spans="1:41">
      <c r="A46" s="161" t="s">
        <v>23</v>
      </c>
      <c r="B46" s="207"/>
      <c r="C46" s="207">
        <v>1</v>
      </c>
      <c r="D46" s="207">
        <v>1</v>
      </c>
      <c r="E46" s="193">
        <f>SUM(E43:E44)</f>
        <v>0.3322222222222222</v>
      </c>
      <c r="F46" s="201"/>
      <c r="G46" s="201">
        <v>1</v>
      </c>
      <c r="H46" s="1"/>
      <c r="I46" s="193">
        <f>SUM(I43:I45)</f>
        <v>0.33148811827956987</v>
      </c>
      <c r="J46" s="1"/>
      <c r="K46" s="1">
        <v>1</v>
      </c>
      <c r="L46" s="1"/>
      <c r="M46" s="193">
        <f>SUM(M43:M45)</f>
        <v>0.32781759856630821</v>
      </c>
      <c r="N46" s="1"/>
      <c r="O46" s="1">
        <v>1</v>
      </c>
      <c r="P46" s="1"/>
      <c r="Q46" s="193">
        <f>SUM(Q43:Q45)</f>
        <v>0.32414707885304656</v>
      </c>
      <c r="R46" s="1"/>
      <c r="S46" s="1">
        <v>1</v>
      </c>
      <c r="T46" s="1"/>
      <c r="U46" s="193">
        <f>SUM(U43:U45)</f>
        <v>0.3204765591397849</v>
      </c>
      <c r="V46" s="1"/>
      <c r="W46" s="1">
        <v>1</v>
      </c>
      <c r="X46" s="1"/>
      <c r="Y46" s="193">
        <f>SUM(Y43:Y45)</f>
        <v>0.31680603942652324</v>
      </c>
      <c r="Z46" s="1"/>
      <c r="AA46" s="1">
        <v>1</v>
      </c>
      <c r="AB46" s="1"/>
      <c r="AC46" s="193">
        <f>SUM(AC43:AC45)</f>
        <v>0.31313551971326153</v>
      </c>
      <c r="AD46" s="1"/>
      <c r="AE46" s="1">
        <v>1</v>
      </c>
      <c r="AF46" s="1"/>
      <c r="AG46" s="193">
        <f>SUM(AG43:AG45)</f>
        <v>0.30946499999999993</v>
      </c>
      <c r="AH46" s="4"/>
    </row>
    <row r="47" spans="1:41">
      <c r="A47" s="549" t="s">
        <v>420</v>
      </c>
      <c r="B47" s="549"/>
      <c r="C47" s="549"/>
      <c r="D47" s="549"/>
      <c r="E47" s="549"/>
      <c r="F47" s="549"/>
      <c r="G47" s="549"/>
      <c r="H47" s="549"/>
      <c r="I47" s="549"/>
      <c r="J47" s="549"/>
      <c r="K47" s="549"/>
      <c r="L47" s="549"/>
      <c r="M47" s="549"/>
      <c r="N47" s="549"/>
      <c r="O47" s="549"/>
      <c r="P47" s="549"/>
      <c r="Q47" s="549"/>
      <c r="R47" s="549"/>
      <c r="S47" s="549"/>
      <c r="T47" s="549"/>
      <c r="U47" s="549"/>
      <c r="V47" s="549"/>
      <c r="W47" s="549"/>
      <c r="X47" s="549"/>
      <c r="Y47" s="549"/>
      <c r="Z47" s="549"/>
      <c r="AA47" s="549"/>
      <c r="AB47" s="549"/>
      <c r="AC47" s="549"/>
      <c r="AD47" s="549"/>
      <c r="AE47" s="549"/>
      <c r="AF47" s="549"/>
      <c r="AG47" s="549"/>
    </row>
    <row r="56" spans="14:25">
      <c r="N56" s="216"/>
      <c r="O56" s="216"/>
      <c r="P56" s="216"/>
      <c r="Q56" s="216"/>
      <c r="R56" s="216"/>
      <c r="S56" s="35"/>
      <c r="T56" s="35"/>
      <c r="U56" s="35"/>
      <c r="V56" s="35"/>
      <c r="W56" s="35"/>
      <c r="X56" s="35"/>
      <c r="Y56" s="35"/>
    </row>
    <row r="57" spans="14:25"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</row>
    <row r="63" spans="14:25"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</row>
  </sheetData>
  <mergeCells count="52">
    <mergeCell ref="Z41:AC41"/>
    <mergeCell ref="AD41:AG41"/>
    <mergeCell ref="AI15:AU15"/>
    <mergeCell ref="AJ17:AL17"/>
    <mergeCell ref="AM17:AO17"/>
    <mergeCell ref="AP17:AR17"/>
    <mergeCell ref="AJ34:AL34"/>
    <mergeCell ref="AM34:AO34"/>
    <mergeCell ref="AI24:AR24"/>
    <mergeCell ref="AJ25:AL25"/>
    <mergeCell ref="AM25:AO25"/>
    <mergeCell ref="AP25:AR25"/>
    <mergeCell ref="AI32:AU32"/>
    <mergeCell ref="A40:Y40"/>
    <mergeCell ref="B41:E41"/>
    <mergeCell ref="F41:I41"/>
    <mergeCell ref="J41:M41"/>
    <mergeCell ref="N41:Q41"/>
    <mergeCell ref="R41:U41"/>
    <mergeCell ref="V41:Y41"/>
    <mergeCell ref="N33:P33"/>
    <mergeCell ref="Q33:S33"/>
    <mergeCell ref="T33:V33"/>
    <mergeCell ref="W33:Y33"/>
    <mergeCell ref="B25:D25"/>
    <mergeCell ref="E25:G25"/>
    <mergeCell ref="H25:J25"/>
    <mergeCell ref="K25:M25"/>
    <mergeCell ref="A31:M31"/>
    <mergeCell ref="B33:D33"/>
    <mergeCell ref="E33:G33"/>
    <mergeCell ref="H33:J33"/>
    <mergeCell ref="K33:M33"/>
    <mergeCell ref="N25:P25"/>
    <mergeCell ref="Q25:S25"/>
    <mergeCell ref="T25:V25"/>
    <mergeCell ref="A30:Y30"/>
    <mergeCell ref="A39:Y39"/>
    <mergeCell ref="A47:AG47"/>
    <mergeCell ref="W25:Y25"/>
    <mergeCell ref="A2:M2"/>
    <mergeCell ref="A15:M15"/>
    <mergeCell ref="B17:D17"/>
    <mergeCell ref="E17:G17"/>
    <mergeCell ref="H17:J17"/>
    <mergeCell ref="K17:M17"/>
    <mergeCell ref="N17:P17"/>
    <mergeCell ref="Q17:S17"/>
    <mergeCell ref="T17:V17"/>
    <mergeCell ref="W17:Y17"/>
    <mergeCell ref="A24:Y24"/>
    <mergeCell ref="A23:Y2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2:X17"/>
  <sheetViews>
    <sheetView zoomScaleNormal="100" workbookViewId="0">
      <selection activeCell="J10" sqref="J10"/>
    </sheetView>
  </sheetViews>
  <sheetFormatPr baseColWidth="10" defaultColWidth="8.88671875" defaultRowHeight="14.4"/>
  <cols>
    <col min="1" max="1" width="18.5546875" customWidth="1"/>
    <col min="2" max="1025" width="10.44140625" customWidth="1"/>
  </cols>
  <sheetData>
    <row r="2" spans="1:24">
      <c r="A2" s="516" t="s">
        <v>55</v>
      </c>
      <c r="B2" s="516"/>
      <c r="C2" s="516"/>
      <c r="D2" s="516"/>
      <c r="E2" s="516"/>
      <c r="F2" s="516"/>
      <c r="G2" s="516"/>
      <c r="H2" s="516"/>
      <c r="I2" s="516"/>
      <c r="P2" s="516" t="s">
        <v>153</v>
      </c>
      <c r="Q2" s="516"/>
      <c r="R2" s="516"/>
      <c r="S2" s="516"/>
      <c r="T2" s="516"/>
      <c r="U2" s="516"/>
      <c r="V2" s="516"/>
      <c r="W2" s="516"/>
      <c r="X2" s="516"/>
    </row>
    <row r="4" spans="1:24">
      <c r="B4" s="218">
        <v>2010</v>
      </c>
      <c r="C4" s="218">
        <v>2011</v>
      </c>
      <c r="D4" s="218">
        <v>2012</v>
      </c>
      <c r="E4" s="218">
        <v>2013</v>
      </c>
      <c r="F4" s="218">
        <v>2014</v>
      </c>
      <c r="G4" s="218">
        <v>2015</v>
      </c>
      <c r="H4" s="218">
        <v>2016</v>
      </c>
      <c r="I4" s="218">
        <v>2017</v>
      </c>
      <c r="J4" s="218">
        <v>2018</v>
      </c>
      <c r="K4" s="218">
        <v>2019</v>
      </c>
      <c r="L4" s="218">
        <v>2020</v>
      </c>
      <c r="M4" s="246" t="s">
        <v>405</v>
      </c>
      <c r="Q4" s="220">
        <v>2015</v>
      </c>
      <c r="R4" s="220">
        <v>2020</v>
      </c>
      <c r="S4" s="220">
        <v>2025</v>
      </c>
      <c r="T4" s="220">
        <v>2030</v>
      </c>
      <c r="U4" s="220">
        <v>2035</v>
      </c>
      <c r="V4" s="220">
        <v>2040</v>
      </c>
      <c r="W4" s="220">
        <v>2045</v>
      </c>
      <c r="X4" s="220">
        <v>2050</v>
      </c>
    </row>
    <row r="5" spans="1:24">
      <c r="A5" s="30" t="s">
        <v>327</v>
      </c>
      <c r="B5" s="39">
        <f>GES!V14</f>
        <v>0</v>
      </c>
      <c r="C5" s="39">
        <f>GES!W14</f>
        <v>0</v>
      </c>
      <c r="D5" s="39">
        <f>GES!X14</f>
        <v>0</v>
      </c>
      <c r="E5" s="39">
        <f>GES!Y14</f>
        <v>0</v>
      </c>
      <c r="F5" s="39">
        <f>GES!Z14</f>
        <v>0</v>
      </c>
      <c r="G5" s="39">
        <f>GES!AA14</f>
        <v>0</v>
      </c>
      <c r="H5" s="39">
        <f>GES!AB14</f>
        <v>0</v>
      </c>
      <c r="I5" s="39">
        <f>GES!AC14</f>
        <v>0</v>
      </c>
      <c r="J5" s="39">
        <f>GES!AD14</f>
        <v>0</v>
      </c>
      <c r="K5" s="39">
        <f>GES!AE14</f>
        <v>0</v>
      </c>
      <c r="L5" s="30"/>
      <c r="M5" s="297" t="s">
        <v>357</v>
      </c>
      <c r="P5" s="30" t="s">
        <v>327</v>
      </c>
      <c r="Q5" s="30">
        <v>8</v>
      </c>
      <c r="R5" s="30"/>
      <c r="S5" s="30"/>
      <c r="T5" s="30"/>
      <c r="U5" s="30"/>
      <c r="V5" s="30"/>
      <c r="W5" s="30"/>
      <c r="X5" s="30">
        <v>8</v>
      </c>
    </row>
    <row r="6" spans="1:24">
      <c r="G6" s="39"/>
      <c r="H6" s="25"/>
    </row>
    <row r="7" spans="1:24">
      <c r="A7" s="516" t="s">
        <v>152</v>
      </c>
      <c r="B7" s="516"/>
      <c r="C7" s="516"/>
      <c r="D7" s="516"/>
      <c r="E7" s="516"/>
      <c r="F7" s="516"/>
      <c r="G7" s="516"/>
      <c r="H7" s="516"/>
      <c r="I7" s="516"/>
    </row>
    <row r="8" spans="1:24">
      <c r="P8" s="516" t="s">
        <v>159</v>
      </c>
      <c r="Q8" s="516"/>
      <c r="R8" s="516"/>
      <c r="S8" s="516"/>
      <c r="T8" s="516"/>
      <c r="U8" s="516"/>
      <c r="V8" s="516"/>
      <c r="W8" s="516"/>
      <c r="X8" s="516"/>
    </row>
    <row r="9" spans="1:24">
      <c r="B9" s="218">
        <v>2019</v>
      </c>
      <c r="C9" s="218">
        <v>2020</v>
      </c>
      <c r="D9" s="218">
        <v>2025</v>
      </c>
      <c r="E9" s="218">
        <v>2030</v>
      </c>
      <c r="F9" s="218">
        <v>2035</v>
      </c>
      <c r="G9" s="218">
        <v>2040</v>
      </c>
      <c r="H9" s="218">
        <v>2045</v>
      </c>
      <c r="I9" s="30">
        <v>2050</v>
      </c>
      <c r="J9" s="246" t="s">
        <v>405</v>
      </c>
      <c r="K9" t="s">
        <v>427</v>
      </c>
    </row>
    <row r="10" spans="1:24">
      <c r="A10" s="30" t="s">
        <v>327</v>
      </c>
      <c r="B10" s="39">
        <f>K5</f>
        <v>0</v>
      </c>
      <c r="C10" s="149">
        <f>$B10+($I10-$B10)*1/31</f>
        <v>0</v>
      </c>
      <c r="D10" s="149">
        <f>$B10+($I10-$B10)*6/31</f>
        <v>0</v>
      </c>
      <c r="E10" s="149">
        <f>$B10+($I10-$B10)*11/31</f>
        <v>0</v>
      </c>
      <c r="F10" s="149">
        <f>$B10+($I10-$B10)*16/31</f>
        <v>0</v>
      </c>
      <c r="G10" s="149">
        <f>$B10+($I10-$B10)*21/31</f>
        <v>0</v>
      </c>
      <c r="H10" s="149">
        <f>$B10+($I10-$B10)*26/31</f>
        <v>0</v>
      </c>
      <c r="I10" s="164">
        <v>0</v>
      </c>
      <c r="J10" s="297"/>
      <c r="K10" t="s">
        <v>428</v>
      </c>
      <c r="Q10" s="218">
        <v>2015</v>
      </c>
      <c r="R10" s="218">
        <v>2020</v>
      </c>
      <c r="S10" s="218">
        <v>2025</v>
      </c>
      <c r="T10" s="218">
        <v>2030</v>
      </c>
      <c r="U10" s="218">
        <v>2035</v>
      </c>
      <c r="V10" s="218">
        <v>2040</v>
      </c>
      <c r="W10" s="218">
        <v>2045</v>
      </c>
      <c r="X10" s="218">
        <v>2050</v>
      </c>
    </row>
    <row r="11" spans="1:24" ht="26.4" customHeight="1">
      <c r="A11" s="547"/>
      <c r="B11" s="547"/>
      <c r="C11" s="547"/>
      <c r="D11" s="547"/>
      <c r="E11" s="547"/>
      <c r="F11" s="547"/>
      <c r="G11" s="547"/>
      <c r="H11" s="547"/>
      <c r="I11" s="547"/>
      <c r="J11" s="547"/>
      <c r="P11" s="30" t="s">
        <v>327</v>
      </c>
      <c r="Q11" s="30">
        <v>6</v>
      </c>
      <c r="R11" s="30"/>
      <c r="S11" s="30"/>
      <c r="T11" s="30"/>
      <c r="U11" s="30"/>
      <c r="V11" s="30"/>
      <c r="W11" s="30"/>
      <c r="X11" s="30">
        <v>0</v>
      </c>
    </row>
    <row r="13" spans="1:24">
      <c r="A13" s="516" t="s">
        <v>158</v>
      </c>
      <c r="B13" s="516"/>
      <c r="C13" s="516"/>
      <c r="D13" s="516"/>
      <c r="E13" s="516"/>
      <c r="F13" s="516"/>
      <c r="G13" s="516"/>
      <c r="H13" s="516"/>
      <c r="I13" s="516"/>
    </row>
    <row r="15" spans="1:24">
      <c r="B15" s="218">
        <v>2019</v>
      </c>
      <c r="C15" s="218">
        <v>2020</v>
      </c>
      <c r="D15" s="218">
        <v>2025</v>
      </c>
      <c r="E15" s="218">
        <v>2030</v>
      </c>
      <c r="F15" s="218">
        <v>2035</v>
      </c>
      <c r="G15" s="218">
        <v>2040</v>
      </c>
      <c r="H15" s="218">
        <v>2045</v>
      </c>
      <c r="I15" s="218">
        <v>2050</v>
      </c>
    </row>
    <row r="16" spans="1:24">
      <c r="A16" s="30" t="s">
        <v>327</v>
      </c>
      <c r="B16" s="39">
        <f>K5</f>
        <v>0</v>
      </c>
      <c r="C16" s="149">
        <f>$B16+($I16-$B16)*1/31</f>
        <v>0</v>
      </c>
      <c r="D16" s="149">
        <f>$B16+($I16-$B16)*6/31</f>
        <v>0</v>
      </c>
      <c r="E16" s="149">
        <f>$B16+($I16-$B16)*11/31</f>
        <v>0</v>
      </c>
      <c r="F16" s="149">
        <f>$B16+($I16-$B16)*16/31</f>
        <v>0</v>
      </c>
      <c r="G16" s="149">
        <f>$B16+($I16-$B16)*21/31</f>
        <v>0</v>
      </c>
      <c r="H16" s="149">
        <f>$B16+($I16-$B16)*26/31</f>
        <v>0</v>
      </c>
      <c r="I16" s="30">
        <v>0</v>
      </c>
    </row>
    <row r="17" spans="1:9">
      <c r="A17" s="541" t="s">
        <v>429</v>
      </c>
      <c r="B17" s="541"/>
      <c r="C17" s="541"/>
      <c r="D17" s="541"/>
      <c r="E17" s="541"/>
      <c r="F17" s="541"/>
      <c r="G17" s="541"/>
      <c r="H17" s="541"/>
      <c r="I17" s="541"/>
    </row>
  </sheetData>
  <mergeCells count="7">
    <mergeCell ref="A17:I17"/>
    <mergeCell ref="P2:X2"/>
    <mergeCell ref="A2:I2"/>
    <mergeCell ref="A7:I7"/>
    <mergeCell ref="A13:I13"/>
    <mergeCell ref="P8:X8"/>
    <mergeCell ref="A11:J1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2:U36"/>
  <sheetViews>
    <sheetView topLeftCell="A13" zoomScaleNormal="100" workbookViewId="0">
      <selection activeCell="K10" sqref="K10"/>
    </sheetView>
  </sheetViews>
  <sheetFormatPr baseColWidth="10" defaultColWidth="8.88671875" defaultRowHeight="14.4"/>
  <cols>
    <col min="1" max="1" width="30.5546875" customWidth="1"/>
    <col min="2" max="12" width="10.44140625" customWidth="1"/>
    <col min="13" max="13" width="30.44140625" customWidth="1"/>
    <col min="14" max="1025" width="10.44140625" customWidth="1"/>
  </cols>
  <sheetData>
    <row r="2" spans="1:21">
      <c r="A2" s="516" t="s">
        <v>55</v>
      </c>
      <c r="B2" s="516"/>
      <c r="C2" s="516"/>
      <c r="D2" s="516"/>
      <c r="E2" s="516"/>
      <c r="F2" s="516"/>
      <c r="G2" s="516"/>
      <c r="H2" s="516"/>
      <c r="I2" s="516"/>
    </row>
    <row r="4" spans="1:21">
      <c r="A4" s="35"/>
      <c r="B4" s="218">
        <v>2010</v>
      </c>
      <c r="C4" s="218">
        <v>2011</v>
      </c>
      <c r="D4" s="218">
        <v>2012</v>
      </c>
      <c r="E4" s="218">
        <v>2013</v>
      </c>
      <c r="F4" s="218">
        <v>2014</v>
      </c>
      <c r="G4" s="218">
        <v>2015</v>
      </c>
      <c r="H4" s="218">
        <v>2016</v>
      </c>
      <c r="I4" s="218">
        <v>2017</v>
      </c>
      <c r="J4" s="218">
        <v>2018</v>
      </c>
      <c r="K4" s="218">
        <v>2019</v>
      </c>
      <c r="L4" s="218">
        <v>2020</v>
      </c>
      <c r="M4" s="284" t="s">
        <v>405</v>
      </c>
    </row>
    <row r="5" spans="1:21">
      <c r="A5" s="30" t="s">
        <v>479</v>
      </c>
      <c r="B5" s="30"/>
      <c r="C5" s="30"/>
      <c r="D5" s="30"/>
      <c r="E5" s="30"/>
      <c r="F5" s="30"/>
      <c r="G5" s="30"/>
      <c r="H5" s="30"/>
      <c r="I5" s="30"/>
      <c r="J5" s="30"/>
      <c r="K5" s="30">
        <v>1</v>
      </c>
      <c r="L5" s="30"/>
      <c r="M5" s="297" t="s">
        <v>227</v>
      </c>
    </row>
    <row r="6" spans="1:21">
      <c r="A6" s="30" t="s">
        <v>478</v>
      </c>
      <c r="B6" s="30"/>
      <c r="C6" s="30"/>
      <c r="D6" s="30"/>
      <c r="E6" s="30"/>
      <c r="F6" s="30"/>
      <c r="G6" s="174">
        <f>'Cadrage macroéconomique '!G5/'Cadrage macroéconomique '!$K$5</f>
        <v>0</v>
      </c>
      <c r="H6" s="174">
        <f>'Cadrage macroéconomique '!H5/'Cadrage macroéconomique '!$K$5</f>
        <v>0</v>
      </c>
      <c r="I6" s="174">
        <f>'Cadrage macroéconomique '!I5/'Cadrage macroéconomique '!$K$5</f>
        <v>0</v>
      </c>
      <c r="J6" s="174">
        <f>'Cadrage macroéconomique '!J5/'Cadrage macroéconomique '!$K$5</f>
        <v>0.98701964133219466</v>
      </c>
      <c r="K6" s="174">
        <f>'Cadrage macroéconomique '!K5/'Cadrage macroéconomique '!$K$5</f>
        <v>1</v>
      </c>
      <c r="L6" s="30"/>
      <c r="M6" s="297" t="s">
        <v>270</v>
      </c>
    </row>
    <row r="7" spans="1:21">
      <c r="A7" s="30" t="s">
        <v>360</v>
      </c>
      <c r="B7" s="30"/>
      <c r="C7" s="43"/>
      <c r="D7" s="30"/>
      <c r="E7" s="30"/>
      <c r="F7" s="30"/>
      <c r="G7" s="30"/>
      <c r="H7" s="174"/>
      <c r="I7" s="25"/>
      <c r="J7" s="25"/>
      <c r="K7" s="164"/>
      <c r="L7" s="164"/>
      <c r="M7" s="297" t="s">
        <v>361</v>
      </c>
    </row>
    <row r="8" spans="1:21">
      <c r="A8" s="30" t="s">
        <v>362</v>
      </c>
      <c r="B8" s="174">
        <f>'CH4'!W9/1000</f>
        <v>6.0011913991686698E-2</v>
      </c>
      <c r="C8" s="174">
        <f>'CH4'!X9/1000</f>
        <v>6.2388640694235067E-2</v>
      </c>
      <c r="D8" s="174">
        <f>'CH4'!Y9/1000</f>
        <v>6.4552880405592705E-2</v>
      </c>
      <c r="E8" s="174">
        <f>'CH4'!Z9/1000</f>
        <v>6.5620162034155619E-2</v>
      </c>
      <c r="F8" s="174">
        <f>'CH4'!AA9/1000</f>
        <v>6.2595256600456464E-2</v>
      </c>
      <c r="G8" s="174">
        <f>'CH4'!AB9/1000</f>
        <v>6.7910660026531788E-2</v>
      </c>
      <c r="H8" s="174">
        <f>'CH4'!AC9/1000</f>
        <v>7.3449373604156168E-2</v>
      </c>
      <c r="I8" s="174">
        <f>'CH4'!AD9/1000</f>
        <v>7.5701675012017952E-2</v>
      </c>
      <c r="J8" s="174">
        <f>'CH4'!AE9/1000</f>
        <v>8.0688699602145766E-2</v>
      </c>
      <c r="K8" s="174">
        <f>'CH4'!AF9/1000</f>
        <v>8.7031706479010443E-2</v>
      </c>
      <c r="L8" s="30"/>
      <c r="M8" s="297" t="s">
        <v>227</v>
      </c>
    </row>
    <row r="9" spans="1:21">
      <c r="A9" s="30" t="s">
        <v>363</v>
      </c>
      <c r="B9" s="30">
        <f t="shared" ref="B9:K9" si="0">B8*25</f>
        <v>1.5002978497921675</v>
      </c>
      <c r="C9" s="30">
        <f t="shared" si="0"/>
        <v>1.5597160173558766</v>
      </c>
      <c r="D9" s="30">
        <f t="shared" si="0"/>
        <v>1.6138220101398177</v>
      </c>
      <c r="E9" s="30">
        <f t="shared" si="0"/>
        <v>1.6405040508538904</v>
      </c>
      <c r="F9" s="30">
        <f t="shared" si="0"/>
        <v>1.5648814150114116</v>
      </c>
      <c r="G9" s="30">
        <f t="shared" si="0"/>
        <v>1.6977665006632947</v>
      </c>
      <c r="H9" s="30">
        <f t="shared" si="0"/>
        <v>1.8362343401039043</v>
      </c>
      <c r="I9" s="30">
        <f t="shared" si="0"/>
        <v>1.8925418753004488</v>
      </c>
      <c r="J9" s="30">
        <f t="shared" si="0"/>
        <v>2.0172174900536444</v>
      </c>
      <c r="K9" s="30">
        <f t="shared" si="0"/>
        <v>2.1757926619752612</v>
      </c>
      <c r="L9" s="30"/>
      <c r="M9" s="297"/>
    </row>
    <row r="10" spans="1:21">
      <c r="A10" s="30" t="s">
        <v>364</v>
      </c>
      <c r="B10" s="39">
        <f>GES!V8</f>
        <v>1.7409554762229273</v>
      </c>
      <c r="C10" s="39">
        <f>GES!W8</f>
        <v>1.7940336581354066</v>
      </c>
      <c r="D10" s="39">
        <f>GES!X8</f>
        <v>1.8455400697821174</v>
      </c>
      <c r="E10" s="39">
        <f>GES!Y8</f>
        <v>1.86861262014018</v>
      </c>
      <c r="F10" s="39">
        <f>GES!Z8</f>
        <v>1.7778413460160016</v>
      </c>
      <c r="G10" s="39">
        <f>GES!AA8</f>
        <v>1.913324467307723</v>
      </c>
      <c r="H10" s="39">
        <f>GES!AB8</f>
        <v>2.0584951477366293</v>
      </c>
      <c r="I10" s="39">
        <f>GES!AC8</f>
        <v>2.1122506568634889</v>
      </c>
      <c r="J10" s="39">
        <f>GES!AD8</f>
        <v>2.2291161964376238</v>
      </c>
      <c r="K10" s="39">
        <f>GES!AE8</f>
        <v>2.385381346123181</v>
      </c>
      <c r="L10" s="30"/>
      <c r="M10" s="297" t="s">
        <v>227</v>
      </c>
    </row>
    <row r="11" spans="1:21">
      <c r="A11" s="307" t="s">
        <v>422</v>
      </c>
      <c r="B11" s="308">
        <f t="shared" ref="B11:K11" si="1">B10/B9</f>
        <v>1.1604065662455609</v>
      </c>
      <c r="C11" s="308">
        <f t="shared" si="1"/>
        <v>1.1502309639525015</v>
      </c>
      <c r="D11" s="308">
        <f t="shared" si="1"/>
        <v>1.1435834052246097</v>
      </c>
      <c r="E11" s="308">
        <f t="shared" si="1"/>
        <v>1.1390478549367544</v>
      </c>
      <c r="F11" s="308">
        <f t="shared" si="1"/>
        <v>1.1360869449670326</v>
      </c>
      <c r="G11" s="308">
        <f t="shared" si="1"/>
        <v>1.1269656142704032</v>
      </c>
      <c r="H11" s="308">
        <f t="shared" si="1"/>
        <v>1.1210416354702026</v>
      </c>
      <c r="I11" s="308">
        <f t="shared" si="1"/>
        <v>1.1160918996987375</v>
      </c>
      <c r="J11" s="308">
        <f t="shared" si="1"/>
        <v>1.1050450471646189</v>
      </c>
      <c r="K11" s="308">
        <f t="shared" si="1"/>
        <v>1.0963275075841314</v>
      </c>
      <c r="L11" s="308">
        <f>AVERAGE(B11:K11)</f>
        <v>1.1294827439514552</v>
      </c>
      <c r="M11" s="297" t="s">
        <v>423</v>
      </c>
    </row>
    <row r="13" spans="1:21">
      <c r="A13" s="516" t="s">
        <v>152</v>
      </c>
      <c r="B13" s="516"/>
      <c r="C13" s="516"/>
      <c r="D13" s="516"/>
      <c r="E13" s="516"/>
      <c r="F13" s="516"/>
      <c r="G13" s="516"/>
      <c r="H13" s="516"/>
      <c r="I13" s="516"/>
      <c r="M13" s="516" t="s">
        <v>153</v>
      </c>
      <c r="N13" s="516"/>
      <c r="O13" s="516"/>
      <c r="P13" s="516"/>
      <c r="Q13" s="516"/>
      <c r="R13" s="516"/>
      <c r="S13" s="516"/>
      <c r="T13" s="516"/>
      <c r="U13" s="516"/>
    </row>
    <row r="15" spans="1:21">
      <c r="A15" s="35"/>
      <c r="B15" s="218">
        <v>2019</v>
      </c>
      <c r="C15" s="218">
        <v>2020</v>
      </c>
      <c r="D15" s="218">
        <v>2025</v>
      </c>
      <c r="E15" s="218">
        <v>2030</v>
      </c>
      <c r="F15" s="218">
        <v>2035</v>
      </c>
      <c r="G15" s="218">
        <v>2040</v>
      </c>
      <c r="H15" s="218">
        <v>2045</v>
      </c>
      <c r="I15" s="218">
        <v>2050</v>
      </c>
      <c r="J15" s="246" t="s">
        <v>405</v>
      </c>
      <c r="K15" t="s">
        <v>427</v>
      </c>
      <c r="M15" s="35"/>
      <c r="N15" s="218">
        <v>2015</v>
      </c>
      <c r="O15" s="218">
        <v>2017</v>
      </c>
      <c r="P15" s="218">
        <v>2025</v>
      </c>
      <c r="Q15" s="218">
        <v>2030</v>
      </c>
      <c r="R15" s="218">
        <v>2035</v>
      </c>
      <c r="S15" s="218">
        <v>2040</v>
      </c>
      <c r="T15" s="218">
        <v>2045</v>
      </c>
      <c r="U15" s="218">
        <v>2050</v>
      </c>
    </row>
    <row r="16" spans="1:21">
      <c r="A16" s="30" t="s">
        <v>481</v>
      </c>
      <c r="B16" s="219">
        <f>K5</f>
        <v>1</v>
      </c>
      <c r="C16" s="219">
        <f t="shared" ref="C16:H16" si="2">$B$16*C17</f>
        <v>0.99516129032258061</v>
      </c>
      <c r="D16" s="219">
        <f t="shared" si="2"/>
        <v>0.97096774193548385</v>
      </c>
      <c r="E16" s="219">
        <f t="shared" si="2"/>
        <v>0.9467741935483871</v>
      </c>
      <c r="F16" s="219">
        <f t="shared" si="2"/>
        <v>0.92258064516129035</v>
      </c>
      <c r="G16" s="219">
        <f t="shared" si="2"/>
        <v>0.89838709677419359</v>
      </c>
      <c r="H16" s="219">
        <f t="shared" si="2"/>
        <v>0.87419354838709673</v>
      </c>
      <c r="I16" s="219">
        <f>$B$16*I17</f>
        <v>0.85</v>
      </c>
      <c r="J16" s="297" t="s">
        <v>365</v>
      </c>
      <c r="K16" t="s">
        <v>427</v>
      </c>
      <c r="M16" s="30" t="s">
        <v>358</v>
      </c>
      <c r="N16" s="30">
        <v>1</v>
      </c>
      <c r="O16" s="30"/>
      <c r="P16" s="30"/>
      <c r="Q16" s="30"/>
      <c r="R16" s="30"/>
      <c r="S16" s="30"/>
      <c r="T16" s="30"/>
      <c r="U16" s="30">
        <v>0.9</v>
      </c>
    </row>
    <row r="17" spans="1:21" s="353" customFormat="1">
      <c r="A17" s="30" t="s">
        <v>480</v>
      </c>
      <c r="B17" s="219">
        <f>1</f>
        <v>1</v>
      </c>
      <c r="C17" s="164">
        <f>$B17+($I17-$B17)*1/31</f>
        <v>0.99516129032258061</v>
      </c>
      <c r="D17" s="164">
        <f>$B17+($I17-$B17)*6/31</f>
        <v>0.97096774193548385</v>
      </c>
      <c r="E17" s="164">
        <f>$B17+($I17-$B17)*11/31</f>
        <v>0.9467741935483871</v>
      </c>
      <c r="F17" s="164">
        <f>$B17+($I17-$B17)*16/31</f>
        <v>0.92258064516129035</v>
      </c>
      <c r="G17" s="164">
        <f>$B17+($I17-$B17)*21/31</f>
        <v>0.89838709677419359</v>
      </c>
      <c r="H17" s="164">
        <f>$B17+($I17-$B17)*26/31</f>
        <v>0.87419354838709673</v>
      </c>
      <c r="I17" s="219">
        <v>0.85</v>
      </c>
      <c r="J17" s="297"/>
      <c r="M17" s="30"/>
      <c r="N17" s="30"/>
      <c r="O17" s="30"/>
      <c r="P17" s="30"/>
      <c r="Q17" s="30"/>
      <c r="R17" s="30"/>
      <c r="S17" s="30"/>
      <c r="T17" s="30"/>
      <c r="U17" s="30"/>
    </row>
    <row r="18" spans="1:21">
      <c r="A18" s="30" t="s">
        <v>478</v>
      </c>
      <c r="B18" s="219">
        <f>K6</f>
        <v>1</v>
      </c>
      <c r="C18" s="39">
        <f>'Cadrage macroéconomique '!$B$15/'Cadrage macroéconomique '!$K$5*1000000</f>
        <v>1</v>
      </c>
      <c r="D18" s="39">
        <f>'Cadrage macroéconomique '!$C$15/'Cadrage macroéconomique '!$K$5*1000000</f>
        <v>0.97267292912040992</v>
      </c>
      <c r="E18" s="39">
        <f>'Cadrage macroéconomique '!$D$15/'Cadrage macroéconomique '!$K$5*1000000</f>
        <v>0.95900939368061477</v>
      </c>
      <c r="F18" s="39">
        <f>'Cadrage macroéconomique '!$E$15/'Cadrage macroéconomique '!$K$5*1000000</f>
        <v>0.95900939368061477</v>
      </c>
      <c r="G18" s="39">
        <f>'Cadrage macroéconomique '!$F$15/'Cadrage macroéconomique '!$K$5*1000000</f>
        <v>0.96669513236549953</v>
      </c>
      <c r="H18" s="39">
        <f>'Cadrage macroéconomique '!$G$15/'Cadrage macroéconomique '!$K$5*1000000</f>
        <v>0.97181895815542285</v>
      </c>
      <c r="I18" s="39">
        <f>'Cadrage macroéconomique '!$H$15/'Cadrage macroéconomique '!$K$5*1000000</f>
        <v>0.96925704526046108</v>
      </c>
      <c r="J18" s="297" t="s">
        <v>233</v>
      </c>
      <c r="K18" t="s">
        <v>427</v>
      </c>
      <c r="M18" s="30" t="s">
        <v>359</v>
      </c>
      <c r="N18" s="30"/>
      <c r="O18" s="30"/>
      <c r="P18" s="30"/>
      <c r="Q18" s="30"/>
      <c r="R18" s="30"/>
      <c r="S18" s="30"/>
      <c r="T18" s="30"/>
      <c r="U18" s="30"/>
    </row>
    <row r="19" spans="1:21">
      <c r="A19" s="30" t="s">
        <v>362</v>
      </c>
      <c r="B19" s="309">
        <f>K8</f>
        <v>8.7031706479010443E-2</v>
      </c>
      <c r="C19" s="309">
        <f t="shared" ref="C19:H19" si="3">C18*C17*$B$19</f>
        <v>8.6610585318628128E-2</v>
      </c>
      <c r="D19" s="309">
        <f t="shared" si="3"/>
        <v>8.2195705951784964E-2</v>
      </c>
      <c r="E19" s="309">
        <f t="shared" si="3"/>
        <v>7.9021773425897585E-2</v>
      </c>
      <c r="F19" s="309">
        <f t="shared" si="3"/>
        <v>7.7002477682476006E-2</v>
      </c>
      <c r="G19" s="309">
        <f t="shared" si="3"/>
        <v>7.5584115721290854E-2</v>
      </c>
      <c r="H19" s="309">
        <f t="shared" si="3"/>
        <v>7.3938470606082107E-2</v>
      </c>
      <c r="I19" s="309">
        <f>I18*I17*$B$19</f>
        <v>7.1702680465948188E-2</v>
      </c>
      <c r="J19" s="297" t="s">
        <v>424</v>
      </c>
      <c r="K19" t="s">
        <v>427</v>
      </c>
      <c r="M19" s="30" t="s">
        <v>362</v>
      </c>
      <c r="N19" s="30">
        <v>3.1</v>
      </c>
      <c r="O19" s="30">
        <v>3.0350000000000001</v>
      </c>
      <c r="P19" s="30"/>
      <c r="Q19" s="30"/>
      <c r="R19" s="30"/>
      <c r="S19" s="30"/>
      <c r="T19" s="30"/>
      <c r="U19" s="30">
        <v>2.8</v>
      </c>
    </row>
    <row r="20" spans="1:21">
      <c r="A20" s="30" t="s">
        <v>363</v>
      </c>
      <c r="B20" s="39">
        <f>K9</f>
        <v>2.1757926619752612</v>
      </c>
      <c r="C20" s="39">
        <f t="shared" ref="C20:I20" si="4">C19*25</f>
        <v>2.165264632965703</v>
      </c>
      <c r="D20" s="39">
        <f t="shared" si="4"/>
        <v>2.054892648794624</v>
      </c>
      <c r="E20" s="39">
        <f t="shared" si="4"/>
        <v>1.9755443356474396</v>
      </c>
      <c r="F20" s="39">
        <f t="shared" si="4"/>
        <v>1.9250619420619002</v>
      </c>
      <c r="G20" s="39">
        <f t="shared" si="4"/>
        <v>1.8896028930322712</v>
      </c>
      <c r="H20" s="39">
        <f t="shared" si="4"/>
        <v>1.8484617651520527</v>
      </c>
      <c r="I20" s="39">
        <f t="shared" si="4"/>
        <v>1.7925670116487047</v>
      </c>
      <c r="J20" s="297"/>
      <c r="K20" t="s">
        <v>427</v>
      </c>
      <c r="M20" s="30" t="s">
        <v>363</v>
      </c>
      <c r="N20" s="30">
        <v>77.8</v>
      </c>
      <c r="O20" s="30">
        <v>75.875</v>
      </c>
      <c r="P20" s="30"/>
      <c r="Q20" s="30"/>
      <c r="R20" s="30"/>
      <c r="S20" s="30"/>
      <c r="T20" s="30"/>
      <c r="U20" s="30">
        <v>70</v>
      </c>
    </row>
    <row r="21" spans="1:21">
      <c r="A21" s="30" t="s">
        <v>364</v>
      </c>
      <c r="B21" s="149">
        <f>K10</f>
        <v>2.385381346123181</v>
      </c>
      <c r="C21" s="149">
        <f t="shared" ref="C21:I21" si="5">C20*$L11</f>
        <v>2.4456290390231428</v>
      </c>
      <c r="D21" s="149">
        <f t="shared" si="5"/>
        <v>2.3209657874862257</v>
      </c>
      <c r="E21" s="149">
        <f t="shared" si="5"/>
        <v>2.2313432370248245</v>
      </c>
      <c r="F21" s="149">
        <f t="shared" si="5"/>
        <v>2.1743242445965922</v>
      </c>
      <c r="G21" s="149">
        <f t="shared" si="5"/>
        <v>2.1342738606006977</v>
      </c>
      <c r="H21" s="149">
        <f t="shared" si="5"/>
        <v>2.0878056665932907</v>
      </c>
      <c r="I21" s="149">
        <f t="shared" si="5"/>
        <v>2.0246735070338393</v>
      </c>
      <c r="J21" s="297" t="s">
        <v>421</v>
      </c>
      <c r="K21" t="s">
        <v>427</v>
      </c>
      <c r="M21" s="30" t="s">
        <v>367</v>
      </c>
      <c r="N21" s="30">
        <v>93.8</v>
      </c>
      <c r="O21" s="30">
        <v>90.875</v>
      </c>
      <c r="P21" s="30"/>
      <c r="Q21" s="30"/>
      <c r="R21" s="30"/>
      <c r="S21" s="30"/>
      <c r="T21" s="30"/>
      <c r="U21" s="30">
        <v>80</v>
      </c>
    </row>
    <row r="22" spans="1:21">
      <c r="A22" s="30" t="s">
        <v>368</v>
      </c>
      <c r="B22" s="309">
        <f>K7</f>
        <v>0</v>
      </c>
      <c r="C22" s="309">
        <f t="shared" ref="C22:H22" si="6">C20/C16</f>
        <v>2.1757926619752608</v>
      </c>
      <c r="D22" s="309">
        <f t="shared" si="6"/>
        <v>2.1163346216821708</v>
      </c>
      <c r="E22" s="309">
        <f t="shared" si="6"/>
        <v>2.0866056015356262</v>
      </c>
      <c r="F22" s="309">
        <f t="shared" si="6"/>
        <v>2.0866056015356258</v>
      </c>
      <c r="G22" s="309">
        <f t="shared" si="6"/>
        <v>2.1033281753680577</v>
      </c>
      <c r="H22" s="309">
        <f t="shared" si="6"/>
        <v>2.1144765579230125</v>
      </c>
      <c r="I22" s="309">
        <f>I20/I16</f>
        <v>2.1089023666455349</v>
      </c>
      <c r="J22" s="297"/>
      <c r="K22" t="s">
        <v>427</v>
      </c>
      <c r="M22" s="35"/>
      <c r="N22" s="35"/>
      <c r="O22" s="35"/>
      <c r="P22" s="35"/>
      <c r="Q22" s="35"/>
      <c r="R22" s="35"/>
      <c r="S22" s="35"/>
      <c r="T22" s="35"/>
      <c r="U22" s="35"/>
    </row>
    <row r="23" spans="1:21">
      <c r="A23" s="561" t="s">
        <v>425</v>
      </c>
      <c r="B23" s="561"/>
      <c r="C23" s="561"/>
      <c r="D23" s="561"/>
      <c r="E23" s="561"/>
      <c r="F23" s="561"/>
      <c r="G23" s="561"/>
      <c r="H23" s="561"/>
      <c r="I23" s="561"/>
      <c r="J23" s="561"/>
      <c r="M23" s="516" t="s">
        <v>159</v>
      </c>
      <c r="N23" s="516"/>
      <c r="O23" s="516"/>
      <c r="P23" s="516"/>
      <c r="Q23" s="516"/>
      <c r="R23" s="516"/>
      <c r="S23" s="516"/>
      <c r="T23" s="516"/>
      <c r="U23" s="516"/>
    </row>
    <row r="24" spans="1:21">
      <c r="A24" s="306"/>
      <c r="B24" s="306"/>
      <c r="C24" s="306"/>
      <c r="D24" s="306"/>
      <c r="E24" s="306"/>
      <c r="F24" s="306"/>
      <c r="G24" s="306"/>
      <c r="H24" s="306"/>
      <c r="I24" s="306"/>
      <c r="J24" s="306"/>
      <c r="M24" s="272"/>
      <c r="N24" s="272"/>
      <c r="O24" s="272"/>
      <c r="P24" s="272"/>
      <c r="Q24" s="272"/>
      <c r="R24" s="272"/>
      <c r="S24" s="272"/>
      <c r="T24" s="272"/>
      <c r="U24" s="272"/>
    </row>
    <row r="25" spans="1:21">
      <c r="A25" s="516" t="s">
        <v>158</v>
      </c>
      <c r="B25" s="516"/>
      <c r="C25" s="516"/>
      <c r="D25" s="516"/>
      <c r="E25" s="516"/>
      <c r="F25" s="516"/>
      <c r="G25" s="516"/>
      <c r="H25" s="516"/>
      <c r="I25" s="516"/>
    </row>
    <row r="26" spans="1:21">
      <c r="M26" s="35"/>
      <c r="N26" s="218">
        <v>2015</v>
      </c>
      <c r="O26" s="218">
        <v>2020</v>
      </c>
      <c r="P26" s="218">
        <v>2025</v>
      </c>
      <c r="Q26" s="218">
        <v>2030</v>
      </c>
      <c r="R26" s="218">
        <v>2035</v>
      </c>
      <c r="S26" s="218">
        <v>2040</v>
      </c>
      <c r="T26" s="218">
        <v>2045</v>
      </c>
      <c r="U26" s="218">
        <v>2050</v>
      </c>
    </row>
    <row r="27" spans="1:21">
      <c r="A27" s="161"/>
      <c r="B27" s="220">
        <v>2019</v>
      </c>
      <c r="C27" s="220">
        <v>2020</v>
      </c>
      <c r="D27" s="220">
        <v>2025</v>
      </c>
      <c r="E27" s="220">
        <v>2030</v>
      </c>
      <c r="F27" s="220">
        <v>2035</v>
      </c>
      <c r="G27" s="220">
        <v>2040</v>
      </c>
      <c r="H27" s="220">
        <v>2045</v>
      </c>
      <c r="I27" s="220">
        <v>2050</v>
      </c>
      <c r="J27" s="246" t="s">
        <v>405</v>
      </c>
      <c r="K27" t="s">
        <v>427</v>
      </c>
      <c r="M27" s="30" t="s">
        <v>358</v>
      </c>
      <c r="N27" s="30">
        <v>1</v>
      </c>
      <c r="O27" s="30"/>
      <c r="P27" s="30"/>
      <c r="Q27" s="30"/>
      <c r="R27" s="30"/>
      <c r="S27" s="30"/>
      <c r="T27" s="30"/>
      <c r="U27" s="30">
        <v>0.5</v>
      </c>
    </row>
    <row r="28" spans="1:21">
      <c r="A28" s="1" t="s">
        <v>358</v>
      </c>
      <c r="B28" s="164">
        <f>K5</f>
        <v>1</v>
      </c>
      <c r="C28" s="164">
        <f t="shared" ref="C28:H28" si="7">$B$28*C29</f>
        <v>0.9838709677419355</v>
      </c>
      <c r="D28" s="164">
        <f t="shared" si="7"/>
        <v>0.90322580645161288</v>
      </c>
      <c r="E28" s="164">
        <f t="shared" si="7"/>
        <v>0.82258064516129026</v>
      </c>
      <c r="F28" s="164">
        <f t="shared" si="7"/>
        <v>0.74193548387096775</v>
      </c>
      <c r="G28" s="164">
        <f t="shared" si="7"/>
        <v>0.66129032258064524</v>
      </c>
      <c r="H28" s="164">
        <f t="shared" si="7"/>
        <v>0.58064516129032251</v>
      </c>
      <c r="I28" s="164">
        <f>$B$28*I29</f>
        <v>0.5</v>
      </c>
      <c r="J28" s="297" t="s">
        <v>365</v>
      </c>
      <c r="K28" t="s">
        <v>427</v>
      </c>
      <c r="M28" s="30" t="s">
        <v>359</v>
      </c>
      <c r="N28" s="30"/>
      <c r="O28" s="30"/>
      <c r="P28" s="30"/>
      <c r="Q28" s="30"/>
      <c r="R28" s="30"/>
      <c r="S28" s="30"/>
      <c r="T28" s="30"/>
      <c r="U28" s="30"/>
    </row>
    <row r="29" spans="1:21" s="353" customFormat="1">
      <c r="A29" s="30" t="s">
        <v>480</v>
      </c>
      <c r="B29" s="164">
        <v>1</v>
      </c>
      <c r="C29" s="164">
        <f>$B29+($I29-$B29)*1/31</f>
        <v>0.9838709677419355</v>
      </c>
      <c r="D29" s="164">
        <f>$B29+($I29-$B29)*6/31</f>
        <v>0.90322580645161288</v>
      </c>
      <c r="E29" s="164">
        <f>$B29+($I29-$B29)*11/31</f>
        <v>0.82258064516129026</v>
      </c>
      <c r="F29" s="164">
        <f>$B29+($I29-$B29)*16/31</f>
        <v>0.74193548387096775</v>
      </c>
      <c r="G29" s="164">
        <f>$B29+($I29-$B29)*21/31</f>
        <v>0.66129032258064524</v>
      </c>
      <c r="H29" s="164">
        <f>$B29+($I29-$B29)*26/31</f>
        <v>0.58064516129032251</v>
      </c>
      <c r="I29" s="164">
        <v>0.5</v>
      </c>
      <c r="J29" s="297"/>
      <c r="M29" s="30"/>
      <c r="N29" s="30"/>
      <c r="O29" s="30"/>
      <c r="P29" s="30"/>
      <c r="Q29" s="30"/>
      <c r="R29" s="30"/>
      <c r="S29" s="30"/>
      <c r="T29" s="30"/>
      <c r="U29" s="30"/>
    </row>
    <row r="30" spans="1:21">
      <c r="A30" s="1" t="s">
        <v>359</v>
      </c>
      <c r="B30" s="164">
        <f>B18</f>
        <v>1</v>
      </c>
      <c r="C30" s="164">
        <f t="shared" ref="C30:I30" si="8">C18</f>
        <v>1</v>
      </c>
      <c r="D30" s="164">
        <f t="shared" si="8"/>
        <v>0.97267292912040992</v>
      </c>
      <c r="E30" s="164">
        <f t="shared" si="8"/>
        <v>0.95900939368061477</v>
      </c>
      <c r="F30" s="164">
        <f t="shared" si="8"/>
        <v>0.95900939368061477</v>
      </c>
      <c r="G30" s="164">
        <f t="shared" si="8"/>
        <v>0.96669513236549953</v>
      </c>
      <c r="H30" s="164">
        <f t="shared" si="8"/>
        <v>0.97181895815542285</v>
      </c>
      <c r="I30" s="164">
        <f t="shared" si="8"/>
        <v>0.96925704526046108</v>
      </c>
      <c r="J30" s="297" t="s">
        <v>233</v>
      </c>
      <c r="K30" t="s">
        <v>427</v>
      </c>
      <c r="M30" s="30" t="s">
        <v>362</v>
      </c>
      <c r="N30" s="30">
        <v>16.3</v>
      </c>
      <c r="O30" s="30"/>
      <c r="P30" s="30"/>
      <c r="Q30" s="30"/>
      <c r="R30" s="30"/>
      <c r="S30" s="30"/>
      <c r="T30" s="30"/>
      <c r="U30" s="30">
        <v>8.15</v>
      </c>
    </row>
    <row r="31" spans="1:21">
      <c r="A31" s="1" t="s">
        <v>369</v>
      </c>
      <c r="B31" s="30">
        <v>1</v>
      </c>
      <c r="C31" s="164">
        <f>$B31+($I31-$B31)*1/31</f>
        <v>0.99354838709677418</v>
      </c>
      <c r="D31" s="164">
        <f>$B31+($I31-$B31)*6/31</f>
        <v>0.96129032258064517</v>
      </c>
      <c r="E31" s="164">
        <f>$B31+($I31-$B31)*11/31</f>
        <v>0.92903225806451617</v>
      </c>
      <c r="F31" s="164">
        <f>$B31+($I31-$B31)*16/31</f>
        <v>0.89677419354838717</v>
      </c>
      <c r="G31" s="164">
        <f>$B31+($I31-$B31)*21/31</f>
        <v>0.86451612903225805</v>
      </c>
      <c r="H31" s="164">
        <f>$B31+($I31-$B31)*26/31</f>
        <v>0.83225806451612905</v>
      </c>
      <c r="I31" s="164">
        <v>0.8</v>
      </c>
      <c r="J31" s="297"/>
      <c r="K31" t="s">
        <v>427</v>
      </c>
      <c r="M31" s="30" t="s">
        <v>363</v>
      </c>
      <c r="N31" s="30">
        <v>407.5</v>
      </c>
      <c r="O31" s="30"/>
      <c r="P31" s="30"/>
      <c r="Q31" s="30"/>
      <c r="R31" s="30"/>
      <c r="S31" s="30"/>
      <c r="T31" s="30"/>
      <c r="U31" s="30">
        <v>203.75</v>
      </c>
    </row>
    <row r="32" spans="1:21">
      <c r="A32" s="1" t="s">
        <v>362</v>
      </c>
      <c r="B32" s="164">
        <f>K8</f>
        <v>8.7031706479010443E-2</v>
      </c>
      <c r="C32" s="164">
        <f t="shared" ref="C32:H32" si="9">$B$32*C31*C30*C29</f>
        <v>8.5075530766266824E-2</v>
      </c>
      <c r="D32" s="164">
        <f t="shared" si="9"/>
        <v>7.3501336455009517E-2</v>
      </c>
      <c r="E32" s="164">
        <f t="shared" si="9"/>
        <v>6.3783690063174359E-2</v>
      </c>
      <c r="F32" s="164">
        <f t="shared" si="9"/>
        <v>5.5532804229838896E-2</v>
      </c>
      <c r="G32" s="164">
        <f t="shared" si="9"/>
        <v>4.8098584788645621E-2</v>
      </c>
      <c r="H32" s="164">
        <f t="shared" si="9"/>
        <v>4.0872545827240245E-2</v>
      </c>
      <c r="I32" s="164">
        <f>$B$32*I31*I30*I29</f>
        <v>3.3742437866328558E-2</v>
      </c>
      <c r="J32" s="297" t="s">
        <v>366</v>
      </c>
      <c r="K32" t="s">
        <v>427</v>
      </c>
      <c r="M32" s="30" t="s">
        <v>367</v>
      </c>
      <c r="N32" s="30">
        <f>SUM(N30:N31)</f>
        <v>423.8</v>
      </c>
      <c r="O32" s="30"/>
      <c r="P32" s="30"/>
      <c r="Q32" s="30"/>
      <c r="R32" s="30"/>
      <c r="S32" s="30"/>
      <c r="T32" s="30"/>
      <c r="U32" s="30">
        <f>SUM(U30:U31)</f>
        <v>211.9</v>
      </c>
    </row>
    <row r="33" spans="1:11">
      <c r="A33" s="1" t="s">
        <v>363</v>
      </c>
      <c r="B33" s="164">
        <f>K9</f>
        <v>2.1757926619752612</v>
      </c>
      <c r="C33" s="164">
        <f t="shared" ref="C33:I33" si="10">C32*25</f>
        <v>2.1268882691566704</v>
      </c>
      <c r="D33" s="164">
        <f t="shared" si="10"/>
        <v>1.837533411375238</v>
      </c>
      <c r="E33" s="164">
        <f t="shared" si="10"/>
        <v>1.5945922515793589</v>
      </c>
      <c r="F33" s="164">
        <f t="shared" si="10"/>
        <v>1.3883201057459724</v>
      </c>
      <c r="G33" s="164">
        <f t="shared" si="10"/>
        <v>1.2024646197161406</v>
      </c>
      <c r="H33" s="164">
        <f t="shared" si="10"/>
        <v>1.0218136456810061</v>
      </c>
      <c r="I33" s="164">
        <f t="shared" si="10"/>
        <v>0.84356094665821391</v>
      </c>
      <c r="J33" s="297"/>
      <c r="K33" t="s">
        <v>427</v>
      </c>
    </row>
    <row r="34" spans="1:11">
      <c r="A34" s="1" t="s">
        <v>364</v>
      </c>
      <c r="B34" s="164">
        <f>K10</f>
        <v>2.385381346123181</v>
      </c>
      <c r="C34" s="164">
        <f t="shared" ref="C34:I34" si="11">C33*$L11</f>
        <v>2.4022835983252371</v>
      </c>
      <c r="D34" s="164">
        <f t="shared" si="11"/>
        <v>2.0754622795825819</v>
      </c>
      <c r="E34" s="164">
        <f t="shared" si="11"/>
        <v>1.8010644317975835</v>
      </c>
      <c r="F34" s="164">
        <f t="shared" si="11"/>
        <v>1.5680836025209355</v>
      </c>
      <c r="G34" s="164">
        <f t="shared" si="11"/>
        <v>1.3581630381815295</v>
      </c>
      <c r="H34" s="164">
        <f t="shared" si="11"/>
        <v>1.1541208803308227</v>
      </c>
      <c r="I34" s="164">
        <f t="shared" si="11"/>
        <v>0.95278753272180661</v>
      </c>
      <c r="J34" s="297" t="s">
        <v>421</v>
      </c>
      <c r="K34" t="s">
        <v>427</v>
      </c>
    </row>
    <row r="35" spans="1:11">
      <c r="A35" s="30" t="s">
        <v>360</v>
      </c>
      <c r="B35" s="164">
        <f>K7</f>
        <v>0</v>
      </c>
      <c r="C35" s="164">
        <f t="shared" ref="C35:H35" si="12">C33/C28</f>
        <v>2.1617552899625174</v>
      </c>
      <c r="D35" s="164">
        <f t="shared" si="12"/>
        <v>2.0344119911654421</v>
      </c>
      <c r="E35" s="164">
        <f t="shared" si="12"/>
        <v>1.938523913684711</v>
      </c>
      <c r="F35" s="164">
        <f t="shared" si="12"/>
        <v>1.8712140555706585</v>
      </c>
      <c r="G35" s="164">
        <f t="shared" si="12"/>
        <v>1.8183611322536759</v>
      </c>
      <c r="H35" s="164">
        <f t="shared" si="12"/>
        <v>1.7597901675617329</v>
      </c>
      <c r="I35" s="164">
        <f>I33/I28</f>
        <v>1.6871218933164278</v>
      </c>
      <c r="J35" s="297"/>
      <c r="K35" t="s">
        <v>427</v>
      </c>
    </row>
    <row r="36" spans="1:11">
      <c r="A36" s="541" t="s">
        <v>426</v>
      </c>
      <c r="B36" s="541"/>
      <c r="C36" s="541"/>
      <c r="D36" s="541"/>
      <c r="E36" s="541"/>
      <c r="F36" s="541"/>
      <c r="G36" s="541"/>
      <c r="H36" s="541"/>
      <c r="I36" s="541"/>
      <c r="J36" s="541"/>
    </row>
  </sheetData>
  <mergeCells count="7">
    <mergeCell ref="A36:J36"/>
    <mergeCell ref="A2:I2"/>
    <mergeCell ref="A13:I13"/>
    <mergeCell ref="M13:U13"/>
    <mergeCell ref="M23:U23"/>
    <mergeCell ref="A25:I25"/>
    <mergeCell ref="A23:J2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2:AO34"/>
  <sheetViews>
    <sheetView zoomScaleNormal="100" workbookViewId="0">
      <selection activeCell="A8" sqref="A8"/>
    </sheetView>
  </sheetViews>
  <sheetFormatPr baseColWidth="10" defaultColWidth="8.88671875" defaultRowHeight="14.4"/>
  <cols>
    <col min="1" max="1025" width="10.44140625" customWidth="1"/>
  </cols>
  <sheetData>
    <row r="2" spans="1:35">
      <c r="A2" s="543" t="s">
        <v>86</v>
      </c>
      <c r="B2" s="543"/>
      <c r="C2" s="543"/>
      <c r="D2" s="543"/>
      <c r="E2" s="543"/>
      <c r="F2" s="543"/>
      <c r="G2" s="543"/>
      <c r="H2" s="543"/>
      <c r="I2" s="543"/>
      <c r="J2" s="543"/>
      <c r="K2" s="543"/>
    </row>
    <row r="4" spans="1:35" ht="18">
      <c r="A4" s="46" t="s">
        <v>87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</row>
    <row r="5" spans="1:35" ht="84">
      <c r="A5" s="48" t="s">
        <v>88</v>
      </c>
      <c r="B5" s="49">
        <v>1990</v>
      </c>
      <c r="C5" s="49">
        <v>1991</v>
      </c>
      <c r="D5" s="49">
        <v>1992</v>
      </c>
      <c r="E5" s="49">
        <v>1993</v>
      </c>
      <c r="F5" s="49">
        <v>1994</v>
      </c>
      <c r="G5" s="49">
        <v>1995</v>
      </c>
      <c r="H5" s="49">
        <v>1996</v>
      </c>
      <c r="I5" s="49">
        <v>1997</v>
      </c>
      <c r="J5" s="49">
        <v>1998</v>
      </c>
      <c r="K5" s="49">
        <v>1999</v>
      </c>
      <c r="L5" s="49">
        <v>2000</v>
      </c>
      <c r="M5" s="49">
        <v>2001</v>
      </c>
      <c r="N5" s="49">
        <v>2002</v>
      </c>
      <c r="O5" s="49">
        <v>2003</v>
      </c>
      <c r="P5" s="49">
        <v>2004</v>
      </c>
      <c r="Q5" s="49">
        <v>2005</v>
      </c>
      <c r="R5" s="49">
        <v>2006</v>
      </c>
      <c r="S5" s="49">
        <v>2007</v>
      </c>
      <c r="T5" s="49">
        <v>2008</v>
      </c>
      <c r="U5" s="49">
        <v>2009</v>
      </c>
      <c r="V5" s="49">
        <v>2010</v>
      </c>
      <c r="W5" s="49">
        <v>2011</v>
      </c>
      <c r="X5" s="49">
        <v>2012</v>
      </c>
      <c r="Y5" s="49">
        <v>2013</v>
      </c>
      <c r="Z5" s="49">
        <v>2014</v>
      </c>
      <c r="AA5" s="49">
        <v>2015</v>
      </c>
      <c r="AB5" s="49">
        <v>2016</v>
      </c>
      <c r="AC5" s="49">
        <v>2017</v>
      </c>
      <c r="AD5" s="49">
        <v>2018</v>
      </c>
      <c r="AE5" s="49">
        <v>2019</v>
      </c>
      <c r="AF5" s="50"/>
      <c r="AG5" s="51" t="s">
        <v>89</v>
      </c>
      <c r="AH5" s="52" t="s">
        <v>90</v>
      </c>
      <c r="AI5" s="52" t="s">
        <v>91</v>
      </c>
    </row>
    <row r="6" spans="1:35">
      <c r="A6" s="53" t="s">
        <v>92</v>
      </c>
      <c r="B6" s="362">
        <v>4.8578255884457828</v>
      </c>
      <c r="C6" s="362">
        <v>5.5565812972902009</v>
      </c>
      <c r="D6" s="362">
        <v>6.5787796864717292</v>
      </c>
      <c r="E6" s="362">
        <v>7.6946288013674442</v>
      </c>
      <c r="F6" s="362">
        <v>7.7372752111797931</v>
      </c>
      <c r="G6" s="362">
        <v>8.6463940659936416</v>
      </c>
      <c r="H6" s="362">
        <v>9.4346914148283378</v>
      </c>
      <c r="I6" s="362">
        <v>9.5107924249153637</v>
      </c>
      <c r="J6" s="362">
        <v>10.877352803359971</v>
      </c>
      <c r="K6" s="362">
        <v>11.291997590153567</v>
      </c>
      <c r="L6" s="362">
        <v>12.650492625950381</v>
      </c>
      <c r="M6" s="362">
        <v>14.087428604380294</v>
      </c>
      <c r="N6" s="362">
        <v>14.104495243715226</v>
      </c>
      <c r="O6" s="362">
        <v>14.104121940537837</v>
      </c>
      <c r="P6" s="362">
        <v>15.16882649183397</v>
      </c>
      <c r="Q6" s="362">
        <v>16.129616443015014</v>
      </c>
      <c r="R6" s="362">
        <v>14.694567002784886</v>
      </c>
      <c r="S6" s="362">
        <v>14.066794196549925</v>
      </c>
      <c r="T6" s="362">
        <v>14.108036643453786</v>
      </c>
      <c r="U6" s="362">
        <v>13.948138381139021</v>
      </c>
      <c r="V6" s="362">
        <v>13.754735975155326</v>
      </c>
      <c r="W6" s="362">
        <v>13.689529505448601</v>
      </c>
      <c r="X6" s="362">
        <v>13.101966212298054</v>
      </c>
      <c r="Y6" s="362">
        <v>13.062317585731668</v>
      </c>
      <c r="Z6" s="362">
        <v>12.866413937083083</v>
      </c>
      <c r="AA6" s="362">
        <v>12.717001069925953</v>
      </c>
      <c r="AB6" s="362">
        <v>13.940518987437338</v>
      </c>
      <c r="AC6" s="362">
        <v>13.586077315589911</v>
      </c>
      <c r="AD6" s="362">
        <v>13.874626765760262</v>
      </c>
      <c r="AE6" s="362">
        <v>14.381501382476443</v>
      </c>
      <c r="AF6" s="363"/>
      <c r="AG6" s="361" t="s">
        <v>92</v>
      </c>
      <c r="AH6" s="372">
        <v>1.9604812113227132</v>
      </c>
      <c r="AI6" s="372">
        <v>3.6532486622778547E-2</v>
      </c>
    </row>
    <row r="7" spans="1:35">
      <c r="A7" s="53" t="s">
        <v>93</v>
      </c>
      <c r="B7" s="362">
        <v>0</v>
      </c>
      <c r="C7" s="362">
        <v>0</v>
      </c>
      <c r="D7" s="362">
        <v>0</v>
      </c>
      <c r="E7" s="362">
        <v>0</v>
      </c>
      <c r="F7" s="362">
        <v>0</v>
      </c>
      <c r="G7" s="362">
        <v>0</v>
      </c>
      <c r="H7" s="362">
        <v>0</v>
      </c>
      <c r="I7" s="362">
        <v>0</v>
      </c>
      <c r="J7" s="362">
        <v>0</v>
      </c>
      <c r="K7" s="362">
        <v>0</v>
      </c>
      <c r="L7" s="362">
        <v>0</v>
      </c>
      <c r="M7" s="362">
        <v>0</v>
      </c>
      <c r="N7" s="362">
        <v>0</v>
      </c>
      <c r="O7" s="362">
        <v>0</v>
      </c>
      <c r="P7" s="362">
        <v>0</v>
      </c>
      <c r="Q7" s="362">
        <v>0</v>
      </c>
      <c r="R7" s="362">
        <v>0</v>
      </c>
      <c r="S7" s="362">
        <v>0</v>
      </c>
      <c r="T7" s="362">
        <v>0</v>
      </c>
      <c r="U7" s="362">
        <v>0</v>
      </c>
      <c r="V7" s="362">
        <v>0</v>
      </c>
      <c r="W7" s="362">
        <v>0</v>
      </c>
      <c r="X7" s="362">
        <v>0</v>
      </c>
      <c r="Y7" s="362">
        <v>0</v>
      </c>
      <c r="Z7" s="362">
        <v>0</v>
      </c>
      <c r="AA7" s="362">
        <v>0</v>
      </c>
      <c r="AB7" s="362">
        <v>0</v>
      </c>
      <c r="AC7" s="362">
        <v>0</v>
      </c>
      <c r="AD7" s="362">
        <v>0</v>
      </c>
      <c r="AE7" s="362">
        <v>0</v>
      </c>
      <c r="AF7" s="363"/>
      <c r="AG7" s="364" t="s">
        <v>93</v>
      </c>
      <c r="AH7" s="372">
        <v>0</v>
      </c>
      <c r="AI7" s="372">
        <v>0</v>
      </c>
    </row>
    <row r="8" spans="1:35">
      <c r="A8" s="53" t="s">
        <v>94</v>
      </c>
      <c r="B8" s="362">
        <v>1.6550914369810905</v>
      </c>
      <c r="C8" s="362">
        <v>1.6628364727931466</v>
      </c>
      <c r="D8" s="362">
        <v>1.689654096110432</v>
      </c>
      <c r="E8" s="362">
        <v>1.7150593106229408</v>
      </c>
      <c r="F8" s="362">
        <v>1.4166972482370965</v>
      </c>
      <c r="G8" s="362">
        <v>1.4921908764666449</v>
      </c>
      <c r="H8" s="362">
        <v>1.5478973654126376</v>
      </c>
      <c r="I8" s="362">
        <v>1.5884257940640583</v>
      </c>
      <c r="J8" s="362">
        <v>1.618495983491046</v>
      </c>
      <c r="K8" s="362">
        <v>1.6447251179397329</v>
      </c>
      <c r="L8" s="362">
        <v>1.6655532210830477</v>
      </c>
      <c r="M8" s="362">
        <v>1.6865897460818107</v>
      </c>
      <c r="N8" s="362">
        <v>1.7027380556370424</v>
      </c>
      <c r="O8" s="362">
        <v>1.7441345813714033</v>
      </c>
      <c r="P8" s="362">
        <v>1.7609398621646246</v>
      </c>
      <c r="Q8" s="362">
        <v>1.7399131587557994</v>
      </c>
      <c r="R8" s="362">
        <v>1.7184772324308988</v>
      </c>
      <c r="S8" s="362">
        <v>1.679188242055764</v>
      </c>
      <c r="T8" s="362">
        <v>1.5798237897426399</v>
      </c>
      <c r="U8" s="362">
        <v>1.6406426020365699</v>
      </c>
      <c r="V8" s="362">
        <v>1.7409554762229273</v>
      </c>
      <c r="W8" s="362">
        <v>1.7940336581354066</v>
      </c>
      <c r="X8" s="362">
        <v>1.8455400697821174</v>
      </c>
      <c r="Y8" s="362">
        <v>1.86861262014018</v>
      </c>
      <c r="Z8" s="362">
        <v>1.7778413460160016</v>
      </c>
      <c r="AA8" s="362">
        <v>1.913324467307723</v>
      </c>
      <c r="AB8" s="362">
        <v>2.0584951477366293</v>
      </c>
      <c r="AC8" s="362">
        <v>2.1122506568634889</v>
      </c>
      <c r="AD8" s="362">
        <v>2.2291161964376238</v>
      </c>
      <c r="AE8" s="362">
        <v>2.385381346123181</v>
      </c>
      <c r="AF8" s="363"/>
      <c r="AG8" s="365" t="s">
        <v>94</v>
      </c>
      <c r="AH8" s="372">
        <v>0.44123840702973444</v>
      </c>
      <c r="AI8" s="372">
        <v>7.0101841229849873E-2</v>
      </c>
    </row>
    <row r="9" spans="1:35">
      <c r="A9" s="53" t="s">
        <v>95</v>
      </c>
      <c r="B9" s="362">
        <v>2.4081645668150617</v>
      </c>
      <c r="C9" s="362">
        <v>2.417145975285468</v>
      </c>
      <c r="D9" s="362">
        <v>2.4261282476085135</v>
      </c>
      <c r="E9" s="362">
        <v>2.4278531688875669</v>
      </c>
      <c r="F9" s="362">
        <v>2.4817938983576862</v>
      </c>
      <c r="G9" s="362">
        <v>2.7088394859654659</v>
      </c>
      <c r="H9" s="362">
        <v>2.9322301065084702</v>
      </c>
      <c r="I9" s="362">
        <v>2.9669657742385946</v>
      </c>
      <c r="J9" s="362">
        <v>3.0235652454346651</v>
      </c>
      <c r="K9" s="362">
        <v>3.038572291298018</v>
      </c>
      <c r="L9" s="362">
        <v>3.0130771673585306</v>
      </c>
      <c r="M9" s="362">
        <v>3.0248072331795886</v>
      </c>
      <c r="N9" s="362">
        <v>3.0261359600253606</v>
      </c>
      <c r="O9" s="362">
        <v>3.1443223715163047</v>
      </c>
      <c r="P9" s="362">
        <v>3.4776200588011621</v>
      </c>
      <c r="Q9" s="362">
        <v>3.0674594712634184</v>
      </c>
      <c r="R9" s="362">
        <v>3.0267827332300277</v>
      </c>
      <c r="S9" s="362">
        <v>3.0212076397964829</v>
      </c>
      <c r="T9" s="362">
        <v>2.9904229150073438</v>
      </c>
      <c r="U9" s="362">
        <v>3.1826270746706991</v>
      </c>
      <c r="V9" s="362">
        <v>3.3131256653461221</v>
      </c>
      <c r="W9" s="362">
        <v>3.2368827830373146</v>
      </c>
      <c r="X9" s="362">
        <v>3.1979512009221573</v>
      </c>
      <c r="Y9" s="362">
        <v>3.1032115606710526</v>
      </c>
      <c r="Z9" s="362">
        <v>3.0364878465491771</v>
      </c>
      <c r="AA9" s="362">
        <v>3.0983881389478398</v>
      </c>
      <c r="AB9" s="362">
        <v>3.1963953308452311</v>
      </c>
      <c r="AC9" s="362">
        <v>3.2414587586755554</v>
      </c>
      <c r="AD9" s="362">
        <v>2.9377910869916248</v>
      </c>
      <c r="AE9" s="362">
        <v>2.9028835112437656</v>
      </c>
      <c r="AF9" s="363"/>
      <c r="AG9" s="366" t="s">
        <v>96</v>
      </c>
      <c r="AH9" s="372">
        <v>0.20543402691245416</v>
      </c>
      <c r="AI9" s="372">
        <v>-1.1882252588493439E-2</v>
      </c>
    </row>
    <row r="10" spans="1:35">
      <c r="A10" s="53" t="s">
        <v>4</v>
      </c>
      <c r="B10" s="362">
        <v>3.1945354329066258</v>
      </c>
      <c r="C10" s="362">
        <v>3.5484578850195212</v>
      </c>
      <c r="D10" s="362">
        <v>3.9390766877920176</v>
      </c>
      <c r="E10" s="362">
        <v>4.9350513697285798</v>
      </c>
      <c r="F10" s="362">
        <v>5.9532952874648881</v>
      </c>
      <c r="G10" s="362">
        <v>6.9893531602522234</v>
      </c>
      <c r="H10" s="362">
        <v>8.0922150094067664</v>
      </c>
      <c r="I10" s="362">
        <v>8.4326644537964786</v>
      </c>
      <c r="J10" s="362">
        <v>8.8952404790129496</v>
      </c>
      <c r="K10" s="362">
        <v>9.1790267679515427</v>
      </c>
      <c r="L10" s="362">
        <v>9.9232035520026844</v>
      </c>
      <c r="M10" s="362">
        <v>10.715819414772724</v>
      </c>
      <c r="N10" s="362">
        <v>10.713859805665523</v>
      </c>
      <c r="O10" s="362">
        <v>10.632460618942053</v>
      </c>
      <c r="P10" s="362">
        <v>10.512961462398396</v>
      </c>
      <c r="Q10" s="362">
        <v>10.288310460091397</v>
      </c>
      <c r="R10" s="362">
        <v>10.152137096690216</v>
      </c>
      <c r="S10" s="362">
        <v>10.038595796863239</v>
      </c>
      <c r="T10" s="362">
        <v>9.8795528153013663</v>
      </c>
      <c r="U10" s="362">
        <v>9.6995019198088883</v>
      </c>
      <c r="V10" s="362">
        <v>9.4774486299116187</v>
      </c>
      <c r="W10" s="362">
        <v>9.3191837550700658</v>
      </c>
      <c r="X10" s="362">
        <v>9.112666695113635</v>
      </c>
      <c r="Y10" s="362">
        <v>8.8903561123349206</v>
      </c>
      <c r="Z10" s="362">
        <v>8.7445974634715036</v>
      </c>
      <c r="AA10" s="362">
        <v>8.9117526338226725</v>
      </c>
      <c r="AB10" s="362">
        <v>9.2766322807060213</v>
      </c>
      <c r="AC10" s="362">
        <v>9.0496983268450659</v>
      </c>
      <c r="AD10" s="362">
        <v>8.9081152282066309</v>
      </c>
      <c r="AE10" s="362">
        <v>8.9123250964093224</v>
      </c>
      <c r="AF10" s="363"/>
      <c r="AG10" s="367" t="s">
        <v>4</v>
      </c>
      <c r="AH10" s="372">
        <v>1.7898657828629017</v>
      </c>
      <c r="AI10" s="372">
        <v>4.7258798240073385E-4</v>
      </c>
    </row>
    <row r="11" spans="1:35">
      <c r="A11" s="53" t="s">
        <v>97</v>
      </c>
      <c r="B11" s="362">
        <v>9.0132348715174579</v>
      </c>
      <c r="C11" s="362">
        <v>9.1676289332945124</v>
      </c>
      <c r="D11" s="362">
        <v>9.4008187458584729</v>
      </c>
      <c r="E11" s="362">
        <v>10.389884371545044</v>
      </c>
      <c r="F11" s="362">
        <v>9.9161735417393206</v>
      </c>
      <c r="G11" s="362">
        <v>9.8951504599009574</v>
      </c>
      <c r="H11" s="362">
        <v>10.353090418067952</v>
      </c>
      <c r="I11" s="362">
        <v>9.8023237082109258</v>
      </c>
      <c r="J11" s="362">
        <v>9.0338509190469676</v>
      </c>
      <c r="K11" s="362">
        <v>12.259940996890506</v>
      </c>
      <c r="L11" s="362">
        <v>13.835334665030594</v>
      </c>
      <c r="M11" s="362">
        <v>12.343902303777426</v>
      </c>
      <c r="N11" s="362">
        <v>12.966363287044594</v>
      </c>
      <c r="O11" s="362">
        <v>12.967222225810584</v>
      </c>
      <c r="P11" s="362">
        <v>13.227333734010077</v>
      </c>
      <c r="Q11" s="362">
        <v>12.887024160666327</v>
      </c>
      <c r="R11" s="362">
        <v>13.541968254322487</v>
      </c>
      <c r="S11" s="362">
        <v>14.055323945731086</v>
      </c>
      <c r="T11" s="362">
        <v>15.356320699839317</v>
      </c>
      <c r="U11" s="362">
        <v>13.249155802440759</v>
      </c>
      <c r="V11" s="362">
        <v>13.442337262281185</v>
      </c>
      <c r="W11" s="362">
        <v>13.361150545285167</v>
      </c>
      <c r="X11" s="362">
        <v>13.143345581693405</v>
      </c>
      <c r="Y11" s="362">
        <v>12.1166249902118</v>
      </c>
      <c r="Z11" s="362">
        <v>11.817530003541787</v>
      </c>
      <c r="AA11" s="362">
        <v>11.73772523753936</v>
      </c>
      <c r="AB11" s="362">
        <v>11.930393772484278</v>
      </c>
      <c r="AC11" s="362">
        <v>11.557050331178557</v>
      </c>
      <c r="AD11" s="362">
        <v>11.734461559178474</v>
      </c>
      <c r="AE11" s="362">
        <v>12.829642288803575</v>
      </c>
      <c r="AF11" s="363"/>
      <c r="AG11" s="371" t="s">
        <v>97</v>
      </c>
      <c r="AH11" s="372">
        <v>0.42342260816327654</v>
      </c>
      <c r="AI11" s="372">
        <v>9.3330292498037218E-2</v>
      </c>
    </row>
    <row r="12" spans="1:35">
      <c r="A12" s="54" t="s">
        <v>98</v>
      </c>
      <c r="B12" s="373">
        <v>0.40554873010673592</v>
      </c>
      <c r="C12" s="373">
        <v>0.40865538141872532</v>
      </c>
      <c r="D12" s="373">
        <v>0.43821262186174936</v>
      </c>
      <c r="E12" s="373">
        <v>0.35040096590319114</v>
      </c>
      <c r="F12" s="373">
        <v>0.36503998603375104</v>
      </c>
      <c r="G12" s="373">
        <v>0.42282378377111085</v>
      </c>
      <c r="H12" s="373">
        <v>0.18668432822710482</v>
      </c>
      <c r="I12" s="373">
        <v>0.13526369180588446</v>
      </c>
      <c r="J12" s="373">
        <v>0.1483000880552274</v>
      </c>
      <c r="K12" s="373">
        <v>3.439713339342635E-2</v>
      </c>
      <c r="L12" s="373">
        <v>0.30866201929267018</v>
      </c>
      <c r="M12" s="373">
        <v>0.37897105030992534</v>
      </c>
      <c r="N12" s="373">
        <v>0.38177731319246455</v>
      </c>
      <c r="O12" s="373">
        <v>0.56054207823802027</v>
      </c>
      <c r="P12" s="373">
        <v>0.55651349121776494</v>
      </c>
      <c r="Q12" s="373">
        <v>0.5418899643906776</v>
      </c>
      <c r="R12" s="373">
        <v>0.54991001768555303</v>
      </c>
      <c r="S12" s="373">
        <v>0.16137764692236489</v>
      </c>
      <c r="T12" s="373">
        <v>0.57412766002816928</v>
      </c>
      <c r="U12" s="373">
        <v>0.66381553230327439</v>
      </c>
      <c r="V12" s="373">
        <v>0.72581603298601205</v>
      </c>
      <c r="W12" s="373">
        <v>0.63836762903919886</v>
      </c>
      <c r="X12" s="373">
        <v>0.54208962984327658</v>
      </c>
      <c r="Y12" s="373">
        <v>0.58984150212842834</v>
      </c>
      <c r="Z12" s="373">
        <v>0.55826675522564684</v>
      </c>
      <c r="AA12" s="373">
        <v>0.52595130832005188</v>
      </c>
      <c r="AB12" s="373">
        <v>0.53387982185368699</v>
      </c>
      <c r="AC12" s="373">
        <v>0.5153884397549936</v>
      </c>
      <c r="AD12" s="373">
        <v>0.53170139119474369</v>
      </c>
      <c r="AE12" s="373">
        <v>0.38747546566238739</v>
      </c>
      <c r="AF12" s="369"/>
      <c r="AG12" s="368" t="s">
        <v>98</v>
      </c>
      <c r="AH12" s="370">
        <v>-4.456496372110906E-2</v>
      </c>
      <c r="AI12" s="370">
        <v>-0.27125361701288342</v>
      </c>
    </row>
    <row r="13" spans="1:35">
      <c r="A13" s="55" t="s">
        <v>99</v>
      </c>
      <c r="B13" s="379">
        <v>21.128851896666021</v>
      </c>
      <c r="C13" s="379">
        <v>22.35265056368285</v>
      </c>
      <c r="D13" s="379">
        <v>24.034457463841164</v>
      </c>
      <c r="E13" s="379">
        <v>27.162477022151574</v>
      </c>
      <c r="F13" s="379">
        <v>27.505235186978787</v>
      </c>
      <c r="G13" s="379">
        <v>29.731928048578933</v>
      </c>
      <c r="H13" s="379">
        <v>32.360124314224166</v>
      </c>
      <c r="I13" s="379">
        <v>32.301172155225423</v>
      </c>
      <c r="J13" s="379">
        <v>33.448505430345598</v>
      </c>
      <c r="K13" s="379">
        <v>37.414262764233364</v>
      </c>
      <c r="L13" s="379">
        <v>41.087661231425237</v>
      </c>
      <c r="M13" s="379">
        <v>41.858547302191845</v>
      </c>
      <c r="N13" s="379">
        <v>42.513592352087741</v>
      </c>
      <c r="O13" s="379">
        <v>42.592261738178181</v>
      </c>
      <c r="P13" s="379">
        <v>44.147681609208234</v>
      </c>
      <c r="Q13" s="379">
        <v>44.112323693791957</v>
      </c>
      <c r="R13" s="379">
        <v>43.133932319458523</v>
      </c>
      <c r="S13" s="379">
        <v>42.861109820996504</v>
      </c>
      <c r="T13" s="379">
        <v>43.914156863344452</v>
      </c>
      <c r="U13" s="379">
        <v>41.720065780095936</v>
      </c>
      <c r="V13" s="379">
        <v>41.728603008917176</v>
      </c>
      <c r="W13" s="379">
        <v>41.400780246976552</v>
      </c>
      <c r="X13" s="379">
        <v>40.401469759809366</v>
      </c>
      <c r="Y13" s="379">
        <v>39.041122869089619</v>
      </c>
      <c r="Z13" s="379">
        <v>38.242870596661554</v>
      </c>
      <c r="AA13" s="379">
        <v>38.378191547543544</v>
      </c>
      <c r="AB13" s="379">
        <v>40.402435519209497</v>
      </c>
      <c r="AC13" s="379">
        <v>39.546535389152581</v>
      </c>
      <c r="AD13" s="379">
        <v>39.684110836574618</v>
      </c>
      <c r="AE13" s="379">
        <v>41.411733625056286</v>
      </c>
      <c r="AF13" s="363"/>
      <c r="AG13" s="374" t="s">
        <v>99</v>
      </c>
      <c r="AH13" s="378">
        <v>0.95996137544940419</v>
      </c>
      <c r="AI13" s="378">
        <v>4.3534370609846565E-2</v>
      </c>
    </row>
    <row r="14" spans="1:35">
      <c r="A14" s="53" t="s">
        <v>100</v>
      </c>
      <c r="B14" s="362">
        <v>0</v>
      </c>
      <c r="C14" s="362">
        <v>0</v>
      </c>
      <c r="D14" s="362">
        <v>0</v>
      </c>
      <c r="E14" s="362">
        <v>0</v>
      </c>
      <c r="F14" s="362">
        <v>0</v>
      </c>
      <c r="G14" s="362">
        <v>0</v>
      </c>
      <c r="H14" s="362">
        <v>0</v>
      </c>
      <c r="I14" s="362">
        <v>0</v>
      </c>
      <c r="J14" s="362">
        <v>0</v>
      </c>
      <c r="K14" s="362">
        <v>0</v>
      </c>
      <c r="L14" s="362">
        <v>0</v>
      </c>
      <c r="M14" s="362">
        <v>0</v>
      </c>
      <c r="N14" s="362">
        <v>0</v>
      </c>
      <c r="O14" s="362">
        <v>0</v>
      </c>
      <c r="P14" s="362">
        <v>0</v>
      </c>
      <c r="Q14" s="362">
        <v>0</v>
      </c>
      <c r="R14" s="362">
        <v>0</v>
      </c>
      <c r="S14" s="362">
        <v>0</v>
      </c>
      <c r="T14" s="362">
        <v>0</v>
      </c>
      <c r="U14" s="362">
        <v>0</v>
      </c>
      <c r="V14" s="362">
        <v>0</v>
      </c>
      <c r="W14" s="362">
        <v>0</v>
      </c>
      <c r="X14" s="362">
        <v>0</v>
      </c>
      <c r="Y14" s="362">
        <v>0</v>
      </c>
      <c r="Z14" s="362">
        <v>0</v>
      </c>
      <c r="AA14" s="362">
        <v>0</v>
      </c>
      <c r="AB14" s="362">
        <v>0</v>
      </c>
      <c r="AC14" s="362">
        <v>0</v>
      </c>
      <c r="AD14" s="362">
        <v>0</v>
      </c>
      <c r="AE14" s="362">
        <v>0</v>
      </c>
      <c r="AF14" s="363"/>
      <c r="AG14" s="375" t="s">
        <v>100</v>
      </c>
      <c r="AH14" s="372">
        <v>0</v>
      </c>
      <c r="AI14" s="372">
        <v>0</v>
      </c>
    </row>
    <row r="15" spans="1:35">
      <c r="A15" s="54" t="s">
        <v>101</v>
      </c>
      <c r="B15" s="373">
        <v>0</v>
      </c>
      <c r="C15" s="373">
        <v>0</v>
      </c>
      <c r="D15" s="373">
        <v>0</v>
      </c>
      <c r="E15" s="373">
        <v>0</v>
      </c>
      <c r="F15" s="373">
        <v>0</v>
      </c>
      <c r="G15" s="373">
        <v>0</v>
      </c>
      <c r="H15" s="373">
        <v>0</v>
      </c>
      <c r="I15" s="373">
        <v>0</v>
      </c>
      <c r="J15" s="373">
        <v>0</v>
      </c>
      <c r="K15" s="373">
        <v>0</v>
      </c>
      <c r="L15" s="373">
        <v>0</v>
      </c>
      <c r="M15" s="373">
        <v>0</v>
      </c>
      <c r="N15" s="373">
        <v>0</v>
      </c>
      <c r="O15" s="373">
        <v>0</v>
      </c>
      <c r="P15" s="373">
        <v>0</v>
      </c>
      <c r="Q15" s="373">
        <v>0</v>
      </c>
      <c r="R15" s="373">
        <v>0</v>
      </c>
      <c r="S15" s="373">
        <v>0</v>
      </c>
      <c r="T15" s="373">
        <v>0</v>
      </c>
      <c r="U15" s="373">
        <v>0</v>
      </c>
      <c r="V15" s="373">
        <v>0</v>
      </c>
      <c r="W15" s="373">
        <v>0</v>
      </c>
      <c r="X15" s="373">
        <v>0</v>
      </c>
      <c r="Y15" s="373">
        <v>0</v>
      </c>
      <c r="Z15" s="373">
        <v>0</v>
      </c>
      <c r="AA15" s="373">
        <v>0</v>
      </c>
      <c r="AB15" s="373">
        <v>0</v>
      </c>
      <c r="AC15" s="373">
        <v>0</v>
      </c>
      <c r="AD15" s="373">
        <v>0</v>
      </c>
      <c r="AE15" s="373">
        <v>0</v>
      </c>
      <c r="AF15" s="369"/>
      <c r="AG15" s="368" t="s">
        <v>101</v>
      </c>
      <c r="AH15" s="370">
        <v>0</v>
      </c>
      <c r="AI15" s="370">
        <v>0</v>
      </c>
    </row>
    <row r="16" spans="1:35">
      <c r="A16" s="54" t="s">
        <v>102</v>
      </c>
      <c r="B16" s="373">
        <v>0</v>
      </c>
      <c r="C16" s="373">
        <v>0</v>
      </c>
      <c r="D16" s="373">
        <v>0</v>
      </c>
      <c r="E16" s="373">
        <v>0</v>
      </c>
      <c r="F16" s="373">
        <v>0</v>
      </c>
      <c r="G16" s="373">
        <v>0</v>
      </c>
      <c r="H16" s="373">
        <v>0</v>
      </c>
      <c r="I16" s="373">
        <v>0</v>
      </c>
      <c r="J16" s="373">
        <v>0</v>
      </c>
      <c r="K16" s="373">
        <v>0</v>
      </c>
      <c r="L16" s="373">
        <v>0</v>
      </c>
      <c r="M16" s="373">
        <v>0</v>
      </c>
      <c r="N16" s="373">
        <v>0</v>
      </c>
      <c r="O16" s="373">
        <v>0</v>
      </c>
      <c r="P16" s="373">
        <v>0</v>
      </c>
      <c r="Q16" s="373">
        <v>0</v>
      </c>
      <c r="R16" s="373">
        <v>0</v>
      </c>
      <c r="S16" s="373">
        <v>0</v>
      </c>
      <c r="T16" s="373">
        <v>0</v>
      </c>
      <c r="U16" s="373">
        <v>0</v>
      </c>
      <c r="V16" s="373">
        <v>0</v>
      </c>
      <c r="W16" s="373">
        <v>0</v>
      </c>
      <c r="X16" s="373">
        <v>0</v>
      </c>
      <c r="Y16" s="373">
        <v>0</v>
      </c>
      <c r="Z16" s="373">
        <v>0</v>
      </c>
      <c r="AA16" s="373">
        <v>0</v>
      </c>
      <c r="AB16" s="373">
        <v>0</v>
      </c>
      <c r="AC16" s="373">
        <v>0</v>
      </c>
      <c r="AD16" s="373">
        <v>0</v>
      </c>
      <c r="AE16" s="373">
        <v>0</v>
      </c>
      <c r="AF16" s="369"/>
      <c r="AG16" s="368" t="s">
        <v>102</v>
      </c>
      <c r="AH16" s="370">
        <v>0</v>
      </c>
      <c r="AI16" s="370">
        <v>0</v>
      </c>
    </row>
    <row r="17" spans="1:41">
      <c r="A17" s="55" t="s">
        <v>103</v>
      </c>
      <c r="B17" s="379">
        <v>21.128851896666021</v>
      </c>
      <c r="C17" s="379">
        <v>22.35265056368285</v>
      </c>
      <c r="D17" s="379">
        <v>24.034457463841164</v>
      </c>
      <c r="E17" s="379">
        <v>27.162477022151574</v>
      </c>
      <c r="F17" s="379">
        <v>27.505235186978787</v>
      </c>
      <c r="G17" s="379">
        <v>29.731928048578933</v>
      </c>
      <c r="H17" s="379">
        <v>32.360124314224166</v>
      </c>
      <c r="I17" s="379">
        <v>32.301172155225423</v>
      </c>
      <c r="J17" s="379">
        <v>33.448505430345598</v>
      </c>
      <c r="K17" s="379">
        <v>37.414262764233364</v>
      </c>
      <c r="L17" s="379">
        <v>41.087661231425237</v>
      </c>
      <c r="M17" s="379">
        <v>41.858547302191845</v>
      </c>
      <c r="N17" s="379">
        <v>42.513592352087741</v>
      </c>
      <c r="O17" s="379">
        <v>42.592261738178181</v>
      </c>
      <c r="P17" s="379">
        <v>44.147681609208234</v>
      </c>
      <c r="Q17" s="379">
        <v>44.112323693791957</v>
      </c>
      <c r="R17" s="379">
        <v>43.133932319458523</v>
      </c>
      <c r="S17" s="379">
        <v>42.861109820996504</v>
      </c>
      <c r="T17" s="379">
        <v>43.914156863344452</v>
      </c>
      <c r="U17" s="379">
        <v>41.720065780095936</v>
      </c>
      <c r="V17" s="379">
        <v>41.728603008917176</v>
      </c>
      <c r="W17" s="379">
        <v>41.400780246976552</v>
      </c>
      <c r="X17" s="379">
        <v>40.401469759809366</v>
      </c>
      <c r="Y17" s="379">
        <v>39.041122869089619</v>
      </c>
      <c r="Z17" s="379">
        <v>38.242870596661554</v>
      </c>
      <c r="AA17" s="379">
        <v>38.378191547543544</v>
      </c>
      <c r="AB17" s="379">
        <v>40.402435519209497</v>
      </c>
      <c r="AC17" s="379">
        <v>39.546535389152581</v>
      </c>
      <c r="AD17" s="379">
        <v>39.684110836574618</v>
      </c>
      <c r="AE17" s="379">
        <v>41.411733625056286</v>
      </c>
      <c r="AF17" s="376"/>
      <c r="AG17" s="377" t="s">
        <v>103</v>
      </c>
      <c r="AH17" s="378">
        <v>0.95996137544940419</v>
      </c>
      <c r="AI17" s="378">
        <v>4.3534370609846565E-2</v>
      </c>
    </row>
    <row r="18" spans="1:41">
      <c r="A18" s="54" t="s">
        <v>104</v>
      </c>
      <c r="B18" s="373">
        <v>0.40554873010673592</v>
      </c>
      <c r="C18" s="373">
        <v>0.40865538141872532</v>
      </c>
      <c r="D18" s="373">
        <v>0.43821262186174936</v>
      </c>
      <c r="E18" s="373">
        <v>0.35040096590319114</v>
      </c>
      <c r="F18" s="373">
        <v>0.36503998603375104</v>
      </c>
      <c r="G18" s="373">
        <v>0.42282378377111085</v>
      </c>
      <c r="H18" s="373">
        <v>0.18668432822710482</v>
      </c>
      <c r="I18" s="373">
        <v>0.13526369180588446</v>
      </c>
      <c r="J18" s="373">
        <v>0.1483000880552274</v>
      </c>
      <c r="K18" s="373">
        <v>3.439713339342635E-2</v>
      </c>
      <c r="L18" s="373">
        <v>0.30866201929267018</v>
      </c>
      <c r="M18" s="373">
        <v>0.37897105030992534</v>
      </c>
      <c r="N18" s="373">
        <v>0.38177731319246455</v>
      </c>
      <c r="O18" s="373">
        <v>0.56054207823802027</v>
      </c>
      <c r="P18" s="373">
        <v>0.55651349121776494</v>
      </c>
      <c r="Q18" s="373">
        <v>0.5418899643906776</v>
      </c>
      <c r="R18" s="373">
        <v>0.54991001768555303</v>
      </c>
      <c r="S18" s="373">
        <v>0.16137764692236489</v>
      </c>
      <c r="T18" s="373">
        <v>0.57412766002816928</v>
      </c>
      <c r="U18" s="373">
        <v>0.66381553230327439</v>
      </c>
      <c r="V18" s="373">
        <v>0.72581603298601205</v>
      </c>
      <c r="W18" s="373">
        <v>0.63836762903919886</v>
      </c>
      <c r="X18" s="373">
        <v>0.54208962984327658</v>
      </c>
      <c r="Y18" s="373">
        <v>0.58984150212842834</v>
      </c>
      <c r="Z18" s="373">
        <v>0.55826675522564684</v>
      </c>
      <c r="AA18" s="373">
        <v>0.52595130832005188</v>
      </c>
      <c r="AB18" s="373">
        <v>0.53387982185368699</v>
      </c>
      <c r="AC18" s="373">
        <v>0.5153884397549936</v>
      </c>
      <c r="AD18" s="373">
        <v>0.53170139119474369</v>
      </c>
      <c r="AE18" s="373">
        <v>0.38747546566238739</v>
      </c>
      <c r="AF18" s="369"/>
      <c r="AG18" s="368" t="s">
        <v>104</v>
      </c>
      <c r="AH18" s="370">
        <v>-4.456496372110906E-2</v>
      </c>
      <c r="AI18" s="370">
        <v>-0.27125361701288342</v>
      </c>
    </row>
    <row r="19" spans="1:41">
      <c r="M19" s="56" t="s">
        <v>105</v>
      </c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</row>
    <row r="20" spans="1:41">
      <c r="M20" s="56" t="s">
        <v>106</v>
      </c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</row>
    <row r="22" spans="1:41" ht="18">
      <c r="A22" s="562" t="s">
        <v>107</v>
      </c>
      <c r="B22" s="562"/>
      <c r="C22" s="562"/>
      <c r="D22" s="562"/>
      <c r="E22" s="562"/>
      <c r="F22" s="562"/>
      <c r="G22" s="562"/>
      <c r="H22" s="562"/>
      <c r="I22" s="562"/>
    </row>
    <row r="23" spans="1:41" ht="15">
      <c r="B23" s="57"/>
      <c r="C23" s="58"/>
      <c r="D23" s="58"/>
      <c r="E23" s="58"/>
      <c r="F23" s="58"/>
      <c r="G23" s="58"/>
      <c r="H23" s="58"/>
      <c r="I23" s="58"/>
    </row>
    <row r="24" spans="1:41" ht="15" customHeight="1">
      <c r="B24" s="59"/>
      <c r="C24" s="563" t="s">
        <v>108</v>
      </c>
      <c r="D24" s="563"/>
      <c r="E24" s="563"/>
      <c r="F24" s="563"/>
      <c r="G24" s="563"/>
      <c r="H24" s="60"/>
    </row>
    <row r="25" spans="1:41" ht="47.25" customHeight="1">
      <c r="B25" s="564" t="s">
        <v>109</v>
      </c>
      <c r="C25" s="61" t="s">
        <v>110</v>
      </c>
      <c r="D25" s="61" t="s">
        <v>111</v>
      </c>
      <c r="E25" s="61" t="s">
        <v>112</v>
      </c>
      <c r="F25" s="62" t="s">
        <v>113</v>
      </c>
      <c r="G25" s="61" t="s">
        <v>114</v>
      </c>
      <c r="H25" s="61" t="s">
        <v>115</v>
      </c>
    </row>
    <row r="26" spans="1:41">
      <c r="B26" s="564"/>
      <c r="C26" s="63" t="s">
        <v>116</v>
      </c>
      <c r="D26" s="63" t="s">
        <v>117</v>
      </c>
      <c r="E26" s="63" t="s">
        <v>118</v>
      </c>
      <c r="F26" s="64" t="s">
        <v>119</v>
      </c>
      <c r="G26" s="63" t="s">
        <v>120</v>
      </c>
      <c r="H26" s="63" t="s">
        <v>121</v>
      </c>
    </row>
    <row r="27" spans="1:41">
      <c r="B27" s="65" t="s">
        <v>122</v>
      </c>
      <c r="C27" s="66">
        <v>1</v>
      </c>
      <c r="D27" s="66">
        <v>1</v>
      </c>
      <c r="E27" s="66">
        <v>1</v>
      </c>
      <c r="F27" s="52">
        <v>1</v>
      </c>
      <c r="G27" s="66">
        <v>1</v>
      </c>
      <c r="H27" s="66">
        <v>1</v>
      </c>
    </row>
    <row r="28" spans="1:41" ht="15" customHeight="1">
      <c r="B28" s="65" t="s">
        <v>123</v>
      </c>
      <c r="C28" s="67">
        <v>21</v>
      </c>
      <c r="D28" s="67">
        <v>21</v>
      </c>
      <c r="E28" s="67">
        <v>23</v>
      </c>
      <c r="F28" s="68">
        <v>25</v>
      </c>
      <c r="G28" s="67">
        <v>28</v>
      </c>
      <c r="H28" s="565" t="s">
        <v>124</v>
      </c>
    </row>
    <row r="29" spans="1:41">
      <c r="B29" s="65" t="s">
        <v>125</v>
      </c>
      <c r="C29" s="67">
        <v>290</v>
      </c>
      <c r="D29" s="67">
        <v>310</v>
      </c>
      <c r="E29" s="67">
        <v>296</v>
      </c>
      <c r="F29" s="68">
        <v>298</v>
      </c>
      <c r="G29" s="67">
        <v>265</v>
      </c>
      <c r="H29" s="565"/>
    </row>
    <row r="30" spans="1:41" ht="24">
      <c r="B30" s="65" t="s">
        <v>126</v>
      </c>
      <c r="C30" s="67" t="s">
        <v>127</v>
      </c>
      <c r="D30" s="67" t="s">
        <v>128</v>
      </c>
      <c r="E30" s="67" t="s">
        <v>129</v>
      </c>
      <c r="F30" s="68" t="s">
        <v>130</v>
      </c>
      <c r="G30" s="67" t="s">
        <v>131</v>
      </c>
      <c r="H30" s="565"/>
    </row>
    <row r="31" spans="1:41" ht="24">
      <c r="B31" s="65" t="s">
        <v>132</v>
      </c>
      <c r="C31" s="67" t="s">
        <v>133</v>
      </c>
      <c r="D31" s="69" t="s">
        <v>134</v>
      </c>
      <c r="E31" s="67" t="s">
        <v>135</v>
      </c>
      <c r="F31" s="68" t="s">
        <v>136</v>
      </c>
      <c r="G31" s="67" t="s">
        <v>137</v>
      </c>
      <c r="H31" s="565"/>
    </row>
    <row r="32" spans="1:41">
      <c r="B32" s="65" t="s">
        <v>138</v>
      </c>
      <c r="C32" s="67" t="s">
        <v>133</v>
      </c>
      <c r="D32" s="70">
        <v>23900</v>
      </c>
      <c r="E32" s="70">
        <v>22200</v>
      </c>
      <c r="F32" s="71">
        <v>22800</v>
      </c>
      <c r="G32" s="67" t="s">
        <v>139</v>
      </c>
      <c r="H32" s="565"/>
    </row>
    <row r="33" spans="2:8">
      <c r="B33" s="65" t="s">
        <v>140</v>
      </c>
      <c r="C33" s="67" t="s">
        <v>133</v>
      </c>
      <c r="D33" s="67" t="s">
        <v>133</v>
      </c>
      <c r="E33" s="67" t="s">
        <v>133</v>
      </c>
      <c r="F33" s="71">
        <v>17200</v>
      </c>
      <c r="G33" s="67" t="s">
        <v>141</v>
      </c>
      <c r="H33" s="565"/>
    </row>
    <row r="34" spans="2:8" ht="72">
      <c r="B34" s="68" t="s">
        <v>142</v>
      </c>
      <c r="C34" s="67" t="s">
        <v>143</v>
      </c>
      <c r="D34" s="67" t="s">
        <v>144</v>
      </c>
      <c r="E34" s="67" t="s">
        <v>143</v>
      </c>
      <c r="F34" s="68" t="s">
        <v>145</v>
      </c>
      <c r="G34" s="67" t="s">
        <v>146</v>
      </c>
      <c r="H34" s="565"/>
    </row>
  </sheetData>
  <mergeCells count="5">
    <mergeCell ref="A2:K2"/>
    <mergeCell ref="A22:I22"/>
    <mergeCell ref="C24:G24"/>
    <mergeCell ref="B25:B26"/>
    <mergeCell ref="H28:H34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AJ25"/>
  <sheetViews>
    <sheetView workbookViewId="0">
      <selection activeCell="AK1" sqref="AK1:AP1048576"/>
    </sheetView>
  </sheetViews>
  <sheetFormatPr baseColWidth="10" defaultColWidth="11.44140625" defaultRowHeight="14.4"/>
  <cols>
    <col min="1" max="1" width="3" style="389" customWidth="1"/>
    <col min="2" max="2" width="54" style="389" customWidth="1"/>
    <col min="3" max="6" width="5.6640625" style="389" customWidth="1"/>
    <col min="7" max="8" width="6.109375" style="389" customWidth="1"/>
    <col min="9" max="33" width="5.6640625" style="389" customWidth="1"/>
    <col min="34" max="34" width="43.33203125" style="389" customWidth="1"/>
    <col min="35" max="36" width="10.33203125" style="389" customWidth="1"/>
    <col min="37" max="16384" width="11.44140625" style="389"/>
  </cols>
  <sheetData>
    <row r="1" spans="1:36" s="388" customFormat="1" ht="29.4">
      <c r="A1" s="385"/>
      <c r="B1" s="386" t="s">
        <v>514</v>
      </c>
      <c r="C1" s="387" t="s">
        <v>515</v>
      </c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  <c r="W1" s="385"/>
      <c r="X1" s="385"/>
      <c r="Y1" s="385"/>
      <c r="Z1" s="385"/>
      <c r="AA1" s="385"/>
      <c r="AB1" s="385"/>
      <c r="AC1" s="385"/>
      <c r="AD1" s="385"/>
      <c r="AE1" s="385"/>
      <c r="AF1" s="385"/>
      <c r="AG1" s="385"/>
      <c r="AH1" s="385"/>
      <c r="AI1" s="385"/>
      <c r="AJ1" s="385"/>
    </row>
    <row r="2" spans="1:36" ht="15">
      <c r="B2" s="566" t="s">
        <v>501</v>
      </c>
      <c r="C2" s="567"/>
      <c r="D2" s="567"/>
      <c r="E2" s="567"/>
      <c r="F2" s="567"/>
      <c r="G2" s="567"/>
      <c r="H2" s="567"/>
      <c r="I2" s="567"/>
      <c r="J2" s="567"/>
      <c r="K2" s="567"/>
      <c r="L2" s="567"/>
      <c r="M2" s="567"/>
      <c r="N2" s="567"/>
      <c r="O2" s="567"/>
      <c r="P2" s="567"/>
      <c r="Q2" s="567"/>
      <c r="R2" s="567"/>
      <c r="S2" s="567"/>
      <c r="T2" s="567"/>
      <c r="U2" s="567"/>
      <c r="V2" s="567"/>
      <c r="W2" s="567"/>
      <c r="X2" s="567"/>
      <c r="Y2" s="567"/>
      <c r="Z2" s="567"/>
      <c r="AA2" s="567"/>
      <c r="AB2" s="567"/>
      <c r="AC2" s="567"/>
      <c r="AD2" s="567"/>
      <c r="AE2" s="390"/>
      <c r="AF2" s="390"/>
    </row>
    <row r="3" spans="1:36" ht="15">
      <c r="B3" s="391" t="s">
        <v>106</v>
      </c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  <c r="R3" s="390"/>
      <c r="S3" s="390"/>
      <c r="T3" s="390"/>
      <c r="U3" s="390"/>
      <c r="V3" s="390"/>
      <c r="W3" s="390"/>
      <c r="X3" s="390"/>
      <c r="Y3" s="390"/>
      <c r="Z3" s="390"/>
      <c r="AA3" s="390"/>
      <c r="AB3" s="390"/>
      <c r="AC3" s="390"/>
      <c r="AD3" s="390"/>
      <c r="AE3" s="390"/>
      <c r="AF3" s="390"/>
    </row>
    <row r="4" spans="1:36" ht="22.2">
      <c r="B4" s="392"/>
      <c r="C4" s="393"/>
      <c r="D4" s="393"/>
      <c r="E4" s="393"/>
      <c r="F4" s="393"/>
      <c r="G4" s="393"/>
      <c r="H4" s="393"/>
      <c r="I4" s="393"/>
      <c r="J4" s="393"/>
      <c r="K4" s="393"/>
      <c r="L4" s="393"/>
      <c r="M4" s="393"/>
      <c r="N4" s="393"/>
      <c r="O4" s="393"/>
      <c r="P4" s="393"/>
      <c r="Q4" s="393"/>
      <c r="R4" s="393"/>
      <c r="S4" s="393"/>
      <c r="T4" s="393"/>
      <c r="U4" s="393"/>
      <c r="V4" s="393"/>
      <c r="W4" s="393"/>
      <c r="X4" s="393"/>
      <c r="Y4" s="393"/>
      <c r="Z4" s="393"/>
      <c r="AA4" s="393"/>
      <c r="AB4" s="393"/>
      <c r="AC4" s="393"/>
      <c r="AD4" s="393"/>
      <c r="AE4" s="393"/>
      <c r="AF4" s="393"/>
    </row>
    <row r="5" spans="1:36" ht="18">
      <c r="A5" s="394"/>
      <c r="B5" s="395" t="s">
        <v>87</v>
      </c>
      <c r="C5" s="394"/>
      <c r="D5" s="394"/>
      <c r="E5" s="394"/>
      <c r="F5" s="394"/>
      <c r="G5" s="394"/>
      <c r="H5" s="394"/>
      <c r="I5" s="394"/>
      <c r="J5" s="394"/>
      <c r="K5" s="394"/>
      <c r="L5" s="394"/>
      <c r="M5" s="394"/>
      <c r="N5" s="394"/>
      <c r="O5" s="394"/>
      <c r="P5" s="394"/>
      <c r="Q5" s="394"/>
      <c r="R5" s="394"/>
      <c r="S5" s="394"/>
      <c r="T5" s="394"/>
      <c r="U5" s="394"/>
      <c r="V5" s="394"/>
      <c r="W5" s="394"/>
      <c r="X5" s="394"/>
      <c r="Y5" s="394"/>
      <c r="Z5" s="394"/>
      <c r="AA5" s="394"/>
      <c r="AB5" s="394"/>
      <c r="AC5" s="394"/>
      <c r="AD5" s="394"/>
      <c r="AE5" s="394"/>
      <c r="AF5" s="394"/>
      <c r="AG5" s="394"/>
      <c r="AH5" s="394"/>
      <c r="AI5" s="394"/>
      <c r="AJ5" s="394"/>
    </row>
    <row r="6" spans="1:36" s="396" customFormat="1" ht="28.8">
      <c r="B6" s="397" t="s">
        <v>516</v>
      </c>
      <c r="C6" s="398">
        <v>1990</v>
      </c>
      <c r="D6" s="398">
        <v>1991</v>
      </c>
      <c r="E6" s="398">
        <v>1992</v>
      </c>
      <c r="F6" s="398">
        <v>1993</v>
      </c>
      <c r="G6" s="398">
        <v>1994</v>
      </c>
      <c r="H6" s="398">
        <v>1995</v>
      </c>
      <c r="I6" s="398">
        <v>1996</v>
      </c>
      <c r="J6" s="398">
        <v>1997</v>
      </c>
      <c r="K6" s="398">
        <v>1998</v>
      </c>
      <c r="L6" s="398">
        <v>1999</v>
      </c>
      <c r="M6" s="398">
        <v>2000</v>
      </c>
      <c r="N6" s="398">
        <v>2001</v>
      </c>
      <c r="O6" s="398">
        <v>2002</v>
      </c>
      <c r="P6" s="398">
        <v>2003</v>
      </c>
      <c r="Q6" s="398">
        <v>2004</v>
      </c>
      <c r="R6" s="398">
        <v>2005</v>
      </c>
      <c r="S6" s="398">
        <v>2006</v>
      </c>
      <c r="T6" s="398">
        <v>2007</v>
      </c>
      <c r="U6" s="398">
        <v>2008</v>
      </c>
      <c r="V6" s="398">
        <v>2009</v>
      </c>
      <c r="W6" s="398">
        <v>2010</v>
      </c>
      <c r="X6" s="398">
        <v>2011</v>
      </c>
      <c r="Y6" s="398">
        <v>2012</v>
      </c>
      <c r="Z6" s="398">
        <v>2013</v>
      </c>
      <c r="AA6" s="398">
        <v>2014</v>
      </c>
      <c r="AB6" s="398">
        <v>2015</v>
      </c>
      <c r="AC6" s="398">
        <v>2016</v>
      </c>
      <c r="AD6" s="398">
        <v>2017</v>
      </c>
      <c r="AE6" s="398">
        <v>2018</v>
      </c>
      <c r="AF6" s="398">
        <v>2019</v>
      </c>
      <c r="AH6" s="399" t="s">
        <v>517</v>
      </c>
      <c r="AI6" s="400" t="s">
        <v>90</v>
      </c>
      <c r="AJ6" s="400" t="s">
        <v>91</v>
      </c>
    </row>
    <row r="7" spans="1:36" s="404" customFormat="1" ht="13.2">
      <c r="A7" s="401"/>
      <c r="B7" s="402" t="s">
        <v>92</v>
      </c>
      <c r="C7" s="403">
        <v>0.25797024000000002</v>
      </c>
      <c r="D7" s="403">
        <v>0.29521727999999997</v>
      </c>
      <c r="E7" s="403">
        <v>0.34970832000000002</v>
      </c>
      <c r="F7" s="403">
        <v>0.40919224811400001</v>
      </c>
      <c r="G7" s="403">
        <v>0.41145952372200001</v>
      </c>
      <c r="H7" s="403">
        <v>0.45992035416599991</v>
      </c>
      <c r="I7" s="403">
        <v>0.50198297947199999</v>
      </c>
      <c r="J7" s="403">
        <v>0.5060761340544</v>
      </c>
      <c r="K7" s="403">
        <v>0.57896934698304015</v>
      </c>
      <c r="L7" s="403">
        <v>0.60109612552360803</v>
      </c>
      <c r="M7" s="403">
        <v>0.6735434566451759</v>
      </c>
      <c r="N7" s="403">
        <v>0.75017044148529588</v>
      </c>
      <c r="O7" s="403">
        <v>0.75109925342275219</v>
      </c>
      <c r="P7" s="403">
        <v>0.75109925342275219</v>
      </c>
      <c r="Q7" s="403">
        <v>0.80788410395402399</v>
      </c>
      <c r="R7" s="403">
        <v>0.85912832564182096</v>
      </c>
      <c r="S7" s="403">
        <v>0.78262390001001625</v>
      </c>
      <c r="T7" s="403">
        <v>0.74917309070960547</v>
      </c>
      <c r="U7" s="403">
        <v>0.75139165768273497</v>
      </c>
      <c r="V7" s="403">
        <v>0.74288715095240532</v>
      </c>
      <c r="W7" s="403">
        <v>0.73271871899222862</v>
      </c>
      <c r="X7" s="403">
        <v>0.72932150849517574</v>
      </c>
      <c r="Y7" s="403">
        <v>0.69802593386138256</v>
      </c>
      <c r="Z7" s="403">
        <v>0.69595739226140763</v>
      </c>
      <c r="AA7" s="403">
        <v>0.68557548286896419</v>
      </c>
      <c r="AB7" s="403">
        <v>0.67759508276658797</v>
      </c>
      <c r="AC7" s="403">
        <v>0.7427683502693283</v>
      </c>
      <c r="AD7" s="403">
        <v>0.72392573891649536</v>
      </c>
      <c r="AE7" s="403">
        <v>0.73929382972019331</v>
      </c>
      <c r="AF7" s="403">
        <v>0.76637270125651635</v>
      </c>
      <c r="AH7" s="401" t="s">
        <v>92</v>
      </c>
      <c r="AI7" s="405">
        <v>1.9707795025368675</v>
      </c>
      <c r="AJ7" s="405">
        <v>3.6628023186088016E-2</v>
      </c>
    </row>
    <row r="8" spans="1:36" s="404" customFormat="1" ht="13.2">
      <c r="A8" s="406"/>
      <c r="B8" s="402" t="s">
        <v>93</v>
      </c>
      <c r="C8" s="403">
        <v>0</v>
      </c>
      <c r="D8" s="403">
        <v>0</v>
      </c>
      <c r="E8" s="403">
        <v>0</v>
      </c>
      <c r="F8" s="403">
        <v>0</v>
      </c>
      <c r="G8" s="403">
        <v>0</v>
      </c>
      <c r="H8" s="403">
        <v>0</v>
      </c>
      <c r="I8" s="403">
        <v>0</v>
      </c>
      <c r="J8" s="403">
        <v>0</v>
      </c>
      <c r="K8" s="403">
        <v>0</v>
      </c>
      <c r="L8" s="403">
        <v>0</v>
      </c>
      <c r="M8" s="403">
        <v>0</v>
      </c>
      <c r="N8" s="403">
        <v>0</v>
      </c>
      <c r="O8" s="403">
        <v>0</v>
      </c>
      <c r="P8" s="403">
        <v>0</v>
      </c>
      <c r="Q8" s="403">
        <v>0</v>
      </c>
      <c r="R8" s="403">
        <v>0</v>
      </c>
      <c r="S8" s="403">
        <v>0</v>
      </c>
      <c r="T8" s="403">
        <v>0</v>
      </c>
      <c r="U8" s="403">
        <v>0</v>
      </c>
      <c r="V8" s="403">
        <v>0</v>
      </c>
      <c r="W8" s="403">
        <v>0</v>
      </c>
      <c r="X8" s="403">
        <v>0</v>
      </c>
      <c r="Y8" s="403">
        <v>0</v>
      </c>
      <c r="Z8" s="403">
        <v>0</v>
      </c>
      <c r="AA8" s="403">
        <v>0</v>
      </c>
      <c r="AB8" s="403">
        <v>0</v>
      </c>
      <c r="AC8" s="403">
        <v>0</v>
      </c>
      <c r="AD8" s="403">
        <v>0</v>
      </c>
      <c r="AE8" s="403">
        <v>0</v>
      </c>
      <c r="AF8" s="403">
        <v>0</v>
      </c>
      <c r="AH8" s="407" t="s">
        <v>93</v>
      </c>
      <c r="AI8" s="405">
        <v>0</v>
      </c>
      <c r="AJ8" s="405">
        <v>0</v>
      </c>
    </row>
    <row r="9" spans="1:36" s="404" customFormat="1" ht="13.2">
      <c r="A9" s="408"/>
      <c r="B9" s="402" t="s">
        <v>94</v>
      </c>
      <c r="C9" s="431">
        <v>55.951208706369627</v>
      </c>
      <c r="D9" s="431">
        <v>56.199495446214634</v>
      </c>
      <c r="E9" s="431">
        <v>57.210316598112975</v>
      </c>
      <c r="F9" s="431">
        <v>58.164270095135507</v>
      </c>
      <c r="G9" s="431">
        <v>46.167158985723049</v>
      </c>
      <c r="H9" s="431">
        <v>49.12389972924241</v>
      </c>
      <c r="I9" s="431">
        <v>51.318580547440703</v>
      </c>
      <c r="J9" s="431">
        <v>52.854939180945024</v>
      </c>
      <c r="K9" s="431">
        <v>53.972290017371591</v>
      </c>
      <c r="L9" s="431">
        <v>54.9353150007409</v>
      </c>
      <c r="M9" s="431">
        <v>55.681609608738711</v>
      </c>
      <c r="N9" s="431">
        <v>56.435546454812567</v>
      </c>
      <c r="O9" s="431">
        <v>56.99325448991415</v>
      </c>
      <c r="P9" s="431">
        <v>58.58606224341294</v>
      </c>
      <c r="Q9" s="431">
        <v>59.493039216382101</v>
      </c>
      <c r="R9" s="431">
        <v>58.881806740703354</v>
      </c>
      <c r="S9" s="431">
        <v>58.249378799507433</v>
      </c>
      <c r="T9" s="431">
        <v>56.89810310495433</v>
      </c>
      <c r="U9" s="431">
        <v>53.135003851559603</v>
      </c>
      <c r="V9" s="431">
        <v>55.764501620753201</v>
      </c>
      <c r="W9" s="431">
        <v>60.011913991686697</v>
      </c>
      <c r="X9" s="431">
        <v>62.388640694235065</v>
      </c>
      <c r="Y9" s="431">
        <v>64.552880405592703</v>
      </c>
      <c r="Z9" s="431">
        <v>65.620162034155612</v>
      </c>
      <c r="AA9" s="431">
        <v>62.595256600456466</v>
      </c>
      <c r="AB9" s="431">
        <v>67.910660026531787</v>
      </c>
      <c r="AC9" s="431">
        <v>73.449373604156165</v>
      </c>
      <c r="AD9" s="431">
        <v>75.701675012017958</v>
      </c>
      <c r="AE9" s="431">
        <v>80.688699602145761</v>
      </c>
      <c r="AF9" s="431">
        <v>87.031706479010438</v>
      </c>
      <c r="AH9" s="408" t="s">
        <v>94</v>
      </c>
      <c r="AI9" s="405">
        <v>0.55549287479651055</v>
      </c>
      <c r="AJ9" s="405">
        <v>7.8610845237813171E-2</v>
      </c>
    </row>
    <row r="10" spans="1:36" s="404" customFormat="1" ht="13.2">
      <c r="A10" s="409"/>
      <c r="B10" s="402" t="s">
        <v>95</v>
      </c>
      <c r="C10" s="431">
        <v>76.556503822500005</v>
      </c>
      <c r="D10" s="431">
        <v>77.0157172575</v>
      </c>
      <c r="E10" s="431">
        <v>77.477685973109999</v>
      </c>
      <c r="F10" s="431">
        <v>77.942426501013642</v>
      </c>
      <c r="G10" s="431">
        <v>78.409955472084732</v>
      </c>
      <c r="H10" s="431">
        <v>78.881819760982253</v>
      </c>
      <c r="I10" s="431">
        <v>79.134331697999983</v>
      </c>
      <c r="J10" s="431">
        <v>79.768201839749992</v>
      </c>
      <c r="K10" s="431">
        <v>80.407135023227994</v>
      </c>
      <c r="L10" s="431">
        <v>81.051601536517836</v>
      </c>
      <c r="M10" s="431">
        <v>81.70063634323796</v>
      </c>
      <c r="N10" s="431">
        <v>82.354041513383848</v>
      </c>
      <c r="O10" s="431">
        <v>83.012417534690925</v>
      </c>
      <c r="P10" s="431">
        <v>83.482888949999989</v>
      </c>
      <c r="Q10" s="431">
        <v>81.758573621999986</v>
      </c>
      <c r="R10" s="431">
        <v>80.014250696687981</v>
      </c>
      <c r="S10" s="431">
        <v>78.334227404457536</v>
      </c>
      <c r="T10" s="431">
        <v>76.689774156068921</v>
      </c>
      <c r="U10" s="431">
        <v>75.113203499999983</v>
      </c>
      <c r="V10" s="431">
        <v>73.665593999999984</v>
      </c>
      <c r="W10" s="431">
        <v>71.920092600000004</v>
      </c>
      <c r="X10" s="431">
        <v>70.023987000000005</v>
      </c>
      <c r="Y10" s="431">
        <v>69.248310749999987</v>
      </c>
      <c r="Z10" s="431">
        <v>68.164861500000001</v>
      </c>
      <c r="AA10" s="431">
        <v>63.647005500000006</v>
      </c>
      <c r="AB10" s="431">
        <v>65.393712000000008</v>
      </c>
      <c r="AC10" s="431">
        <v>68.16734550000001</v>
      </c>
      <c r="AD10" s="431">
        <v>66.980330999999993</v>
      </c>
      <c r="AE10" s="431">
        <v>64.598436000000007</v>
      </c>
      <c r="AF10" s="431">
        <v>63.894788999999996</v>
      </c>
      <c r="AH10" s="409" t="s">
        <v>96</v>
      </c>
      <c r="AI10" s="405">
        <v>-0.16539045267606281</v>
      </c>
      <c r="AJ10" s="405">
        <v>-1.0892632137409809E-2</v>
      </c>
    </row>
    <row r="11" spans="1:36" s="404" customFormat="1" ht="13.2">
      <c r="A11" s="410"/>
      <c r="B11" s="402" t="s">
        <v>4</v>
      </c>
      <c r="C11" s="431">
        <v>119.48110217458655</v>
      </c>
      <c r="D11" s="431">
        <v>132.88535288182393</v>
      </c>
      <c r="E11" s="431">
        <v>148.06334630718794</v>
      </c>
      <c r="F11" s="431">
        <v>186.427484929234</v>
      </c>
      <c r="G11" s="431">
        <v>225.81819452284401</v>
      </c>
      <c r="H11" s="431">
        <v>265.80155459207282</v>
      </c>
      <c r="I11" s="431">
        <v>307.9853007700583</v>
      </c>
      <c r="J11" s="431">
        <v>321.24600537467921</v>
      </c>
      <c r="K11" s="431">
        <v>339.31733907338247</v>
      </c>
      <c r="L11" s="431">
        <v>350.34011877029445</v>
      </c>
      <c r="M11" s="431">
        <v>379.96505110615306</v>
      </c>
      <c r="N11" s="431">
        <v>411.40169622605174</v>
      </c>
      <c r="O11" s="431">
        <v>411.89031279719319</v>
      </c>
      <c r="P11" s="431">
        <v>409.12028960795641</v>
      </c>
      <c r="Q11" s="431">
        <v>403.12416030301426</v>
      </c>
      <c r="R11" s="431">
        <v>396.75465520283205</v>
      </c>
      <c r="S11" s="431">
        <v>392.58899329349646</v>
      </c>
      <c r="T11" s="431">
        <v>388.53295934558889</v>
      </c>
      <c r="U11" s="431">
        <v>382.48808642104274</v>
      </c>
      <c r="V11" s="431">
        <v>374.66664161633145</v>
      </c>
      <c r="W11" s="431">
        <v>365.79317615545114</v>
      </c>
      <c r="X11" s="431">
        <v>360.08967260251353</v>
      </c>
      <c r="Y11" s="431">
        <v>351.62603149232552</v>
      </c>
      <c r="Z11" s="431">
        <v>344.70872120668173</v>
      </c>
      <c r="AA11" s="431">
        <v>339.04010484970945</v>
      </c>
      <c r="AB11" s="431">
        <v>345.42491122047511</v>
      </c>
      <c r="AC11" s="431">
        <v>359.79050315309973</v>
      </c>
      <c r="AD11" s="431">
        <v>350.48779324899886</v>
      </c>
      <c r="AE11" s="431">
        <v>345.53964871427536</v>
      </c>
      <c r="AF11" s="431">
        <v>345.3196777573628</v>
      </c>
      <c r="AH11" s="410" t="s">
        <v>4</v>
      </c>
      <c r="AI11" s="405">
        <v>1.8901614688219017</v>
      </c>
      <c r="AJ11" s="405">
        <v>-6.3660120547976329E-4</v>
      </c>
    </row>
    <row r="12" spans="1:36" s="404" customFormat="1" ht="13.2">
      <c r="A12" s="411"/>
      <c r="B12" s="402" t="s">
        <v>97</v>
      </c>
      <c r="C12" s="403">
        <v>3.1331858904747656</v>
      </c>
      <c r="D12" s="403">
        <v>3.2690509244525527</v>
      </c>
      <c r="E12" s="403">
        <v>3.3683586058408546</v>
      </c>
      <c r="F12" s="403">
        <v>3.6376159854629853</v>
      </c>
      <c r="G12" s="403">
        <v>3.5525693496438007</v>
      </c>
      <c r="H12" s="403">
        <v>3.3559691969101815</v>
      </c>
      <c r="I12" s="403">
        <v>3.3191588314320546</v>
      </c>
      <c r="J12" s="403">
        <v>3.1145529384017281</v>
      </c>
      <c r="K12" s="403">
        <v>2.918078719880945</v>
      </c>
      <c r="L12" s="403">
        <v>3.1940404734335388</v>
      </c>
      <c r="M12" s="403">
        <v>3.184421781271193</v>
      </c>
      <c r="N12" s="403">
        <v>2.8312843876664231</v>
      </c>
      <c r="O12" s="403">
        <v>2.6598203816297228</v>
      </c>
      <c r="P12" s="403">
        <v>2.3018917440613569</v>
      </c>
      <c r="Q12" s="403">
        <v>2.1364505859512022</v>
      </c>
      <c r="R12" s="403">
        <v>1.8586306903579966</v>
      </c>
      <c r="S12" s="403">
        <v>1.6435322145243083</v>
      </c>
      <c r="T12" s="403">
        <v>1.4931462419775696</v>
      </c>
      <c r="U12" s="403">
        <v>1.4974337802317463</v>
      </c>
      <c r="V12" s="403">
        <v>1.1714142977261128</v>
      </c>
      <c r="W12" s="403">
        <v>1.0663926708781468</v>
      </c>
      <c r="X12" s="403">
        <v>0.98426822285723126</v>
      </c>
      <c r="Y12" s="403">
        <v>0.93056123298859117</v>
      </c>
      <c r="Z12" s="403">
        <v>0.8075848269648771</v>
      </c>
      <c r="AA12" s="403">
        <v>0.74175803026514686</v>
      </c>
      <c r="AB12" s="403">
        <v>0.68492195088723296</v>
      </c>
      <c r="AC12" s="403">
        <v>0.65447806450918544</v>
      </c>
      <c r="AD12" s="403">
        <v>0.63159379974708918</v>
      </c>
      <c r="AE12" s="403">
        <v>0.61586706276523429</v>
      </c>
      <c r="AF12" s="403">
        <v>0.60355334317232234</v>
      </c>
      <c r="AH12" s="412" t="s">
        <v>97</v>
      </c>
      <c r="AI12" s="405">
        <v>-0.80736752804639145</v>
      </c>
      <c r="AJ12" s="405">
        <v>-1.9994119408859954E-2</v>
      </c>
    </row>
    <row r="13" spans="1:36" s="416" customFormat="1" ht="13.2">
      <c r="A13" s="413"/>
      <c r="B13" s="414" t="s">
        <v>98</v>
      </c>
      <c r="C13" s="415">
        <v>7.0814770387144952E-3</v>
      </c>
      <c r="D13" s="415">
        <v>6.8777055148412716E-3</v>
      </c>
      <c r="E13" s="415">
        <v>6.5093105641061914E-3</v>
      </c>
      <c r="F13" s="415">
        <v>4.1846917883013668E-3</v>
      </c>
      <c r="G13" s="415">
        <v>3.9703113984206114E-3</v>
      </c>
      <c r="H13" s="415">
        <v>4.0620975234771303E-3</v>
      </c>
      <c r="I13" s="415">
        <v>1.4643528347778772E-3</v>
      </c>
      <c r="J13" s="415">
        <v>8.2440054814700357E-4</v>
      </c>
      <c r="K13" s="415">
        <v>6.1985856069286295E-4</v>
      </c>
      <c r="L13" s="415">
        <v>1.312400975803722E-5</v>
      </c>
      <c r="M13" s="415">
        <v>8.8219515662987834E-4</v>
      </c>
      <c r="N13" s="415">
        <v>9.3590779153127708E-4</v>
      </c>
      <c r="O13" s="415">
        <v>9.6742850674400916E-4</v>
      </c>
      <c r="P13" s="415">
        <v>1.4575479753499211E-3</v>
      </c>
      <c r="Q13" s="415">
        <v>1.4263239960038995E-3</v>
      </c>
      <c r="R13" s="415">
        <v>1.3231603388143105E-3</v>
      </c>
      <c r="S13" s="415">
        <v>1.2482178400480173E-3</v>
      </c>
      <c r="T13" s="415">
        <v>3.174953576029498E-4</v>
      </c>
      <c r="U13" s="415">
        <v>1.2271350200854572E-3</v>
      </c>
      <c r="V13" s="415">
        <v>1.5717174914835494E-3</v>
      </c>
      <c r="W13" s="415">
        <v>1.7556696259946015E-3</v>
      </c>
      <c r="X13" s="415">
        <v>1.5575784946149761E-3</v>
      </c>
      <c r="Y13" s="415">
        <v>1.3906970652431954E-3</v>
      </c>
      <c r="Z13" s="415">
        <v>1.5820533487514411E-3</v>
      </c>
      <c r="AA13" s="415">
        <v>1.5887046707016173E-3</v>
      </c>
      <c r="AB13" s="415">
        <v>1.4882930695412798E-3</v>
      </c>
      <c r="AC13" s="415">
        <v>1.4564441428479846E-3</v>
      </c>
      <c r="AD13" s="415">
        <v>1.2617862098154051E-3</v>
      </c>
      <c r="AE13" s="415">
        <v>1.2129311766206886E-3</v>
      </c>
      <c r="AF13" s="415">
        <v>7.723842031879917E-4</v>
      </c>
      <c r="AH13" s="413" t="s">
        <v>98</v>
      </c>
      <c r="AI13" s="417">
        <v>-0.89092894053523575</v>
      </c>
      <c r="AJ13" s="417">
        <v>-0.36320854960632776</v>
      </c>
    </row>
    <row r="14" spans="1:36" s="404" customFormat="1" ht="13.2">
      <c r="A14" s="418"/>
      <c r="B14" s="419" t="s">
        <v>99</v>
      </c>
      <c r="C14" s="420">
        <v>255.37997083393097</v>
      </c>
      <c r="D14" s="420">
        <v>269.66483378999106</v>
      </c>
      <c r="E14" s="420">
        <v>286.46941580425175</v>
      </c>
      <c r="F14" s="420">
        <v>326.58098975896007</v>
      </c>
      <c r="G14" s="420">
        <v>354.35933785401761</v>
      </c>
      <c r="H14" s="420">
        <v>397.62316363337362</v>
      </c>
      <c r="I14" s="420">
        <v>442.25935482640301</v>
      </c>
      <c r="J14" s="420">
        <v>457.48977546783038</v>
      </c>
      <c r="K14" s="420">
        <v>477.19381218084601</v>
      </c>
      <c r="L14" s="420">
        <v>490.12217190651035</v>
      </c>
      <c r="M14" s="420">
        <v>521.20526229604616</v>
      </c>
      <c r="N14" s="420">
        <v>553.77273902339982</v>
      </c>
      <c r="O14" s="420">
        <v>555.30690445685082</v>
      </c>
      <c r="P14" s="420">
        <v>554.24223179885348</v>
      </c>
      <c r="Q14" s="420">
        <v>547.32010783130158</v>
      </c>
      <c r="R14" s="420">
        <v>538.36847165622328</v>
      </c>
      <c r="S14" s="420">
        <v>531.59875561199567</v>
      </c>
      <c r="T14" s="420">
        <v>524.3631559392993</v>
      </c>
      <c r="U14" s="420">
        <v>512.98511921051681</v>
      </c>
      <c r="V14" s="420">
        <v>506.01103868576314</v>
      </c>
      <c r="W14" s="420">
        <v>499.52429413700821</v>
      </c>
      <c r="X14" s="420">
        <v>494.215890028101</v>
      </c>
      <c r="Y14" s="420">
        <v>487.05580981476817</v>
      </c>
      <c r="Z14" s="420">
        <v>479.99728696006366</v>
      </c>
      <c r="AA14" s="420">
        <v>466.70970046330001</v>
      </c>
      <c r="AB14" s="420">
        <v>480.09180028066072</v>
      </c>
      <c r="AC14" s="420">
        <v>502.80446867203443</v>
      </c>
      <c r="AD14" s="420">
        <v>494.52531879968035</v>
      </c>
      <c r="AE14" s="420">
        <v>492.18194520890654</v>
      </c>
      <c r="AF14" s="420">
        <v>497.61609928080208</v>
      </c>
      <c r="AH14" s="421" t="s">
        <v>99</v>
      </c>
      <c r="AI14" s="422">
        <v>0.94853221126097209</v>
      </c>
      <c r="AJ14" s="422">
        <v>1.1040945578751387E-2</v>
      </c>
    </row>
    <row r="15" spans="1:36" s="404" customFormat="1" ht="13.2">
      <c r="A15" s="423"/>
      <c r="B15" s="402" t="s">
        <v>100</v>
      </c>
      <c r="C15" s="403">
        <v>0</v>
      </c>
      <c r="D15" s="403">
        <v>0</v>
      </c>
      <c r="E15" s="403">
        <v>0</v>
      </c>
      <c r="F15" s="403">
        <v>0</v>
      </c>
      <c r="G15" s="403">
        <v>0</v>
      </c>
      <c r="H15" s="441">
        <v>0</v>
      </c>
      <c r="I15" s="403">
        <v>0</v>
      </c>
      <c r="J15" s="403">
        <v>0</v>
      </c>
      <c r="K15" s="403">
        <v>0</v>
      </c>
      <c r="L15" s="403">
        <v>0</v>
      </c>
      <c r="M15" s="403">
        <v>0</v>
      </c>
      <c r="N15" s="403">
        <v>0</v>
      </c>
      <c r="O15" s="403">
        <v>0</v>
      </c>
      <c r="P15" s="403">
        <v>0</v>
      </c>
      <c r="Q15" s="403">
        <v>0</v>
      </c>
      <c r="R15" s="403">
        <v>0</v>
      </c>
      <c r="S15" s="403">
        <v>0</v>
      </c>
      <c r="T15" s="403">
        <v>0</v>
      </c>
      <c r="U15" s="403">
        <v>0</v>
      </c>
      <c r="V15" s="403">
        <v>0</v>
      </c>
      <c r="W15" s="403">
        <v>0</v>
      </c>
      <c r="X15" s="403">
        <v>0</v>
      </c>
      <c r="Y15" s="403">
        <v>0</v>
      </c>
      <c r="Z15" s="403">
        <v>0</v>
      </c>
      <c r="AA15" s="403">
        <v>0</v>
      </c>
      <c r="AB15" s="403">
        <v>0</v>
      </c>
      <c r="AC15" s="403">
        <v>0</v>
      </c>
      <c r="AD15" s="403">
        <v>0</v>
      </c>
      <c r="AE15" s="403">
        <v>0</v>
      </c>
      <c r="AF15" s="403">
        <v>0</v>
      </c>
      <c r="AH15" s="423" t="s">
        <v>100</v>
      </c>
      <c r="AI15" s="405">
        <v>0</v>
      </c>
      <c r="AJ15" s="405">
        <v>0</v>
      </c>
    </row>
    <row r="16" spans="1:36" s="416" customFormat="1" ht="13.2">
      <c r="A16" s="413"/>
      <c r="B16" s="414" t="s">
        <v>101</v>
      </c>
      <c r="C16" s="415">
        <v>0</v>
      </c>
      <c r="D16" s="415">
        <v>0</v>
      </c>
      <c r="E16" s="415">
        <v>0</v>
      </c>
      <c r="F16" s="415">
        <v>0</v>
      </c>
      <c r="G16" s="415">
        <v>0</v>
      </c>
      <c r="H16" s="415">
        <v>0</v>
      </c>
      <c r="I16" s="415">
        <v>0</v>
      </c>
      <c r="J16" s="415">
        <v>0</v>
      </c>
      <c r="K16" s="415">
        <v>0</v>
      </c>
      <c r="L16" s="415">
        <v>0</v>
      </c>
      <c r="M16" s="415">
        <v>0</v>
      </c>
      <c r="N16" s="415">
        <v>0</v>
      </c>
      <c r="O16" s="415">
        <v>0</v>
      </c>
      <c r="P16" s="415">
        <v>0</v>
      </c>
      <c r="Q16" s="415">
        <v>0</v>
      </c>
      <c r="R16" s="415">
        <v>0</v>
      </c>
      <c r="S16" s="415">
        <v>0</v>
      </c>
      <c r="T16" s="415">
        <v>0</v>
      </c>
      <c r="U16" s="415">
        <v>0</v>
      </c>
      <c r="V16" s="415">
        <v>0</v>
      </c>
      <c r="W16" s="415">
        <v>0</v>
      </c>
      <c r="X16" s="415">
        <v>0</v>
      </c>
      <c r="Y16" s="415">
        <v>0</v>
      </c>
      <c r="Z16" s="415">
        <v>0</v>
      </c>
      <c r="AA16" s="415">
        <v>0</v>
      </c>
      <c r="AB16" s="415">
        <v>0</v>
      </c>
      <c r="AC16" s="415">
        <v>0</v>
      </c>
      <c r="AD16" s="415">
        <v>0</v>
      </c>
      <c r="AE16" s="415">
        <v>0</v>
      </c>
      <c r="AF16" s="415">
        <v>0</v>
      </c>
      <c r="AH16" s="413" t="s">
        <v>101</v>
      </c>
      <c r="AI16" s="417">
        <v>0</v>
      </c>
      <c r="AJ16" s="417">
        <v>0</v>
      </c>
    </row>
    <row r="17" spans="1:36" s="416" customFormat="1" ht="13.2">
      <c r="A17" s="413"/>
      <c r="B17" s="414" t="s">
        <v>102</v>
      </c>
      <c r="C17" s="415">
        <v>0</v>
      </c>
      <c r="D17" s="415">
        <v>0</v>
      </c>
      <c r="E17" s="415">
        <v>0</v>
      </c>
      <c r="F17" s="415">
        <v>0</v>
      </c>
      <c r="G17" s="415">
        <v>0</v>
      </c>
      <c r="H17" s="415">
        <v>0</v>
      </c>
      <c r="I17" s="415">
        <v>0</v>
      </c>
      <c r="J17" s="415">
        <v>0</v>
      </c>
      <c r="K17" s="415">
        <v>0</v>
      </c>
      <c r="L17" s="415">
        <v>0</v>
      </c>
      <c r="M17" s="415">
        <v>0</v>
      </c>
      <c r="N17" s="415">
        <v>0</v>
      </c>
      <c r="O17" s="415">
        <v>0</v>
      </c>
      <c r="P17" s="415">
        <v>0</v>
      </c>
      <c r="Q17" s="415">
        <v>0</v>
      </c>
      <c r="R17" s="415">
        <v>0</v>
      </c>
      <c r="S17" s="415">
        <v>0</v>
      </c>
      <c r="T17" s="415">
        <v>0</v>
      </c>
      <c r="U17" s="415">
        <v>0</v>
      </c>
      <c r="V17" s="415">
        <v>0</v>
      </c>
      <c r="W17" s="415">
        <v>0</v>
      </c>
      <c r="X17" s="415">
        <v>0</v>
      </c>
      <c r="Y17" s="415">
        <v>0</v>
      </c>
      <c r="Z17" s="415">
        <v>0</v>
      </c>
      <c r="AA17" s="415">
        <v>0</v>
      </c>
      <c r="AB17" s="415">
        <v>0</v>
      </c>
      <c r="AC17" s="415">
        <v>0</v>
      </c>
      <c r="AD17" s="415">
        <v>0</v>
      </c>
      <c r="AE17" s="415">
        <v>0</v>
      </c>
      <c r="AF17" s="415">
        <v>0</v>
      </c>
      <c r="AH17" s="413" t="s">
        <v>102</v>
      </c>
      <c r="AI17" s="417">
        <v>0</v>
      </c>
      <c r="AJ17" s="417">
        <v>0</v>
      </c>
    </row>
    <row r="18" spans="1:36" s="425" customFormat="1" ht="13.2">
      <c r="A18" s="424"/>
      <c r="B18" s="419" t="s">
        <v>103</v>
      </c>
      <c r="C18" s="420">
        <v>255.37997083393097</v>
      </c>
      <c r="D18" s="420">
        <v>269.66483378999106</v>
      </c>
      <c r="E18" s="420">
        <v>286.46941580425175</v>
      </c>
      <c r="F18" s="420">
        <v>326.58098975896007</v>
      </c>
      <c r="G18" s="420">
        <v>354.35933785401761</v>
      </c>
      <c r="H18" s="420">
        <v>397.62316363337362</v>
      </c>
      <c r="I18" s="420">
        <v>442.25935482640301</v>
      </c>
      <c r="J18" s="420">
        <v>457.48977546783038</v>
      </c>
      <c r="K18" s="420">
        <v>477.19381218084601</v>
      </c>
      <c r="L18" s="420">
        <v>490.12217190651035</v>
      </c>
      <c r="M18" s="420">
        <v>521.20526229604616</v>
      </c>
      <c r="N18" s="420">
        <v>553.77273902339982</v>
      </c>
      <c r="O18" s="420">
        <v>555.30690445685082</v>
      </c>
      <c r="P18" s="420">
        <v>554.24223179885348</v>
      </c>
      <c r="Q18" s="420">
        <v>547.32010783130158</v>
      </c>
      <c r="R18" s="420">
        <v>538.36847165622328</v>
      </c>
      <c r="S18" s="420">
        <v>531.59875561199567</v>
      </c>
      <c r="T18" s="420">
        <v>524.3631559392993</v>
      </c>
      <c r="U18" s="420">
        <v>512.98511921051681</v>
      </c>
      <c r="V18" s="420">
        <v>506.01103868576314</v>
      </c>
      <c r="W18" s="420">
        <v>499.52429413700821</v>
      </c>
      <c r="X18" s="420">
        <v>494.215890028101</v>
      </c>
      <c r="Y18" s="420">
        <v>487.05580981476817</v>
      </c>
      <c r="Z18" s="420">
        <v>479.99728696006366</v>
      </c>
      <c r="AA18" s="420">
        <v>466.70970046330001</v>
      </c>
      <c r="AB18" s="420">
        <v>480.09180028066072</v>
      </c>
      <c r="AC18" s="420">
        <v>502.80446867203443</v>
      </c>
      <c r="AD18" s="420">
        <v>494.52531879968035</v>
      </c>
      <c r="AE18" s="420">
        <v>492.18194520890654</v>
      </c>
      <c r="AF18" s="420">
        <v>497.61609928080208</v>
      </c>
      <c r="AH18" s="426" t="s">
        <v>103</v>
      </c>
      <c r="AI18" s="422">
        <v>0.94853221126097209</v>
      </c>
      <c r="AJ18" s="422">
        <v>1.1040945578751387E-2</v>
      </c>
    </row>
    <row r="19" spans="1:36" s="416" customFormat="1" ht="13.2">
      <c r="A19" s="413"/>
      <c r="B19" s="414" t="s">
        <v>104</v>
      </c>
      <c r="C19" s="415">
        <v>7.0814770387144952E-3</v>
      </c>
      <c r="D19" s="415">
        <v>6.8777055148412716E-3</v>
      </c>
      <c r="E19" s="415">
        <v>6.5093105641061914E-3</v>
      </c>
      <c r="F19" s="415">
        <v>4.1846917883013668E-3</v>
      </c>
      <c r="G19" s="415">
        <v>3.9703113984206114E-3</v>
      </c>
      <c r="H19" s="415">
        <v>4.0620975234771303E-3</v>
      </c>
      <c r="I19" s="415">
        <v>1.4643528347778772E-3</v>
      </c>
      <c r="J19" s="415">
        <v>8.2440054814700357E-4</v>
      </c>
      <c r="K19" s="415">
        <v>6.1985856069286295E-4</v>
      </c>
      <c r="L19" s="415">
        <v>1.312400975803722E-5</v>
      </c>
      <c r="M19" s="415">
        <v>8.8219515662987834E-4</v>
      </c>
      <c r="N19" s="415">
        <v>9.3590779153127708E-4</v>
      </c>
      <c r="O19" s="415">
        <v>9.6742850674400916E-4</v>
      </c>
      <c r="P19" s="415">
        <v>1.4575479753499211E-3</v>
      </c>
      <c r="Q19" s="415">
        <v>1.4263239960038995E-3</v>
      </c>
      <c r="R19" s="415">
        <v>1.3231603388143105E-3</v>
      </c>
      <c r="S19" s="415">
        <v>1.2482178400480173E-3</v>
      </c>
      <c r="T19" s="415">
        <v>3.174953576029498E-4</v>
      </c>
      <c r="U19" s="415">
        <v>1.2271350200854572E-3</v>
      </c>
      <c r="V19" s="415">
        <v>1.5717174914835494E-3</v>
      </c>
      <c r="W19" s="415">
        <v>1.7556696259946015E-3</v>
      </c>
      <c r="X19" s="415">
        <v>1.5575784946149761E-3</v>
      </c>
      <c r="Y19" s="415">
        <v>1.3906970652431954E-3</v>
      </c>
      <c r="Z19" s="415">
        <v>1.5820533487514411E-3</v>
      </c>
      <c r="AA19" s="415">
        <v>1.5887046707016173E-3</v>
      </c>
      <c r="AB19" s="415">
        <v>1.4882930695412798E-3</v>
      </c>
      <c r="AC19" s="415">
        <v>1.4564441428479846E-3</v>
      </c>
      <c r="AD19" s="415">
        <v>1.2617862098154051E-3</v>
      </c>
      <c r="AE19" s="415">
        <v>1.2129311766206886E-3</v>
      </c>
      <c r="AF19" s="415">
        <v>7.723842031879917E-4</v>
      </c>
      <c r="AH19" s="413" t="s">
        <v>104</v>
      </c>
      <c r="AI19" s="417">
        <v>-0.89092894053523575</v>
      </c>
      <c r="AJ19" s="417">
        <v>-0.36320854960632776</v>
      </c>
    </row>
    <row r="22" spans="1:36" ht="18.600000000000001">
      <c r="A22" s="427"/>
      <c r="C22" s="428" t="s">
        <v>518</v>
      </c>
      <c r="D22" s="427"/>
      <c r="E22" s="427"/>
      <c r="F22" s="427"/>
      <c r="G22" s="427"/>
      <c r="H22" s="427"/>
      <c r="I22" s="427"/>
      <c r="J22" s="427"/>
      <c r="K22" s="427"/>
      <c r="L22" s="427"/>
      <c r="M22" s="427"/>
      <c r="N22" s="427"/>
      <c r="O22" s="427"/>
      <c r="P22" s="427"/>
      <c r="Q22" s="427"/>
      <c r="R22" s="427"/>
      <c r="S22" s="427"/>
      <c r="T22" s="427"/>
      <c r="U22" s="427"/>
      <c r="V22" s="427"/>
      <c r="W22" s="427"/>
      <c r="X22" s="427"/>
      <c r="Y22" s="427"/>
      <c r="Z22" s="427"/>
      <c r="AA22" s="427"/>
      <c r="AB22" s="427"/>
      <c r="AC22" s="427"/>
      <c r="AD22" s="427"/>
      <c r="AE22" s="427"/>
      <c r="AF22" s="427"/>
    </row>
    <row r="23" spans="1:36" ht="18">
      <c r="A23" s="427"/>
      <c r="B23" s="429"/>
      <c r="C23" s="427"/>
      <c r="D23" s="427"/>
      <c r="E23" s="427"/>
      <c r="F23" s="427"/>
      <c r="G23" s="427"/>
      <c r="H23" s="427"/>
      <c r="I23" s="427"/>
      <c r="J23" s="427"/>
      <c r="K23" s="427"/>
      <c r="L23" s="427"/>
      <c r="M23" s="427"/>
      <c r="N23" s="427"/>
      <c r="O23" s="427"/>
      <c r="P23" s="427"/>
      <c r="Q23" s="427"/>
      <c r="R23" s="427"/>
      <c r="S23" s="427"/>
      <c r="T23" s="427"/>
      <c r="U23" s="427"/>
      <c r="V23" s="427"/>
      <c r="W23" s="427"/>
      <c r="X23" s="427"/>
      <c r="Y23" s="427"/>
      <c r="Z23" s="427"/>
      <c r="AA23" s="427"/>
      <c r="AB23" s="427"/>
      <c r="AC23" s="427"/>
      <c r="AD23" s="427"/>
      <c r="AE23" s="427"/>
      <c r="AF23" s="427"/>
    </row>
    <row r="25" spans="1:36" ht="15">
      <c r="Q25" s="432" t="s">
        <v>511</v>
      </c>
    </row>
  </sheetData>
  <mergeCells count="1">
    <mergeCell ref="B2:AD2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AJ25"/>
  <sheetViews>
    <sheetView workbookViewId="0">
      <selection activeCell="O23" sqref="O23"/>
    </sheetView>
  </sheetViews>
  <sheetFormatPr baseColWidth="10" defaultColWidth="11.44140625" defaultRowHeight="14.4"/>
  <cols>
    <col min="1" max="1" width="3" style="389" customWidth="1"/>
    <col min="2" max="2" width="54" style="389" customWidth="1"/>
    <col min="3" max="33" width="5.6640625" style="389" customWidth="1"/>
    <col min="34" max="34" width="43.33203125" style="389" customWidth="1"/>
    <col min="35" max="36" width="10.33203125" style="389" customWidth="1"/>
    <col min="37" max="16384" width="11.44140625" style="389"/>
  </cols>
  <sheetData>
    <row r="1" spans="1:36" s="388" customFormat="1" ht="29.4">
      <c r="A1" s="385"/>
      <c r="B1" s="386" t="s">
        <v>519</v>
      </c>
      <c r="C1" s="387" t="s">
        <v>520</v>
      </c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  <c r="W1" s="385"/>
      <c r="X1" s="385"/>
      <c r="Y1" s="385"/>
      <c r="Z1" s="385"/>
      <c r="AA1" s="385"/>
      <c r="AB1" s="385"/>
      <c r="AC1" s="385"/>
      <c r="AD1" s="385"/>
      <c r="AE1" s="385"/>
      <c r="AF1" s="385"/>
      <c r="AG1" s="385"/>
      <c r="AH1" s="385"/>
      <c r="AI1" s="385"/>
      <c r="AJ1" s="385"/>
    </row>
    <row r="2" spans="1:36" ht="15">
      <c r="B2" s="566" t="s">
        <v>501</v>
      </c>
      <c r="C2" s="567"/>
      <c r="D2" s="567"/>
      <c r="E2" s="567"/>
      <c r="F2" s="567"/>
      <c r="G2" s="567"/>
      <c r="H2" s="567"/>
      <c r="I2" s="567"/>
      <c r="J2" s="567"/>
      <c r="K2" s="567"/>
      <c r="L2" s="567"/>
      <c r="M2" s="567"/>
      <c r="N2" s="567"/>
      <c r="O2" s="567"/>
      <c r="P2" s="567"/>
      <c r="Q2" s="567"/>
      <c r="R2" s="567"/>
      <c r="S2" s="567"/>
      <c r="T2" s="567"/>
      <c r="U2" s="567"/>
      <c r="V2" s="567"/>
      <c r="W2" s="567"/>
      <c r="X2" s="567"/>
      <c r="Y2" s="567"/>
      <c r="Z2" s="567"/>
      <c r="AA2" s="567"/>
      <c r="AB2" s="567"/>
      <c r="AC2" s="567"/>
      <c r="AD2" s="567"/>
      <c r="AE2" s="390"/>
      <c r="AF2" s="390"/>
    </row>
    <row r="3" spans="1:36" ht="15">
      <c r="B3" s="391" t="s">
        <v>106</v>
      </c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  <c r="R3" s="390"/>
      <c r="S3" s="390"/>
      <c r="T3" s="390"/>
      <c r="U3" s="390"/>
      <c r="V3" s="390"/>
      <c r="W3" s="390"/>
      <c r="X3" s="390"/>
      <c r="Y3" s="390"/>
      <c r="Z3" s="390"/>
      <c r="AA3" s="390"/>
      <c r="AB3" s="390"/>
      <c r="AC3" s="390"/>
      <c r="AD3" s="390"/>
      <c r="AE3" s="390"/>
      <c r="AF3" s="390"/>
    </row>
    <row r="4" spans="1:36" ht="22.2">
      <c r="B4" s="392"/>
      <c r="C4" s="393"/>
      <c r="D4" s="393"/>
      <c r="E4" s="393"/>
      <c r="F4" s="393"/>
      <c r="G4" s="393"/>
      <c r="H4" s="393"/>
      <c r="I4" s="393"/>
      <c r="J4" s="393"/>
      <c r="K4" s="393"/>
      <c r="L4" s="393"/>
      <c r="M4" s="393"/>
      <c r="N4" s="393"/>
      <c r="O4" s="393"/>
      <c r="P4" s="393"/>
      <c r="Q4" s="393"/>
      <c r="R4" s="393"/>
      <c r="S4" s="393"/>
      <c r="T4" s="393"/>
      <c r="U4" s="393"/>
      <c r="V4" s="393"/>
      <c r="W4" s="393"/>
      <c r="X4" s="393"/>
      <c r="Y4" s="393"/>
      <c r="Z4" s="393"/>
      <c r="AA4" s="393"/>
      <c r="AB4" s="393"/>
      <c r="AC4" s="393"/>
      <c r="AD4" s="393"/>
      <c r="AE4" s="393"/>
      <c r="AF4" s="393"/>
    </row>
    <row r="5" spans="1:36" ht="18">
      <c r="A5" s="394"/>
      <c r="B5" s="395" t="s">
        <v>87</v>
      </c>
      <c r="C5" s="394"/>
      <c r="D5" s="394"/>
      <c r="E5" s="394"/>
      <c r="F5" s="394"/>
      <c r="G5" s="394"/>
      <c r="H5" s="394"/>
      <c r="I5" s="394"/>
      <c r="J5" s="394"/>
      <c r="K5" s="394"/>
      <c r="L5" s="394"/>
      <c r="M5" s="394"/>
      <c r="N5" s="394"/>
      <c r="O5" s="394"/>
      <c r="P5" s="394"/>
      <c r="Q5" s="394"/>
      <c r="R5" s="394"/>
      <c r="S5" s="394"/>
      <c r="T5" s="394"/>
      <c r="U5" s="394"/>
      <c r="V5" s="394"/>
      <c r="W5" s="394"/>
      <c r="X5" s="394"/>
      <c r="Y5" s="394"/>
      <c r="Z5" s="394"/>
      <c r="AA5" s="394"/>
      <c r="AB5" s="394"/>
      <c r="AC5" s="394"/>
      <c r="AD5" s="394"/>
      <c r="AE5" s="394"/>
      <c r="AF5" s="394"/>
      <c r="AG5" s="394"/>
      <c r="AH5" s="394"/>
      <c r="AI5" s="394"/>
      <c r="AJ5" s="394"/>
    </row>
    <row r="6" spans="1:36" s="396" customFormat="1" ht="28.8">
      <c r="B6" s="397" t="s">
        <v>521</v>
      </c>
      <c r="C6" s="398">
        <v>1990</v>
      </c>
      <c r="D6" s="398">
        <v>1991</v>
      </c>
      <c r="E6" s="398">
        <v>1992</v>
      </c>
      <c r="F6" s="398">
        <v>1993</v>
      </c>
      <c r="G6" s="398">
        <v>1994</v>
      </c>
      <c r="H6" s="398">
        <v>1995</v>
      </c>
      <c r="I6" s="398">
        <v>1996</v>
      </c>
      <c r="J6" s="398">
        <v>1997</v>
      </c>
      <c r="K6" s="398">
        <v>1998</v>
      </c>
      <c r="L6" s="398">
        <v>1999</v>
      </c>
      <c r="M6" s="398">
        <v>2000</v>
      </c>
      <c r="N6" s="398">
        <v>2001</v>
      </c>
      <c r="O6" s="398">
        <v>2002</v>
      </c>
      <c r="P6" s="398">
        <v>2003</v>
      </c>
      <c r="Q6" s="398">
        <v>2004</v>
      </c>
      <c r="R6" s="398">
        <v>2005</v>
      </c>
      <c r="S6" s="398">
        <v>2006</v>
      </c>
      <c r="T6" s="398">
        <v>2007</v>
      </c>
      <c r="U6" s="398">
        <v>2008</v>
      </c>
      <c r="V6" s="398">
        <v>2009</v>
      </c>
      <c r="W6" s="398">
        <v>2010</v>
      </c>
      <c r="X6" s="398">
        <v>2011</v>
      </c>
      <c r="Y6" s="398">
        <v>2012</v>
      </c>
      <c r="Z6" s="398">
        <v>2013</v>
      </c>
      <c r="AA6" s="398">
        <v>2014</v>
      </c>
      <c r="AB6" s="398">
        <v>2015</v>
      </c>
      <c r="AC6" s="398">
        <v>2016</v>
      </c>
      <c r="AD6" s="398">
        <v>2017</v>
      </c>
      <c r="AE6" s="398">
        <v>2018</v>
      </c>
      <c r="AF6" s="398">
        <v>2019</v>
      </c>
      <c r="AH6" s="399" t="s">
        <v>522</v>
      </c>
      <c r="AI6" s="400" t="s">
        <v>90</v>
      </c>
      <c r="AJ6" s="400" t="s">
        <v>91</v>
      </c>
    </row>
    <row r="7" spans="1:36" s="404" customFormat="1" ht="13.2">
      <c r="A7" s="401"/>
      <c r="B7" s="402" t="s">
        <v>92</v>
      </c>
      <c r="C7" s="403">
        <v>9.6738839999999993E-2</v>
      </c>
      <c r="D7" s="403">
        <v>0.11070647999999998</v>
      </c>
      <c r="E7" s="403">
        <v>0.13114061999999999</v>
      </c>
      <c r="F7" s="403">
        <v>0.15344709304275</v>
      </c>
      <c r="G7" s="403">
        <v>0.15429732139575</v>
      </c>
      <c r="H7" s="403">
        <v>0.17247013281224993</v>
      </c>
      <c r="I7" s="403">
        <v>0.18824361730200001</v>
      </c>
      <c r="J7" s="403">
        <v>0.1897785502704</v>
      </c>
      <c r="K7" s="403">
        <v>0.21711350511864003</v>
      </c>
      <c r="L7" s="403">
        <v>0.22541104707135301</v>
      </c>
      <c r="M7" s="403">
        <v>0.25257879624194102</v>
      </c>
      <c r="N7" s="403">
        <v>0.28131391555698598</v>
      </c>
      <c r="O7" s="403">
        <v>0.28166222003353208</v>
      </c>
      <c r="P7" s="403">
        <v>0.28166222003353208</v>
      </c>
      <c r="Q7" s="403">
        <v>0.30295653898275898</v>
      </c>
      <c r="R7" s="403">
        <v>0.32217312211568283</v>
      </c>
      <c r="S7" s="403">
        <v>0.29348396250375602</v>
      </c>
      <c r="T7" s="403">
        <v>0.28093990901610205</v>
      </c>
      <c r="U7" s="403">
        <v>0.28177187163102563</v>
      </c>
      <c r="V7" s="403">
        <v>0.27858268160715199</v>
      </c>
      <c r="W7" s="403">
        <v>0.27476951962208573</v>
      </c>
      <c r="X7" s="403">
        <v>0.27349556568569083</v>
      </c>
      <c r="Y7" s="403">
        <v>0.26175972519801843</v>
      </c>
      <c r="Z7" s="403">
        <v>0.26098402209802785</v>
      </c>
      <c r="AA7" s="403">
        <v>0.25709080607586154</v>
      </c>
      <c r="AB7" s="403">
        <v>0.25409815603747044</v>
      </c>
      <c r="AC7" s="403">
        <v>0.27853813135099814</v>
      </c>
      <c r="AD7" s="403">
        <v>0.27147215209368575</v>
      </c>
      <c r="AE7" s="403">
        <v>0.27723518614507248</v>
      </c>
      <c r="AF7" s="403">
        <v>0.28738976297119373</v>
      </c>
      <c r="AH7" s="401" t="s">
        <v>92</v>
      </c>
      <c r="AI7" s="405">
        <v>1.9707795025368688</v>
      </c>
      <c r="AJ7" s="405">
        <v>3.6628023186088418E-2</v>
      </c>
    </row>
    <row r="8" spans="1:36" s="404" customFormat="1" ht="13.2">
      <c r="A8" s="406"/>
      <c r="B8" s="402" t="s">
        <v>93</v>
      </c>
      <c r="C8" s="403">
        <v>0</v>
      </c>
      <c r="D8" s="403">
        <v>0</v>
      </c>
      <c r="E8" s="403">
        <v>0</v>
      </c>
      <c r="F8" s="403">
        <v>0</v>
      </c>
      <c r="G8" s="403">
        <v>0</v>
      </c>
      <c r="H8" s="403">
        <v>0</v>
      </c>
      <c r="I8" s="403">
        <v>0</v>
      </c>
      <c r="J8" s="403">
        <v>0</v>
      </c>
      <c r="K8" s="403">
        <v>0</v>
      </c>
      <c r="L8" s="403">
        <v>0</v>
      </c>
      <c r="M8" s="403">
        <v>0</v>
      </c>
      <c r="N8" s="403">
        <v>0</v>
      </c>
      <c r="O8" s="403">
        <v>0</v>
      </c>
      <c r="P8" s="403">
        <v>0</v>
      </c>
      <c r="Q8" s="403">
        <v>0</v>
      </c>
      <c r="R8" s="403">
        <v>0</v>
      </c>
      <c r="S8" s="403">
        <v>0</v>
      </c>
      <c r="T8" s="403">
        <v>0</v>
      </c>
      <c r="U8" s="403">
        <v>0</v>
      </c>
      <c r="V8" s="403">
        <v>0</v>
      </c>
      <c r="W8" s="403">
        <v>0</v>
      </c>
      <c r="X8" s="403">
        <v>0</v>
      </c>
      <c r="Y8" s="403">
        <v>0</v>
      </c>
      <c r="Z8" s="403">
        <v>0</v>
      </c>
      <c r="AA8" s="403">
        <v>0</v>
      </c>
      <c r="AB8" s="403">
        <v>0</v>
      </c>
      <c r="AC8" s="403">
        <v>0</v>
      </c>
      <c r="AD8" s="403">
        <v>0</v>
      </c>
      <c r="AE8" s="403">
        <v>0</v>
      </c>
      <c r="AF8" s="403">
        <v>0</v>
      </c>
      <c r="AH8" s="407" t="s">
        <v>93</v>
      </c>
      <c r="AI8" s="405">
        <v>0</v>
      </c>
      <c r="AJ8" s="405">
        <v>0</v>
      </c>
    </row>
    <row r="9" spans="1:36" s="404" customFormat="1" ht="13.2">
      <c r="A9" s="408"/>
      <c r="B9" s="402" t="s">
        <v>94</v>
      </c>
      <c r="C9" s="442">
        <v>0.86010476282499959</v>
      </c>
      <c r="D9" s="442">
        <v>0.86526539140194947</v>
      </c>
      <c r="E9" s="442">
        <v>0.87045698375036107</v>
      </c>
      <c r="F9" s="442">
        <v>0.87567972565286312</v>
      </c>
      <c r="G9" s="442">
        <v>0.88093380400678034</v>
      </c>
      <c r="H9" s="442">
        <v>0.88621940683082134</v>
      </c>
      <c r="I9" s="442">
        <v>0.88903641518999932</v>
      </c>
      <c r="J9" s="442">
        <v>0.89614870651151946</v>
      </c>
      <c r="K9" s="442">
        <v>0.90331789616361169</v>
      </c>
      <c r="L9" s="442">
        <v>0.91054443933292051</v>
      </c>
      <c r="M9" s="442">
        <v>0.91782879484758395</v>
      </c>
      <c r="N9" s="442">
        <v>0.92517142520636464</v>
      </c>
      <c r="O9" s="442">
        <v>0.93257279660801551</v>
      </c>
      <c r="P9" s="442">
        <v>0.93786250095999935</v>
      </c>
      <c r="Q9" s="442">
        <v>0.91816738843983936</v>
      </c>
      <c r="R9" s="442">
        <v>0.89888587328260272</v>
      </c>
      <c r="S9" s="442">
        <v>0.88000926994366802</v>
      </c>
      <c r="T9" s="442">
        <v>0.86152907527485112</v>
      </c>
      <c r="U9" s="442">
        <v>0.8437875619249996</v>
      </c>
      <c r="V9" s="442">
        <v>0.8272820856299995</v>
      </c>
      <c r="W9" s="442">
        <v>0.80757592761999952</v>
      </c>
      <c r="X9" s="442">
        <v>0.78630080798499957</v>
      </c>
      <c r="Y9" s="442">
        <v>0.77757738134999932</v>
      </c>
      <c r="Z9" s="442">
        <v>0.76546499760499942</v>
      </c>
      <c r="AA9" s="442">
        <v>0.71463064095499962</v>
      </c>
      <c r="AB9" s="442">
        <v>0.72334888135714215</v>
      </c>
      <c r="AC9" s="442">
        <v>0.74584163635142797</v>
      </c>
      <c r="AD9" s="442">
        <v>0.73727779047999964</v>
      </c>
      <c r="AE9" s="442">
        <v>0.71106948450999952</v>
      </c>
      <c r="AF9" s="442">
        <v>0.7033177320399997</v>
      </c>
      <c r="AH9" s="408" t="s">
        <v>94</v>
      </c>
      <c r="AI9" s="405">
        <v>-0.18228829505609936</v>
      </c>
      <c r="AJ9" s="405">
        <v>-1.0901540058833458E-2</v>
      </c>
    </row>
    <row r="10" spans="1:36" s="404" customFormat="1" ht="13.2">
      <c r="A10" s="409"/>
      <c r="B10" s="402" t="s">
        <v>95</v>
      </c>
      <c r="C10" s="442">
        <v>9.6240290748427576E-2</v>
      </c>
      <c r="D10" s="442">
        <v>9.7513905948060198E-2</v>
      </c>
      <c r="E10" s="442">
        <v>9.7643047739985556E-2</v>
      </c>
      <c r="F10" s="442">
        <v>9.7907721991645852E-2</v>
      </c>
      <c r="G10" s="442">
        <v>9.8208957315587986E-2</v>
      </c>
      <c r="H10" s="442">
        <v>9.8586151901155258E-2</v>
      </c>
      <c r="I10" s="442">
        <v>9.867358507860588E-2</v>
      </c>
      <c r="J10" s="442">
        <v>9.9367514685931163E-2</v>
      </c>
      <c r="K10" s="442">
        <v>9.9778119254246997E-2</v>
      </c>
      <c r="L10" s="442">
        <v>0.10014018053329198</v>
      </c>
      <c r="M10" s="442">
        <v>0.10041047465598407</v>
      </c>
      <c r="N10" s="442">
        <v>0.10058541612015837</v>
      </c>
      <c r="O10" s="442">
        <v>0.10072685853216358</v>
      </c>
      <c r="P10" s="442">
        <v>0.10267164243335956</v>
      </c>
      <c r="Q10" s="442">
        <v>0.10091929839952628</v>
      </c>
      <c r="R10" s="442">
        <v>9.9571578280209322E-2</v>
      </c>
      <c r="S10" s="442">
        <v>9.8413758183341818E-2</v>
      </c>
      <c r="T10" s="442">
        <v>9.6816423100703486E-2</v>
      </c>
      <c r="U10" s="442">
        <v>9.1378495302293861E-2</v>
      </c>
      <c r="V10" s="442">
        <v>8.9863848202543617E-2</v>
      </c>
      <c r="W10" s="442">
        <v>8.7758747781930213E-2</v>
      </c>
      <c r="X10" s="442">
        <v>8.5273119343376114E-2</v>
      </c>
      <c r="Y10" s="442">
        <v>8.4204515338054092E-2</v>
      </c>
      <c r="Z10" s="442">
        <v>8.2649473577634719E-2</v>
      </c>
      <c r="AA10" s="442">
        <v>7.7213173460927556E-2</v>
      </c>
      <c r="AB10" s="442">
        <v>7.9185390858543328E-2</v>
      </c>
      <c r="AC10" s="442">
        <v>8.2390008568527365E-2</v>
      </c>
      <c r="AD10" s="442">
        <v>8.0961049804730081E-2</v>
      </c>
      <c r="AE10" s="442">
        <v>7.8026574517093703E-2</v>
      </c>
      <c r="AF10" s="442">
        <v>7.7154627301585649E-2</v>
      </c>
      <c r="AH10" s="409" t="s">
        <v>96</v>
      </c>
      <c r="AI10" s="405">
        <v>-0.19831261209228795</v>
      </c>
      <c r="AJ10" s="405">
        <v>-1.117500314353838E-2</v>
      </c>
    </row>
    <row r="11" spans="1:36" s="404" customFormat="1" ht="13.2">
      <c r="A11" s="410"/>
      <c r="B11" s="402" t="s">
        <v>4</v>
      </c>
      <c r="C11" s="431">
        <v>0.59784400332873089</v>
      </c>
      <c r="D11" s="431">
        <v>0.66098556182524604</v>
      </c>
      <c r="E11" s="431">
        <v>0.69846531732321759</v>
      </c>
      <c r="F11" s="431">
        <v>0.82219423136822012</v>
      </c>
      <c r="G11" s="431">
        <v>0.93453039880465638</v>
      </c>
      <c r="H11" s="431">
        <v>1.0497259328201456</v>
      </c>
      <c r="I11" s="431">
        <v>1.2030265185077444</v>
      </c>
      <c r="J11" s="431">
        <v>1.2283410600822122</v>
      </c>
      <c r="K11" s="431">
        <v>1.2596268228470393</v>
      </c>
      <c r="L11" s="431">
        <v>1.2792031896693132</v>
      </c>
      <c r="M11" s="431">
        <v>1.2862557192275204</v>
      </c>
      <c r="N11" s="431">
        <v>1.3074006706459631</v>
      </c>
      <c r="O11" s="431">
        <v>1.2599159340131239</v>
      </c>
      <c r="P11" s="431">
        <v>1.2187831552040809</v>
      </c>
      <c r="Q11" s="431">
        <v>1.1862886581144774</v>
      </c>
      <c r="R11" s="431">
        <v>1.0990622168249795</v>
      </c>
      <c r="S11" s="431">
        <v>0.99164150537990392</v>
      </c>
      <c r="T11" s="431">
        <v>0.95010894134620028</v>
      </c>
      <c r="U11" s="431">
        <v>0.91456879515991385</v>
      </c>
      <c r="V11" s="431">
        <v>0.86605360773266604</v>
      </c>
      <c r="W11" s="431">
        <v>0.82790572293906994</v>
      </c>
      <c r="X11" s="431">
        <v>0.79051317331765003</v>
      </c>
      <c r="Y11" s="431">
        <v>0.804996054316656</v>
      </c>
      <c r="Z11" s="431">
        <v>0.66594212769858185</v>
      </c>
      <c r="AA11" s="431">
        <v>0.6271282505660204</v>
      </c>
      <c r="AB11" s="431">
        <v>0.65896679906813649</v>
      </c>
      <c r="AC11" s="431">
        <v>0.68720964959251185</v>
      </c>
      <c r="AD11" s="431">
        <v>0.69370121791696104</v>
      </c>
      <c r="AE11" s="431">
        <v>0.64748422899704183</v>
      </c>
      <c r="AF11" s="431">
        <v>0.68008502518364322</v>
      </c>
      <c r="AH11" s="410" t="s">
        <v>4</v>
      </c>
      <c r="AI11" s="405">
        <v>0.13756267754966714</v>
      </c>
      <c r="AJ11" s="405">
        <v>5.0349946340932934E-2</v>
      </c>
    </row>
    <row r="12" spans="1:36" s="404" customFormat="1" ht="13.2">
      <c r="A12" s="411"/>
      <c r="B12" s="402" t="s">
        <v>97</v>
      </c>
      <c r="C12" s="403">
        <v>0.24216089679838321</v>
      </c>
      <c r="D12" s="403">
        <v>0.25354001275576121</v>
      </c>
      <c r="E12" s="403">
        <v>0.27467908070871261</v>
      </c>
      <c r="F12" s="403">
        <v>0.35303340262995092</v>
      </c>
      <c r="G12" s="403">
        <v>0.46777571143916008</v>
      </c>
      <c r="H12" s="403">
        <v>0.63032589730381616</v>
      </c>
      <c r="I12" s="403">
        <v>0.87153954608271811</v>
      </c>
      <c r="J12" s="403">
        <v>1.0181181441586484</v>
      </c>
      <c r="K12" s="403">
        <v>1.1021442718346786</v>
      </c>
      <c r="L12" s="403">
        <v>1.3436683328556347</v>
      </c>
      <c r="M12" s="403">
        <v>0.60453294716151174</v>
      </c>
      <c r="N12" s="403">
        <v>0.58873539738867708</v>
      </c>
      <c r="O12" s="403">
        <v>0.60236821021820919</v>
      </c>
      <c r="P12" s="403">
        <v>0.5736175193005445</v>
      </c>
      <c r="Q12" s="403">
        <v>0.57714940500851897</v>
      </c>
      <c r="R12" s="403">
        <v>0.5326910365881391</v>
      </c>
      <c r="S12" s="403">
        <v>0.51961028867777637</v>
      </c>
      <c r="T12" s="403">
        <v>0.51651311996017191</v>
      </c>
      <c r="U12" s="403">
        <v>0.56124332433201163</v>
      </c>
      <c r="V12" s="403">
        <v>0.47306136563856177</v>
      </c>
      <c r="W12" s="403">
        <v>0.45658231670171595</v>
      </c>
      <c r="X12" s="403">
        <v>0.44483468202073373</v>
      </c>
      <c r="Y12" s="403">
        <v>0.42693651802725741</v>
      </c>
      <c r="Z12" s="403">
        <v>0.38261694055939527</v>
      </c>
      <c r="AA12" s="403">
        <v>0.36708920100723469</v>
      </c>
      <c r="AB12" s="403">
        <v>0.35906313127783573</v>
      </c>
      <c r="AC12" s="403">
        <v>0.35366697384818091</v>
      </c>
      <c r="AD12" s="403">
        <v>0.33120495665532357</v>
      </c>
      <c r="AE12" s="403">
        <v>0.33842623869475602</v>
      </c>
      <c r="AF12" s="403">
        <v>0.37631267243998878</v>
      </c>
      <c r="AH12" s="412" t="s">
        <v>97</v>
      </c>
      <c r="AI12" s="405">
        <v>0.55397786106357549</v>
      </c>
      <c r="AJ12" s="405">
        <v>0.11194886629167214</v>
      </c>
    </row>
    <row r="13" spans="1:36" s="416" customFormat="1" ht="13.2">
      <c r="A13" s="413"/>
      <c r="B13" s="414" t="s">
        <v>98</v>
      </c>
      <c r="C13" s="415">
        <v>1.0943514312890911E-2</v>
      </c>
      <c r="D13" s="415">
        <v>1.1027519765381728E-2</v>
      </c>
      <c r="E13" s="415">
        <v>1.1825702957908959E-2</v>
      </c>
      <c r="F13" s="415">
        <v>9.4566867130529957E-3</v>
      </c>
      <c r="G13" s="415">
        <v>9.7832012409482614E-3</v>
      </c>
      <c r="H13" s="415">
        <v>1.0963838479195987E-2</v>
      </c>
      <c r="I13" s="415">
        <v>4.2127635348952397E-3</v>
      </c>
      <c r="J13" s="415">
        <v>2.8209802810408653E-3</v>
      </c>
      <c r="K13" s="415">
        <v>3.1714695313805534E-3</v>
      </c>
      <c r="L13" s="415">
        <v>9.662280759195224E-5</v>
      </c>
      <c r="M13" s="415">
        <v>7.5706790090832674E-3</v>
      </c>
      <c r="N13" s="415">
        <v>9.4707357134250804E-3</v>
      </c>
      <c r="O13" s="415">
        <v>9.5831308187246389E-3</v>
      </c>
      <c r="P13" s="415">
        <v>1.4292919342658748E-2</v>
      </c>
      <c r="Q13" s="415">
        <v>1.4216493685329375E-2</v>
      </c>
      <c r="R13" s="415">
        <v>1.3841078195435747E-2</v>
      </c>
      <c r="S13" s="415">
        <v>1.4080027837686479E-2</v>
      </c>
      <c r="T13" s="415">
        <v>3.6172980354757253E-3</v>
      </c>
      <c r="U13" s="415">
        <v>1.4813048635152343E-2</v>
      </c>
      <c r="V13" s="415">
        <v>1.7312252451627607E-2</v>
      </c>
      <c r="W13" s="415">
        <v>1.8911546478756112E-2</v>
      </c>
      <c r="X13" s="415">
        <v>1.6616012099336001E-2</v>
      </c>
      <c r="Y13" s="415">
        <v>1.412224606161851E-2</v>
      </c>
      <c r="Z13" s="415">
        <v>1.542165737262991E-2</v>
      </c>
      <c r="AA13" s="415">
        <v>1.4601791323508709E-2</v>
      </c>
      <c r="AB13" s="415">
        <v>1.3726819785208021E-2</v>
      </c>
      <c r="AC13" s="415">
        <v>1.3927585845714369E-2</v>
      </c>
      <c r="AD13" s="415">
        <v>1.3437970231886137E-2</v>
      </c>
      <c r="AE13" s="415">
        <v>1.4298653270690987E-2</v>
      </c>
      <c r="AF13" s="415">
        <v>1.0432374844163584E-2</v>
      </c>
      <c r="AH13" s="413" t="s">
        <v>98</v>
      </c>
      <c r="AI13" s="417">
        <v>-4.6707068142199083E-2</v>
      </c>
      <c r="AJ13" s="417">
        <v>-0.27039458565320984</v>
      </c>
    </row>
    <row r="14" spans="1:36" s="404" customFormat="1" ht="13.2">
      <c r="A14" s="418"/>
      <c r="B14" s="419" t="s">
        <v>99</v>
      </c>
      <c r="C14" s="420">
        <v>1.8930887937005414</v>
      </c>
      <c r="D14" s="420">
        <v>1.9880113519310167</v>
      </c>
      <c r="E14" s="420">
        <v>2.0723850495222766</v>
      </c>
      <c r="F14" s="420">
        <v>2.3022621746854299</v>
      </c>
      <c r="G14" s="420">
        <v>2.5357461929619349</v>
      </c>
      <c r="H14" s="420">
        <v>2.8373275216681884</v>
      </c>
      <c r="I14" s="420">
        <v>3.2505196821610678</v>
      </c>
      <c r="J14" s="420">
        <v>3.4317539757087112</v>
      </c>
      <c r="K14" s="420">
        <v>3.5819806152182165</v>
      </c>
      <c r="L14" s="420">
        <v>3.8589671894625135</v>
      </c>
      <c r="M14" s="420">
        <v>3.1616067321345409</v>
      </c>
      <c r="N14" s="420">
        <v>3.2032068249181496</v>
      </c>
      <c r="O14" s="420">
        <v>3.1772460194050445</v>
      </c>
      <c r="P14" s="420">
        <v>3.1145970379315164</v>
      </c>
      <c r="Q14" s="420">
        <v>3.0854812889451209</v>
      </c>
      <c r="R14" s="420">
        <v>2.9523838270916136</v>
      </c>
      <c r="S14" s="420">
        <v>2.7831587846884465</v>
      </c>
      <c r="T14" s="420">
        <v>2.7059074686980287</v>
      </c>
      <c r="U14" s="420">
        <v>2.6927500483502445</v>
      </c>
      <c r="V14" s="420">
        <v>2.5348435888109226</v>
      </c>
      <c r="W14" s="420">
        <v>2.4545922346648013</v>
      </c>
      <c r="X14" s="420">
        <v>2.38041734835245</v>
      </c>
      <c r="Y14" s="420">
        <v>2.3554741942299855</v>
      </c>
      <c r="Z14" s="420">
        <v>2.1576575615386391</v>
      </c>
      <c r="AA14" s="420">
        <v>2.0431520720650438</v>
      </c>
      <c r="AB14" s="420">
        <v>2.0746623585991282</v>
      </c>
      <c r="AC14" s="420">
        <v>2.1476463997116464</v>
      </c>
      <c r="AD14" s="420">
        <v>2.1146171669507003</v>
      </c>
      <c r="AE14" s="420">
        <v>2.0522417128639634</v>
      </c>
      <c r="AF14" s="420">
        <v>2.1242598199364111</v>
      </c>
      <c r="AH14" s="421" t="s">
        <v>99</v>
      </c>
      <c r="AI14" s="422">
        <v>0.12211314493282957</v>
      </c>
      <c r="AJ14" s="422">
        <v>3.5092409739564415E-2</v>
      </c>
    </row>
    <row r="15" spans="1:36" s="404" customFormat="1" ht="13.2">
      <c r="A15" s="423"/>
      <c r="B15" s="402" t="s">
        <v>100</v>
      </c>
      <c r="C15" s="403">
        <v>0</v>
      </c>
      <c r="D15" s="403">
        <v>0</v>
      </c>
      <c r="E15" s="403">
        <v>0</v>
      </c>
      <c r="F15" s="403">
        <v>0</v>
      </c>
      <c r="G15" s="403">
        <v>0</v>
      </c>
      <c r="H15" s="403">
        <v>0</v>
      </c>
      <c r="I15" s="403">
        <v>0</v>
      </c>
      <c r="J15" s="403">
        <v>0</v>
      </c>
      <c r="K15" s="403">
        <v>0</v>
      </c>
      <c r="L15" s="403">
        <v>0</v>
      </c>
      <c r="M15" s="403">
        <v>0</v>
      </c>
      <c r="N15" s="403">
        <v>0</v>
      </c>
      <c r="O15" s="403">
        <v>0</v>
      </c>
      <c r="P15" s="403">
        <v>0</v>
      </c>
      <c r="Q15" s="403">
        <v>0</v>
      </c>
      <c r="R15" s="403">
        <v>0</v>
      </c>
      <c r="S15" s="403">
        <v>0</v>
      </c>
      <c r="T15" s="403">
        <v>0</v>
      </c>
      <c r="U15" s="403">
        <v>0</v>
      </c>
      <c r="V15" s="403">
        <v>0</v>
      </c>
      <c r="W15" s="403">
        <v>0</v>
      </c>
      <c r="X15" s="403">
        <v>0</v>
      </c>
      <c r="Y15" s="403">
        <v>0</v>
      </c>
      <c r="Z15" s="403">
        <v>0</v>
      </c>
      <c r="AA15" s="403">
        <v>0</v>
      </c>
      <c r="AB15" s="403">
        <v>0</v>
      </c>
      <c r="AC15" s="403">
        <v>0</v>
      </c>
      <c r="AD15" s="403">
        <v>0</v>
      </c>
      <c r="AE15" s="403">
        <v>0</v>
      </c>
      <c r="AF15" s="403">
        <v>0</v>
      </c>
      <c r="AH15" s="423" t="s">
        <v>100</v>
      </c>
      <c r="AI15" s="405">
        <v>0</v>
      </c>
      <c r="AJ15" s="405">
        <v>0</v>
      </c>
    </row>
    <row r="16" spans="1:36" s="416" customFormat="1" ht="13.2">
      <c r="A16" s="413"/>
      <c r="B16" s="414" t="s">
        <v>101</v>
      </c>
      <c r="C16" s="415">
        <v>0</v>
      </c>
      <c r="D16" s="415">
        <v>0</v>
      </c>
      <c r="E16" s="415">
        <v>0</v>
      </c>
      <c r="F16" s="415">
        <v>0</v>
      </c>
      <c r="G16" s="415">
        <v>0</v>
      </c>
      <c r="H16" s="415">
        <v>0</v>
      </c>
      <c r="I16" s="415">
        <v>0</v>
      </c>
      <c r="J16" s="415">
        <v>0</v>
      </c>
      <c r="K16" s="415">
        <v>0</v>
      </c>
      <c r="L16" s="415">
        <v>0</v>
      </c>
      <c r="M16" s="415">
        <v>0</v>
      </c>
      <c r="N16" s="415">
        <v>0</v>
      </c>
      <c r="O16" s="415">
        <v>0</v>
      </c>
      <c r="P16" s="415">
        <v>0</v>
      </c>
      <c r="Q16" s="415">
        <v>0</v>
      </c>
      <c r="R16" s="415">
        <v>0</v>
      </c>
      <c r="S16" s="415">
        <v>0</v>
      </c>
      <c r="T16" s="415">
        <v>0</v>
      </c>
      <c r="U16" s="415">
        <v>0</v>
      </c>
      <c r="V16" s="415">
        <v>0</v>
      </c>
      <c r="W16" s="415">
        <v>0</v>
      </c>
      <c r="X16" s="415">
        <v>0</v>
      </c>
      <c r="Y16" s="415">
        <v>0</v>
      </c>
      <c r="Z16" s="415">
        <v>0</v>
      </c>
      <c r="AA16" s="415">
        <v>0</v>
      </c>
      <c r="AB16" s="415">
        <v>0</v>
      </c>
      <c r="AC16" s="415">
        <v>0</v>
      </c>
      <c r="AD16" s="415">
        <v>0</v>
      </c>
      <c r="AE16" s="415">
        <v>0</v>
      </c>
      <c r="AF16" s="415">
        <v>0</v>
      </c>
      <c r="AH16" s="413" t="s">
        <v>101</v>
      </c>
      <c r="AI16" s="417">
        <v>0</v>
      </c>
      <c r="AJ16" s="417">
        <v>0</v>
      </c>
    </row>
    <row r="17" spans="1:36" s="416" customFormat="1" ht="13.2">
      <c r="A17" s="413"/>
      <c r="B17" s="414" t="s">
        <v>102</v>
      </c>
      <c r="C17" s="415">
        <v>0</v>
      </c>
      <c r="D17" s="415">
        <v>0</v>
      </c>
      <c r="E17" s="415">
        <v>0</v>
      </c>
      <c r="F17" s="415">
        <v>0</v>
      </c>
      <c r="G17" s="415">
        <v>0</v>
      </c>
      <c r="H17" s="415">
        <v>0</v>
      </c>
      <c r="I17" s="415">
        <v>0</v>
      </c>
      <c r="J17" s="415">
        <v>0</v>
      </c>
      <c r="K17" s="415">
        <v>0</v>
      </c>
      <c r="L17" s="415">
        <v>0</v>
      </c>
      <c r="M17" s="415">
        <v>0</v>
      </c>
      <c r="N17" s="415">
        <v>0</v>
      </c>
      <c r="O17" s="415">
        <v>0</v>
      </c>
      <c r="P17" s="415">
        <v>0</v>
      </c>
      <c r="Q17" s="415">
        <v>0</v>
      </c>
      <c r="R17" s="415">
        <v>0</v>
      </c>
      <c r="S17" s="415">
        <v>0</v>
      </c>
      <c r="T17" s="415">
        <v>0</v>
      </c>
      <c r="U17" s="415">
        <v>0</v>
      </c>
      <c r="V17" s="415">
        <v>0</v>
      </c>
      <c r="W17" s="415">
        <v>0</v>
      </c>
      <c r="X17" s="415">
        <v>0</v>
      </c>
      <c r="Y17" s="415">
        <v>0</v>
      </c>
      <c r="Z17" s="415">
        <v>0</v>
      </c>
      <c r="AA17" s="415">
        <v>0</v>
      </c>
      <c r="AB17" s="415">
        <v>0</v>
      </c>
      <c r="AC17" s="415">
        <v>0</v>
      </c>
      <c r="AD17" s="415">
        <v>0</v>
      </c>
      <c r="AE17" s="415">
        <v>0</v>
      </c>
      <c r="AF17" s="415">
        <v>0</v>
      </c>
      <c r="AH17" s="413" t="s">
        <v>102</v>
      </c>
      <c r="AI17" s="417">
        <v>0</v>
      </c>
      <c r="AJ17" s="417">
        <v>0</v>
      </c>
    </row>
    <row r="18" spans="1:36" s="425" customFormat="1" ht="13.2">
      <c r="A18" s="424"/>
      <c r="B18" s="419" t="s">
        <v>103</v>
      </c>
      <c r="C18" s="420">
        <v>1.8930887937005414</v>
      </c>
      <c r="D18" s="420">
        <v>1.9880113519310167</v>
      </c>
      <c r="E18" s="420">
        <v>2.0723850495222766</v>
      </c>
      <c r="F18" s="420">
        <v>2.3022621746854299</v>
      </c>
      <c r="G18" s="420">
        <v>2.5357461929619349</v>
      </c>
      <c r="H18" s="420">
        <v>2.8373275216681884</v>
      </c>
      <c r="I18" s="420">
        <v>3.2505196821610678</v>
      </c>
      <c r="J18" s="420">
        <v>3.4317539757087112</v>
      </c>
      <c r="K18" s="420">
        <v>3.5819806152182165</v>
      </c>
      <c r="L18" s="420">
        <v>3.8589671894625135</v>
      </c>
      <c r="M18" s="420">
        <v>3.1616067321345409</v>
      </c>
      <c r="N18" s="420">
        <v>3.2032068249181496</v>
      </c>
      <c r="O18" s="420">
        <v>3.1772460194050445</v>
      </c>
      <c r="P18" s="420">
        <v>3.1145970379315164</v>
      </c>
      <c r="Q18" s="420">
        <v>3.0854812889451209</v>
      </c>
      <c r="R18" s="420">
        <v>2.9523838270916136</v>
      </c>
      <c r="S18" s="420">
        <v>2.7831587846884465</v>
      </c>
      <c r="T18" s="420">
        <v>2.7059074686980287</v>
      </c>
      <c r="U18" s="420">
        <v>2.6927500483502445</v>
      </c>
      <c r="V18" s="420">
        <v>2.5348435888109226</v>
      </c>
      <c r="W18" s="420">
        <v>2.4545922346648013</v>
      </c>
      <c r="X18" s="420">
        <v>2.38041734835245</v>
      </c>
      <c r="Y18" s="420">
        <v>2.3554741942299855</v>
      </c>
      <c r="Z18" s="420">
        <v>2.1576575615386391</v>
      </c>
      <c r="AA18" s="420">
        <v>2.0431520720650438</v>
      </c>
      <c r="AB18" s="420">
        <v>2.0746623585991282</v>
      </c>
      <c r="AC18" s="420">
        <v>2.1476463997116464</v>
      </c>
      <c r="AD18" s="420">
        <v>2.1146171669507003</v>
      </c>
      <c r="AE18" s="420">
        <v>2.0522417128639634</v>
      </c>
      <c r="AF18" s="420">
        <v>2.1242598199364111</v>
      </c>
      <c r="AH18" s="426" t="s">
        <v>103</v>
      </c>
      <c r="AI18" s="422">
        <v>0.12211314493282957</v>
      </c>
      <c r="AJ18" s="422">
        <v>3.5092409739564415E-2</v>
      </c>
    </row>
    <row r="19" spans="1:36" s="416" customFormat="1" ht="13.2">
      <c r="A19" s="413"/>
      <c r="B19" s="414" t="s">
        <v>104</v>
      </c>
      <c r="C19" s="415">
        <v>1.0943514312890911E-2</v>
      </c>
      <c r="D19" s="415">
        <v>1.1027519765381728E-2</v>
      </c>
      <c r="E19" s="415">
        <v>1.1825702957908959E-2</v>
      </c>
      <c r="F19" s="415">
        <v>9.4566867130529957E-3</v>
      </c>
      <c r="G19" s="415">
        <v>9.7832012409482614E-3</v>
      </c>
      <c r="H19" s="415">
        <v>1.0963838479195987E-2</v>
      </c>
      <c r="I19" s="415">
        <v>4.2127635348952397E-3</v>
      </c>
      <c r="J19" s="415">
        <v>2.8209802810408653E-3</v>
      </c>
      <c r="K19" s="415">
        <v>3.1714695313805534E-3</v>
      </c>
      <c r="L19" s="415">
        <v>9.662280759195224E-5</v>
      </c>
      <c r="M19" s="415">
        <v>7.5706790090832674E-3</v>
      </c>
      <c r="N19" s="415">
        <v>9.4707357134250804E-3</v>
      </c>
      <c r="O19" s="415">
        <v>9.5831308187246389E-3</v>
      </c>
      <c r="P19" s="415">
        <v>1.4292919342658748E-2</v>
      </c>
      <c r="Q19" s="415">
        <v>1.4216493685329375E-2</v>
      </c>
      <c r="R19" s="415">
        <v>1.3841078195435747E-2</v>
      </c>
      <c r="S19" s="415">
        <v>1.4080027837686479E-2</v>
      </c>
      <c r="T19" s="415">
        <v>3.6172980354757253E-3</v>
      </c>
      <c r="U19" s="415">
        <v>1.4813048635152343E-2</v>
      </c>
      <c r="V19" s="415">
        <v>1.7312252451627607E-2</v>
      </c>
      <c r="W19" s="415">
        <v>1.8911546478756112E-2</v>
      </c>
      <c r="X19" s="415">
        <v>1.6616012099336001E-2</v>
      </c>
      <c r="Y19" s="415">
        <v>1.412224606161851E-2</v>
      </c>
      <c r="Z19" s="415">
        <v>1.542165737262991E-2</v>
      </c>
      <c r="AA19" s="415">
        <v>1.4601791323508709E-2</v>
      </c>
      <c r="AB19" s="415">
        <v>1.3726819785208021E-2</v>
      </c>
      <c r="AC19" s="415">
        <v>1.3927585845714369E-2</v>
      </c>
      <c r="AD19" s="415">
        <v>1.3437970231886137E-2</v>
      </c>
      <c r="AE19" s="415">
        <v>1.4298653270690987E-2</v>
      </c>
      <c r="AF19" s="415">
        <v>1.0432374844163584E-2</v>
      </c>
      <c r="AH19" s="413" t="s">
        <v>104</v>
      </c>
      <c r="AI19" s="417">
        <v>-4.6707068142199083E-2</v>
      </c>
      <c r="AJ19" s="417">
        <v>-0.27039458565320984</v>
      </c>
    </row>
    <row r="22" spans="1:36" ht="18.600000000000001">
      <c r="A22" s="427"/>
      <c r="C22" s="428" t="s">
        <v>523</v>
      </c>
      <c r="D22" s="427"/>
      <c r="E22" s="427"/>
      <c r="F22" s="427"/>
      <c r="G22" s="427"/>
      <c r="H22" s="427"/>
      <c r="I22" s="427"/>
      <c r="J22" s="427"/>
      <c r="K22" s="427"/>
      <c r="L22" s="427"/>
      <c r="M22" s="427"/>
      <c r="N22" s="427"/>
      <c r="O22" s="427"/>
      <c r="P22" s="427"/>
      <c r="Q22" s="427"/>
      <c r="R22" s="427"/>
      <c r="S22" s="427"/>
      <c r="T22" s="427"/>
      <c r="U22" s="427"/>
      <c r="V22" s="427"/>
      <c r="W22" s="427"/>
      <c r="X22" s="427"/>
      <c r="Y22" s="427"/>
      <c r="Z22" s="427"/>
      <c r="AA22" s="427"/>
      <c r="AB22" s="427"/>
      <c r="AC22" s="427"/>
      <c r="AD22" s="427"/>
      <c r="AE22" s="427"/>
      <c r="AF22" s="427"/>
    </row>
    <row r="23" spans="1:36" ht="18">
      <c r="A23" s="427"/>
      <c r="B23" s="429"/>
      <c r="C23" s="427"/>
      <c r="D23" s="427"/>
      <c r="E23" s="427"/>
      <c r="F23" s="427"/>
      <c r="G23" s="427"/>
      <c r="H23" s="427"/>
      <c r="I23" s="427"/>
      <c r="J23" s="427"/>
      <c r="K23" s="427"/>
      <c r="L23" s="427"/>
      <c r="M23" s="427"/>
      <c r="N23" s="427"/>
      <c r="O23" s="427"/>
      <c r="P23" s="427"/>
      <c r="Q23" s="427"/>
      <c r="R23" s="427"/>
      <c r="S23" s="427"/>
      <c r="T23" s="427"/>
      <c r="U23" s="427"/>
      <c r="V23" s="427"/>
      <c r="W23" s="427"/>
      <c r="X23" s="427"/>
      <c r="Y23" s="427"/>
      <c r="Z23" s="427"/>
      <c r="AA23" s="427"/>
      <c r="AB23" s="427"/>
      <c r="AC23" s="427"/>
      <c r="AD23" s="427"/>
      <c r="AE23" s="427"/>
      <c r="AF23" s="427"/>
    </row>
    <row r="25" spans="1:36" ht="15">
      <c r="Q25" s="432" t="s">
        <v>511</v>
      </c>
    </row>
  </sheetData>
  <mergeCells count="1">
    <mergeCell ref="B2:AD2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AJ25"/>
  <sheetViews>
    <sheetView topLeftCell="D1" workbookViewId="0">
      <selection activeCell="AE7" sqref="AE7:AF14"/>
    </sheetView>
  </sheetViews>
  <sheetFormatPr baseColWidth="10" defaultColWidth="11.44140625" defaultRowHeight="14.4"/>
  <cols>
    <col min="1" max="1" width="3" style="389" customWidth="1"/>
    <col min="2" max="2" width="54" style="389" customWidth="1"/>
    <col min="3" max="16" width="5.6640625" style="389" customWidth="1"/>
    <col min="17" max="32" width="6" style="389" customWidth="1"/>
    <col min="33" max="33" width="5.6640625" style="389" customWidth="1"/>
    <col min="34" max="34" width="43.33203125" style="389" customWidth="1"/>
    <col min="35" max="36" width="10.33203125" style="389" customWidth="1"/>
    <col min="37" max="16384" width="11.44140625" style="389"/>
  </cols>
  <sheetData>
    <row r="1" spans="1:36" s="388" customFormat="1" ht="25.8">
      <c r="A1" s="385"/>
      <c r="B1" s="386" t="s">
        <v>499</v>
      </c>
      <c r="C1" s="387" t="s">
        <v>500</v>
      </c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  <c r="W1" s="385"/>
      <c r="X1" s="385"/>
      <c r="Y1" s="385"/>
      <c r="Z1" s="385"/>
      <c r="AA1" s="385"/>
      <c r="AB1" s="385"/>
      <c r="AC1" s="385"/>
      <c r="AD1" s="385"/>
      <c r="AE1" s="385"/>
      <c r="AF1" s="385"/>
      <c r="AG1" s="385"/>
      <c r="AH1" s="385"/>
      <c r="AI1" s="385"/>
      <c r="AJ1" s="385"/>
    </row>
    <row r="2" spans="1:36" ht="15">
      <c r="B2" s="566" t="s">
        <v>501</v>
      </c>
      <c r="C2" s="567"/>
      <c r="D2" s="567"/>
      <c r="E2" s="567"/>
      <c r="F2" s="567"/>
      <c r="G2" s="567"/>
      <c r="H2" s="567"/>
      <c r="I2" s="567"/>
      <c r="J2" s="567"/>
      <c r="K2" s="567"/>
      <c r="L2" s="567"/>
      <c r="M2" s="567"/>
      <c r="N2" s="567"/>
      <c r="O2" s="567"/>
      <c r="P2" s="567"/>
      <c r="Q2" s="567"/>
      <c r="R2" s="567"/>
      <c r="S2" s="567"/>
      <c r="T2" s="567"/>
      <c r="U2" s="567"/>
      <c r="V2" s="567"/>
      <c r="W2" s="567"/>
      <c r="X2" s="567"/>
      <c r="Y2" s="567"/>
      <c r="Z2" s="567"/>
      <c r="AA2" s="567"/>
      <c r="AB2" s="567"/>
      <c r="AC2" s="567"/>
      <c r="AD2" s="567"/>
      <c r="AE2" s="390"/>
      <c r="AF2" s="390"/>
    </row>
    <row r="3" spans="1:36" ht="15">
      <c r="B3" s="391" t="s">
        <v>106</v>
      </c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  <c r="R3" s="390"/>
      <c r="S3" s="390"/>
      <c r="T3" s="390"/>
      <c r="U3" s="390"/>
      <c r="V3" s="390"/>
      <c r="W3" s="390"/>
      <c r="X3" s="390"/>
      <c r="Y3" s="390"/>
      <c r="Z3" s="390"/>
      <c r="AA3" s="390"/>
      <c r="AB3" s="390"/>
      <c r="AC3" s="390"/>
      <c r="AD3" s="390"/>
      <c r="AE3" s="390"/>
      <c r="AF3" s="390"/>
    </row>
    <row r="4" spans="1:36" ht="22.2">
      <c r="B4" s="392"/>
      <c r="C4" s="393"/>
      <c r="D4" s="393"/>
      <c r="E4" s="393"/>
      <c r="F4" s="393"/>
      <c r="G4" s="393"/>
      <c r="H4" s="393"/>
      <c r="I4" s="393"/>
      <c r="J4" s="393"/>
      <c r="K4" s="393"/>
      <c r="L4" s="393"/>
      <c r="M4" s="393"/>
      <c r="N4" s="393"/>
      <c r="O4" s="393"/>
      <c r="P4" s="393"/>
      <c r="Q4" s="393"/>
      <c r="R4" s="393"/>
      <c r="S4" s="393"/>
      <c r="T4" s="393"/>
      <c r="U4" s="393"/>
      <c r="V4" s="393"/>
      <c r="W4" s="393"/>
      <c r="X4" s="393"/>
      <c r="Y4" s="393"/>
      <c r="Z4" s="393"/>
      <c r="AA4" s="393"/>
      <c r="AB4" s="393"/>
      <c r="AC4" s="393"/>
      <c r="AD4" s="393"/>
      <c r="AE4" s="393"/>
      <c r="AF4" s="393"/>
    </row>
    <row r="5" spans="1:36" ht="18">
      <c r="A5" s="394"/>
      <c r="B5" s="395" t="s">
        <v>87</v>
      </c>
      <c r="C5" s="394"/>
      <c r="D5" s="394"/>
      <c r="E5" s="394"/>
      <c r="F5" s="394"/>
      <c r="G5" s="394"/>
      <c r="H5" s="394"/>
      <c r="I5" s="394"/>
      <c r="J5" s="394"/>
      <c r="K5" s="394"/>
      <c r="L5" s="394"/>
      <c r="M5" s="394"/>
      <c r="N5" s="394"/>
      <c r="O5" s="394"/>
      <c r="P5" s="394"/>
      <c r="Q5" s="394"/>
      <c r="R5" s="394"/>
      <c r="S5" s="394"/>
      <c r="T5" s="394"/>
      <c r="U5" s="394"/>
      <c r="V5" s="394"/>
      <c r="W5" s="394"/>
      <c r="X5" s="394"/>
      <c r="Y5" s="394"/>
      <c r="Z5" s="394"/>
      <c r="AA5" s="394"/>
      <c r="AB5" s="394"/>
      <c r="AC5" s="394"/>
      <c r="AD5" s="394"/>
      <c r="AE5" s="394"/>
      <c r="AF5" s="394"/>
      <c r="AG5" s="394"/>
      <c r="AH5" s="394"/>
      <c r="AI5" s="394"/>
      <c r="AJ5" s="394"/>
    </row>
    <row r="6" spans="1:36" s="396" customFormat="1" ht="28.8">
      <c r="B6" s="397" t="s">
        <v>502</v>
      </c>
      <c r="C6" s="398">
        <v>1990</v>
      </c>
      <c r="D6" s="398">
        <v>1991</v>
      </c>
      <c r="E6" s="398">
        <v>1992</v>
      </c>
      <c r="F6" s="398">
        <v>1993</v>
      </c>
      <c r="G6" s="398">
        <v>1994</v>
      </c>
      <c r="H6" s="398">
        <v>1995</v>
      </c>
      <c r="I6" s="398">
        <v>1996</v>
      </c>
      <c r="J6" s="398">
        <v>1997</v>
      </c>
      <c r="K6" s="398">
        <v>1998</v>
      </c>
      <c r="L6" s="398">
        <v>1999</v>
      </c>
      <c r="M6" s="398">
        <v>2000</v>
      </c>
      <c r="N6" s="398">
        <v>2001</v>
      </c>
      <c r="O6" s="398">
        <v>2002</v>
      </c>
      <c r="P6" s="398">
        <v>2003</v>
      </c>
      <c r="Q6" s="398">
        <v>2004</v>
      </c>
      <c r="R6" s="398">
        <v>2005</v>
      </c>
      <c r="S6" s="398">
        <v>2006</v>
      </c>
      <c r="T6" s="398">
        <v>2007</v>
      </c>
      <c r="U6" s="398">
        <v>2008</v>
      </c>
      <c r="V6" s="398">
        <v>2009</v>
      </c>
      <c r="W6" s="398">
        <v>2010</v>
      </c>
      <c r="X6" s="398">
        <v>2011</v>
      </c>
      <c r="Y6" s="398">
        <v>2012</v>
      </c>
      <c r="Z6" s="398">
        <v>2013</v>
      </c>
      <c r="AA6" s="398">
        <v>2014</v>
      </c>
      <c r="AB6" s="398">
        <v>2015</v>
      </c>
      <c r="AC6" s="398">
        <v>2016</v>
      </c>
      <c r="AD6" s="398">
        <v>2017</v>
      </c>
      <c r="AE6" s="398">
        <v>2018</v>
      </c>
      <c r="AF6" s="398">
        <v>2019</v>
      </c>
      <c r="AH6" s="399" t="s">
        <v>499</v>
      </c>
      <c r="AI6" s="400" t="s">
        <v>90</v>
      </c>
      <c r="AJ6" s="400" t="s">
        <v>91</v>
      </c>
    </row>
    <row r="7" spans="1:36" s="404" customFormat="1" ht="13.2">
      <c r="A7" s="401"/>
      <c r="B7" s="402" t="s">
        <v>92</v>
      </c>
      <c r="C7" s="403">
        <v>0</v>
      </c>
      <c r="D7" s="403">
        <v>0</v>
      </c>
      <c r="E7" s="403">
        <v>0</v>
      </c>
      <c r="F7" s="403">
        <v>0</v>
      </c>
      <c r="G7" s="403">
        <v>0</v>
      </c>
      <c r="H7" s="403">
        <v>2.8047503526285635E-2</v>
      </c>
      <c r="I7" s="403">
        <v>0.12638637441018821</v>
      </c>
      <c r="J7" s="403">
        <v>0.22570620479483414</v>
      </c>
      <c r="K7" s="403">
        <v>0.32440369168661598</v>
      </c>
      <c r="L7" s="403">
        <v>0.42050587733118805</v>
      </c>
      <c r="M7" s="403">
        <v>0.51308747427670554</v>
      </c>
      <c r="N7" s="403">
        <v>0.64958075967915541</v>
      </c>
      <c r="O7" s="403">
        <v>0.77407316973480589</v>
      </c>
      <c r="P7" s="403">
        <v>0.88018549961619619</v>
      </c>
      <c r="Q7" s="403">
        <v>0.96068104480615479</v>
      </c>
      <c r="R7" s="403">
        <v>1.0511788807644564</v>
      </c>
      <c r="S7" s="403">
        <v>1.2684649359033739</v>
      </c>
      <c r="T7" s="403">
        <v>1.213262715757518</v>
      </c>
      <c r="U7" s="403">
        <v>1.1552717930026368</v>
      </c>
      <c r="V7" s="403">
        <v>1.1236039441003534</v>
      </c>
      <c r="W7" s="403">
        <v>1.0928610638805092</v>
      </c>
      <c r="X7" s="403">
        <v>1.2144161361655696</v>
      </c>
      <c r="Y7" s="403">
        <v>1.1517217541589131</v>
      </c>
      <c r="Z7" s="403">
        <v>1.0992726100241672</v>
      </c>
      <c r="AA7" s="403">
        <v>0.9312641604134031</v>
      </c>
      <c r="AB7" s="403">
        <v>0.81092440981110203</v>
      </c>
      <c r="AC7" s="403">
        <v>0.74692580698324507</v>
      </c>
      <c r="AD7" s="403">
        <v>0.67291971206290502</v>
      </c>
      <c r="AE7" s="403">
        <v>0.51120950530183484</v>
      </c>
      <c r="AF7" s="403">
        <v>0.40288892759179173</v>
      </c>
      <c r="AH7" s="401" t="s">
        <v>92</v>
      </c>
      <c r="AI7" s="405">
        <v>0</v>
      </c>
      <c r="AJ7" s="405">
        <v>-0.21189077391291286</v>
      </c>
    </row>
    <row r="8" spans="1:36" s="404" customFormat="1" ht="13.2">
      <c r="A8" s="406"/>
      <c r="B8" s="402" t="s">
        <v>93</v>
      </c>
      <c r="C8" s="403">
        <v>0</v>
      </c>
      <c r="D8" s="403">
        <v>0</v>
      </c>
      <c r="E8" s="403">
        <v>0</v>
      </c>
      <c r="F8" s="403">
        <v>0</v>
      </c>
      <c r="G8" s="403">
        <v>0</v>
      </c>
      <c r="H8" s="403">
        <v>0</v>
      </c>
      <c r="I8" s="403">
        <v>0</v>
      </c>
      <c r="J8" s="403">
        <v>0</v>
      </c>
      <c r="K8" s="403">
        <v>0</v>
      </c>
      <c r="L8" s="403">
        <v>0</v>
      </c>
      <c r="M8" s="403">
        <v>0</v>
      </c>
      <c r="N8" s="403">
        <v>0</v>
      </c>
      <c r="O8" s="403">
        <v>0</v>
      </c>
      <c r="P8" s="403">
        <v>0</v>
      </c>
      <c r="Q8" s="403">
        <v>0</v>
      </c>
      <c r="R8" s="403">
        <v>0</v>
      </c>
      <c r="S8" s="403">
        <v>0</v>
      </c>
      <c r="T8" s="403">
        <v>0</v>
      </c>
      <c r="U8" s="403">
        <v>0</v>
      </c>
      <c r="V8" s="403">
        <v>0</v>
      </c>
      <c r="W8" s="403">
        <v>0</v>
      </c>
      <c r="X8" s="403">
        <v>0</v>
      </c>
      <c r="Y8" s="403">
        <v>0</v>
      </c>
      <c r="Z8" s="403">
        <v>0</v>
      </c>
      <c r="AA8" s="403">
        <v>0</v>
      </c>
      <c r="AB8" s="403">
        <v>0</v>
      </c>
      <c r="AC8" s="403">
        <v>0</v>
      </c>
      <c r="AD8" s="403">
        <v>0</v>
      </c>
      <c r="AE8" s="403">
        <v>0</v>
      </c>
      <c r="AF8" s="403">
        <v>0</v>
      </c>
      <c r="AH8" s="407" t="s">
        <v>93</v>
      </c>
      <c r="AI8" s="405">
        <v>0</v>
      </c>
      <c r="AJ8" s="405">
        <v>0</v>
      </c>
    </row>
    <row r="9" spans="1:36" s="404" customFormat="1" ht="13.2">
      <c r="A9" s="408"/>
      <c r="B9" s="402" t="s">
        <v>94</v>
      </c>
      <c r="C9" s="403">
        <v>0</v>
      </c>
      <c r="D9" s="403">
        <v>0</v>
      </c>
      <c r="E9" s="403">
        <v>0</v>
      </c>
      <c r="F9" s="403">
        <v>0</v>
      </c>
      <c r="G9" s="403">
        <v>0</v>
      </c>
      <c r="H9" s="403">
        <v>0</v>
      </c>
      <c r="I9" s="403">
        <v>0</v>
      </c>
      <c r="J9" s="403">
        <v>0</v>
      </c>
      <c r="K9" s="403">
        <v>0</v>
      </c>
      <c r="L9" s="403">
        <v>0</v>
      </c>
      <c r="M9" s="403">
        <v>0</v>
      </c>
      <c r="N9" s="403">
        <v>0</v>
      </c>
      <c r="O9" s="403">
        <v>0</v>
      </c>
      <c r="P9" s="403">
        <v>0</v>
      </c>
      <c r="Q9" s="403">
        <v>0</v>
      </c>
      <c r="R9" s="403">
        <v>0</v>
      </c>
      <c r="S9" s="403">
        <v>0</v>
      </c>
      <c r="T9" s="403">
        <v>0</v>
      </c>
      <c r="U9" s="403">
        <v>0</v>
      </c>
      <c r="V9" s="403">
        <v>0</v>
      </c>
      <c r="W9" s="403">
        <v>0</v>
      </c>
      <c r="X9" s="403">
        <v>0</v>
      </c>
      <c r="Y9" s="403">
        <v>0</v>
      </c>
      <c r="Z9" s="403">
        <v>0</v>
      </c>
      <c r="AA9" s="403">
        <v>0</v>
      </c>
      <c r="AB9" s="403">
        <v>0</v>
      </c>
      <c r="AC9" s="403">
        <v>0</v>
      </c>
      <c r="AD9" s="403">
        <v>0</v>
      </c>
      <c r="AE9" s="403">
        <v>0</v>
      </c>
      <c r="AF9" s="403">
        <v>0</v>
      </c>
      <c r="AH9" s="408" t="s">
        <v>94</v>
      </c>
      <c r="AI9" s="405">
        <v>0</v>
      </c>
      <c r="AJ9" s="405">
        <v>0</v>
      </c>
    </row>
    <row r="10" spans="1:36" s="404" customFormat="1" ht="13.2">
      <c r="A10" s="409"/>
      <c r="B10" s="402" t="s">
        <v>95</v>
      </c>
      <c r="C10" s="403">
        <v>0</v>
      </c>
      <c r="D10" s="403">
        <v>0</v>
      </c>
      <c r="E10" s="403">
        <v>0</v>
      </c>
      <c r="F10" s="403">
        <v>0</v>
      </c>
      <c r="G10" s="403">
        <v>37.794263805704176</v>
      </c>
      <c r="H10" s="403">
        <v>232.00267675524185</v>
      </c>
      <c r="I10" s="403">
        <v>427.1689910718037</v>
      </c>
      <c r="J10" s="403">
        <v>433.72484116242481</v>
      </c>
      <c r="K10" s="403">
        <v>438.98733871017737</v>
      </c>
      <c r="L10" s="403">
        <v>440.87902200245583</v>
      </c>
      <c r="M10" s="403">
        <v>406.45860611623146</v>
      </c>
      <c r="N10" s="403">
        <v>409.06108481524467</v>
      </c>
      <c r="O10" s="403">
        <v>402.0300723850238</v>
      </c>
      <c r="P10" s="403">
        <v>508.73248225238831</v>
      </c>
      <c r="Q10" s="403">
        <v>535.51385607773</v>
      </c>
      <c r="R10" s="403">
        <v>540.86677191275805</v>
      </c>
      <c r="S10" s="403">
        <v>549.59503376620751</v>
      </c>
      <c r="T10" s="403">
        <v>568.79952926093938</v>
      </c>
      <c r="U10" s="403">
        <v>581.33645723796747</v>
      </c>
      <c r="V10" s="403">
        <v>565.13824682274037</v>
      </c>
      <c r="W10" s="403">
        <v>633.32206979863395</v>
      </c>
      <c r="X10" s="403">
        <v>651.52419055257326</v>
      </c>
      <c r="Y10" s="403">
        <v>643.61655168326547</v>
      </c>
      <c r="Z10" s="403">
        <v>658.56069216966489</v>
      </c>
      <c r="AA10" s="403">
        <v>636.19977005530041</v>
      </c>
      <c r="AB10" s="403">
        <v>672.75987543948611</v>
      </c>
      <c r="AC10" s="403">
        <v>720.9190615248898</v>
      </c>
      <c r="AD10" s="403">
        <v>764.55422581205198</v>
      </c>
      <c r="AE10" s="403">
        <v>556.56934433259221</v>
      </c>
      <c r="AF10" s="403">
        <v>543.35010726232088</v>
      </c>
      <c r="AH10" s="409" t="s">
        <v>96</v>
      </c>
      <c r="AI10" s="405">
        <v>0</v>
      </c>
      <c r="AJ10" s="405">
        <v>-2.3751284911538068E-2</v>
      </c>
    </row>
    <row r="11" spans="1:36" s="404" customFormat="1" ht="13.2">
      <c r="A11" s="410"/>
      <c r="B11" s="402" t="s">
        <v>4</v>
      </c>
      <c r="C11" s="403">
        <v>0</v>
      </c>
      <c r="D11" s="403">
        <v>0</v>
      </c>
      <c r="E11" s="403">
        <v>0</v>
      </c>
      <c r="F11" s="403">
        <v>0</v>
      </c>
      <c r="G11" s="403">
        <v>0</v>
      </c>
      <c r="H11" s="403">
        <v>0</v>
      </c>
      <c r="I11" s="403">
        <v>0</v>
      </c>
      <c r="J11" s="403">
        <v>0</v>
      </c>
      <c r="K11" s="403">
        <v>8.1429559970793097E-2</v>
      </c>
      <c r="L11" s="403">
        <v>0.473720552726624</v>
      </c>
      <c r="M11" s="403">
        <v>0.74258776905862323</v>
      </c>
      <c r="N11" s="403">
        <v>1.1012162689346445</v>
      </c>
      <c r="O11" s="403">
        <v>1.3959303997815846</v>
      </c>
      <c r="P11" s="403">
        <v>1.824177492324109</v>
      </c>
      <c r="Q11" s="403">
        <v>2.3201497049226303</v>
      </c>
      <c r="R11" s="403">
        <v>2.9706474067517075</v>
      </c>
      <c r="S11" s="403">
        <v>3.3812398495937304</v>
      </c>
      <c r="T11" s="403">
        <v>3.6334571023494671</v>
      </c>
      <c r="U11" s="403">
        <v>3.3019738176444493</v>
      </c>
      <c r="V11" s="403">
        <v>3.6382042962662027</v>
      </c>
      <c r="W11" s="403">
        <v>3.5275325894964573</v>
      </c>
      <c r="X11" s="403">
        <v>3.1439443585672615</v>
      </c>
      <c r="Y11" s="403">
        <v>3.1037986191332161</v>
      </c>
      <c r="Z11" s="403">
        <v>3.0736281137000825</v>
      </c>
      <c r="AA11" s="403">
        <v>2.7599035600920834</v>
      </c>
      <c r="AB11" s="403">
        <v>2.5485871884900146</v>
      </c>
      <c r="AC11" s="403">
        <v>2.4844062999596099</v>
      </c>
      <c r="AD11" s="403">
        <v>2.7005926808395282</v>
      </c>
      <c r="AE11" s="403">
        <v>2.657410108628862</v>
      </c>
      <c r="AF11" s="403">
        <v>2.6515149705257874</v>
      </c>
      <c r="AH11" s="410" t="s">
        <v>4</v>
      </c>
      <c r="AI11" s="405">
        <v>0</v>
      </c>
      <c r="AJ11" s="405">
        <v>-2.2183772402808448E-3</v>
      </c>
    </row>
    <row r="12" spans="1:36" s="404" customFormat="1" ht="13.2">
      <c r="A12" s="411"/>
      <c r="B12" s="402" t="s">
        <v>97</v>
      </c>
      <c r="C12" s="403">
        <v>0</v>
      </c>
      <c r="D12" s="403">
        <v>0</v>
      </c>
      <c r="E12" s="403">
        <v>0</v>
      </c>
      <c r="F12" s="403">
        <v>0</v>
      </c>
      <c r="G12" s="403">
        <v>0.55345109513719892</v>
      </c>
      <c r="H12" s="403">
        <v>3.3963674283484875</v>
      </c>
      <c r="I12" s="403">
        <v>7.5492852994012578</v>
      </c>
      <c r="J12" s="403">
        <v>11.924106781715128</v>
      </c>
      <c r="K12" s="403">
        <v>31.066132227273048</v>
      </c>
      <c r="L12" s="403">
        <v>67.432090041950019</v>
      </c>
      <c r="M12" s="403">
        <v>130.86737343523475</v>
      </c>
      <c r="N12" s="403">
        <v>207.48781085160033</v>
      </c>
      <c r="O12" s="403">
        <v>294.39128432687124</v>
      </c>
      <c r="P12" s="403">
        <v>419.19644829367815</v>
      </c>
      <c r="Q12" s="403">
        <v>504.13183187372266</v>
      </c>
      <c r="R12" s="403">
        <v>615.36768799482866</v>
      </c>
      <c r="S12" s="403">
        <v>628.04808544720913</v>
      </c>
      <c r="T12" s="403">
        <v>777.69058059141219</v>
      </c>
      <c r="U12" s="403">
        <v>754.96409658819994</v>
      </c>
      <c r="V12" s="403">
        <v>615.13111668957697</v>
      </c>
      <c r="W12" s="403">
        <v>586.75475722302815</v>
      </c>
      <c r="X12" s="403">
        <v>577.45550604442974</v>
      </c>
      <c r="Y12" s="403">
        <v>532.98095155394662</v>
      </c>
      <c r="Z12" s="403">
        <v>516.63896909991365</v>
      </c>
      <c r="AA12" s="403">
        <v>475.99466267672119</v>
      </c>
      <c r="AB12" s="403">
        <v>477.85673128092975</v>
      </c>
      <c r="AC12" s="403">
        <v>505.65837412969751</v>
      </c>
      <c r="AD12" s="403">
        <v>535.47313620571799</v>
      </c>
      <c r="AE12" s="403">
        <v>524.07863067111998</v>
      </c>
      <c r="AF12" s="403">
        <v>522.73444341459719</v>
      </c>
      <c r="AH12" s="412" t="s">
        <v>97</v>
      </c>
      <c r="AI12" s="405">
        <v>0</v>
      </c>
      <c r="AJ12" s="405">
        <v>-2.5648579771349565E-3</v>
      </c>
    </row>
    <row r="13" spans="1:36" s="416" customFormat="1" ht="13.2">
      <c r="A13" s="413"/>
      <c r="B13" s="414" t="s">
        <v>98</v>
      </c>
      <c r="C13" s="415">
        <v>0</v>
      </c>
      <c r="D13" s="415">
        <v>0</v>
      </c>
      <c r="E13" s="415">
        <v>0</v>
      </c>
      <c r="F13" s="415">
        <v>0</v>
      </c>
      <c r="G13" s="415">
        <v>2.5495677511216805</v>
      </c>
      <c r="H13" s="415">
        <v>16.597686602743089</v>
      </c>
      <c r="I13" s="415">
        <v>30.597748776685922</v>
      </c>
      <c r="J13" s="415">
        <v>30.747805388324412</v>
      </c>
      <c r="K13" s="415">
        <v>30.806427168968593</v>
      </c>
      <c r="L13" s="415">
        <v>30.81768527802501</v>
      </c>
      <c r="M13" s="415">
        <v>28.205464060871744</v>
      </c>
      <c r="N13" s="415">
        <v>28.130898321103121</v>
      </c>
      <c r="O13" s="415">
        <v>26.773012784538597</v>
      </c>
      <c r="P13" s="415">
        <v>31.064662100086352</v>
      </c>
      <c r="Q13" s="415">
        <v>29.867829096836321</v>
      </c>
      <c r="R13" s="415">
        <v>29.153091782560875</v>
      </c>
      <c r="S13" s="415">
        <v>28.323801535906213</v>
      </c>
      <c r="T13" s="415">
        <v>27.377082722652013</v>
      </c>
      <c r="U13" s="415">
        <v>25.389278193329027</v>
      </c>
      <c r="V13" s="415">
        <v>22.49256316862046</v>
      </c>
      <c r="W13" s="415">
        <v>25.247118152026339</v>
      </c>
      <c r="X13" s="415">
        <v>22.835278042140999</v>
      </c>
      <c r="Y13" s="415">
        <v>18.935996407556562</v>
      </c>
      <c r="Z13" s="415">
        <v>18.550049252194917</v>
      </c>
      <c r="AA13" s="415">
        <v>17.344766791130375</v>
      </c>
      <c r="AB13" s="415">
        <v>17.442688682701068</v>
      </c>
      <c r="AC13" s="415">
        <v>17.935184674402119</v>
      </c>
      <c r="AD13" s="415">
        <v>17.585101682736816</v>
      </c>
      <c r="AE13" s="415">
        <v>2.0176932478306315</v>
      </c>
      <c r="AF13" s="415">
        <v>1.0181861728524255</v>
      </c>
      <c r="AH13" s="413" t="s">
        <v>98</v>
      </c>
      <c r="AI13" s="417">
        <v>0</v>
      </c>
      <c r="AJ13" s="417">
        <v>-0.49537117500534267</v>
      </c>
    </row>
    <row r="14" spans="1:36" s="404" customFormat="1" ht="13.2">
      <c r="A14" s="418"/>
      <c r="B14" s="419" t="s">
        <v>99</v>
      </c>
      <c r="C14" s="420">
        <v>0</v>
      </c>
      <c r="D14" s="420">
        <v>0</v>
      </c>
      <c r="E14" s="420">
        <v>0</v>
      </c>
      <c r="F14" s="420">
        <v>0</v>
      </c>
      <c r="G14" s="420">
        <v>38.347714900841375</v>
      </c>
      <c r="H14" s="420">
        <v>235.42709168711664</v>
      </c>
      <c r="I14" s="420">
        <v>434.84466274561515</v>
      </c>
      <c r="J14" s="420">
        <v>445.87465414893478</v>
      </c>
      <c r="K14" s="420">
        <v>470.4593041891078</v>
      </c>
      <c r="L14" s="420">
        <v>509.20533847446364</v>
      </c>
      <c r="M14" s="420">
        <v>538.58165479480158</v>
      </c>
      <c r="N14" s="420">
        <v>618.29969269545882</v>
      </c>
      <c r="O14" s="420">
        <v>698.59136028141143</v>
      </c>
      <c r="P14" s="420">
        <v>930.63329353800668</v>
      </c>
      <c r="Q14" s="420">
        <v>1042.9265187011815</v>
      </c>
      <c r="R14" s="420">
        <v>1160.2562861951028</v>
      </c>
      <c r="S14" s="420">
        <v>1182.2928239989137</v>
      </c>
      <c r="T14" s="420">
        <v>1351.3368296704584</v>
      </c>
      <c r="U14" s="420">
        <v>1340.7577994368144</v>
      </c>
      <c r="V14" s="420">
        <v>1185.0311717526838</v>
      </c>
      <c r="W14" s="420">
        <v>1224.697220675039</v>
      </c>
      <c r="X14" s="420">
        <v>1233.3380570917359</v>
      </c>
      <c r="Y14" s="420">
        <v>1180.8530236105044</v>
      </c>
      <c r="Z14" s="420">
        <v>1179.372561993303</v>
      </c>
      <c r="AA14" s="420">
        <v>1115.8856004525271</v>
      </c>
      <c r="AB14" s="420">
        <v>1153.976118318717</v>
      </c>
      <c r="AC14" s="420">
        <v>1229.8087677615301</v>
      </c>
      <c r="AD14" s="420">
        <v>1303.4008744106725</v>
      </c>
      <c r="AE14" s="420">
        <v>1083.8165946176427</v>
      </c>
      <c r="AF14" s="420">
        <v>1069.1389545750358</v>
      </c>
      <c r="AH14" s="421" t="s">
        <v>99</v>
      </c>
      <c r="AI14" s="422">
        <v>0</v>
      </c>
      <c r="AJ14" s="422">
        <v>-1.3542549648619352E-2</v>
      </c>
    </row>
    <row r="15" spans="1:36" s="404" customFormat="1" ht="13.2">
      <c r="A15" s="423"/>
      <c r="B15" s="402" t="s">
        <v>100</v>
      </c>
      <c r="C15" s="403">
        <v>0</v>
      </c>
      <c r="D15" s="403">
        <v>0</v>
      </c>
      <c r="E15" s="403">
        <v>0</v>
      </c>
      <c r="F15" s="403">
        <v>0</v>
      </c>
      <c r="G15" s="403">
        <v>0</v>
      </c>
      <c r="H15" s="403">
        <v>0</v>
      </c>
      <c r="I15" s="403">
        <v>0</v>
      </c>
      <c r="J15" s="403">
        <v>0</v>
      </c>
      <c r="K15" s="403">
        <v>0</v>
      </c>
      <c r="L15" s="403">
        <v>0</v>
      </c>
      <c r="M15" s="403">
        <v>0</v>
      </c>
      <c r="N15" s="403">
        <v>0</v>
      </c>
      <c r="O15" s="403">
        <v>0</v>
      </c>
      <c r="P15" s="403">
        <v>0</v>
      </c>
      <c r="Q15" s="403">
        <v>0</v>
      </c>
      <c r="R15" s="403">
        <v>0</v>
      </c>
      <c r="S15" s="403">
        <v>0</v>
      </c>
      <c r="T15" s="403">
        <v>0</v>
      </c>
      <c r="U15" s="403">
        <v>0</v>
      </c>
      <c r="V15" s="403">
        <v>0</v>
      </c>
      <c r="W15" s="403">
        <v>0</v>
      </c>
      <c r="X15" s="403">
        <v>0</v>
      </c>
      <c r="Y15" s="403">
        <v>0</v>
      </c>
      <c r="Z15" s="403">
        <v>0</v>
      </c>
      <c r="AA15" s="403">
        <v>0</v>
      </c>
      <c r="AB15" s="403">
        <v>0</v>
      </c>
      <c r="AC15" s="403">
        <v>0</v>
      </c>
      <c r="AD15" s="403">
        <v>0</v>
      </c>
      <c r="AE15" s="403">
        <v>0</v>
      </c>
      <c r="AF15" s="403">
        <v>0</v>
      </c>
      <c r="AH15" s="423" t="s">
        <v>100</v>
      </c>
      <c r="AI15" s="405">
        <v>0</v>
      </c>
      <c r="AJ15" s="405">
        <v>0</v>
      </c>
    </row>
    <row r="16" spans="1:36" s="416" customFormat="1" ht="13.2">
      <c r="A16" s="413"/>
      <c r="B16" s="414" t="s">
        <v>101</v>
      </c>
      <c r="C16" s="415">
        <v>0</v>
      </c>
      <c r="D16" s="415">
        <v>0</v>
      </c>
      <c r="E16" s="415">
        <v>0</v>
      </c>
      <c r="F16" s="415">
        <v>0</v>
      </c>
      <c r="G16" s="415">
        <v>0</v>
      </c>
      <c r="H16" s="415">
        <v>0</v>
      </c>
      <c r="I16" s="415">
        <v>0</v>
      </c>
      <c r="J16" s="415">
        <v>0</v>
      </c>
      <c r="K16" s="415">
        <v>0</v>
      </c>
      <c r="L16" s="415">
        <v>0</v>
      </c>
      <c r="M16" s="415">
        <v>0</v>
      </c>
      <c r="N16" s="415">
        <v>0</v>
      </c>
      <c r="O16" s="415">
        <v>0</v>
      </c>
      <c r="P16" s="415">
        <v>0</v>
      </c>
      <c r="Q16" s="415">
        <v>0</v>
      </c>
      <c r="R16" s="415">
        <v>0</v>
      </c>
      <c r="S16" s="415">
        <v>0</v>
      </c>
      <c r="T16" s="415">
        <v>0</v>
      </c>
      <c r="U16" s="415">
        <v>0</v>
      </c>
      <c r="V16" s="415">
        <v>0</v>
      </c>
      <c r="W16" s="415">
        <v>0</v>
      </c>
      <c r="X16" s="415">
        <v>0</v>
      </c>
      <c r="Y16" s="415">
        <v>0</v>
      </c>
      <c r="Z16" s="415">
        <v>0</v>
      </c>
      <c r="AA16" s="415">
        <v>0</v>
      </c>
      <c r="AB16" s="415">
        <v>0</v>
      </c>
      <c r="AC16" s="415">
        <v>0</v>
      </c>
      <c r="AD16" s="415">
        <v>0</v>
      </c>
      <c r="AE16" s="415">
        <v>0</v>
      </c>
      <c r="AF16" s="415">
        <v>0</v>
      </c>
      <c r="AH16" s="413" t="s">
        <v>101</v>
      </c>
      <c r="AI16" s="417">
        <v>0</v>
      </c>
      <c r="AJ16" s="417">
        <v>0</v>
      </c>
    </row>
    <row r="17" spans="1:36" s="416" customFormat="1" ht="13.2">
      <c r="A17" s="413"/>
      <c r="B17" s="414" t="s">
        <v>102</v>
      </c>
      <c r="C17" s="415">
        <v>0</v>
      </c>
      <c r="D17" s="415">
        <v>0</v>
      </c>
      <c r="E17" s="415">
        <v>0</v>
      </c>
      <c r="F17" s="415">
        <v>0</v>
      </c>
      <c r="G17" s="415">
        <v>0</v>
      </c>
      <c r="H17" s="415">
        <v>0</v>
      </c>
      <c r="I17" s="415">
        <v>0</v>
      </c>
      <c r="J17" s="415">
        <v>0</v>
      </c>
      <c r="K17" s="415">
        <v>0</v>
      </c>
      <c r="L17" s="415">
        <v>0</v>
      </c>
      <c r="M17" s="415">
        <v>0</v>
      </c>
      <c r="N17" s="415">
        <v>0</v>
      </c>
      <c r="O17" s="415">
        <v>0</v>
      </c>
      <c r="P17" s="415">
        <v>0</v>
      </c>
      <c r="Q17" s="415">
        <v>0</v>
      </c>
      <c r="R17" s="415">
        <v>0</v>
      </c>
      <c r="S17" s="415">
        <v>0</v>
      </c>
      <c r="T17" s="415">
        <v>0</v>
      </c>
      <c r="U17" s="415">
        <v>0</v>
      </c>
      <c r="V17" s="415">
        <v>0</v>
      </c>
      <c r="W17" s="415">
        <v>0</v>
      </c>
      <c r="X17" s="415">
        <v>0</v>
      </c>
      <c r="Y17" s="415">
        <v>0</v>
      </c>
      <c r="Z17" s="415">
        <v>0</v>
      </c>
      <c r="AA17" s="415">
        <v>0</v>
      </c>
      <c r="AB17" s="415">
        <v>0</v>
      </c>
      <c r="AC17" s="415">
        <v>0</v>
      </c>
      <c r="AD17" s="415">
        <v>0</v>
      </c>
      <c r="AE17" s="415">
        <v>0</v>
      </c>
      <c r="AF17" s="415">
        <v>0</v>
      </c>
      <c r="AH17" s="413" t="s">
        <v>102</v>
      </c>
      <c r="AI17" s="417">
        <v>0</v>
      </c>
      <c r="AJ17" s="417">
        <v>0</v>
      </c>
    </row>
    <row r="18" spans="1:36" s="425" customFormat="1" ht="13.2">
      <c r="A18" s="424"/>
      <c r="B18" s="419" t="s">
        <v>103</v>
      </c>
      <c r="C18" s="420">
        <v>0</v>
      </c>
      <c r="D18" s="420">
        <v>0</v>
      </c>
      <c r="E18" s="420">
        <v>0</v>
      </c>
      <c r="F18" s="420">
        <v>0</v>
      </c>
      <c r="G18" s="420">
        <v>38.347714900841375</v>
      </c>
      <c r="H18" s="420">
        <v>235.42709168711664</v>
      </c>
      <c r="I18" s="420">
        <v>434.84466274561515</v>
      </c>
      <c r="J18" s="420">
        <v>445.87465414893478</v>
      </c>
      <c r="K18" s="420">
        <v>470.4593041891078</v>
      </c>
      <c r="L18" s="420">
        <v>509.20533847446364</v>
      </c>
      <c r="M18" s="420">
        <v>538.58165479480158</v>
      </c>
      <c r="N18" s="420">
        <v>618.29969269545882</v>
      </c>
      <c r="O18" s="420">
        <v>698.59136028141143</v>
      </c>
      <c r="P18" s="420">
        <v>930.63329353800668</v>
      </c>
      <c r="Q18" s="420">
        <v>1042.9265187011815</v>
      </c>
      <c r="R18" s="420">
        <v>1160.2562861951028</v>
      </c>
      <c r="S18" s="420">
        <v>1182.2928239989137</v>
      </c>
      <c r="T18" s="420">
        <v>1351.3368296704584</v>
      </c>
      <c r="U18" s="420">
        <v>1340.7577994368144</v>
      </c>
      <c r="V18" s="420">
        <v>1185.0311717526838</v>
      </c>
      <c r="W18" s="420">
        <v>1224.697220675039</v>
      </c>
      <c r="X18" s="420">
        <v>1233.3380570917359</v>
      </c>
      <c r="Y18" s="420">
        <v>1180.8530236105044</v>
      </c>
      <c r="Z18" s="420">
        <v>1179.372561993303</v>
      </c>
      <c r="AA18" s="420">
        <v>1115.8856004525271</v>
      </c>
      <c r="AB18" s="420">
        <v>1153.976118318717</v>
      </c>
      <c r="AC18" s="420">
        <v>1229.8087677615301</v>
      </c>
      <c r="AD18" s="420">
        <v>1303.4008744106725</v>
      </c>
      <c r="AE18" s="420">
        <v>1083.8165946176427</v>
      </c>
      <c r="AF18" s="420">
        <v>1069.1389545750358</v>
      </c>
      <c r="AH18" s="426" t="s">
        <v>103</v>
      </c>
      <c r="AI18" s="422">
        <v>0</v>
      </c>
      <c r="AJ18" s="422">
        <v>-1.3542549648619352E-2</v>
      </c>
    </row>
    <row r="19" spans="1:36" s="416" customFormat="1" ht="13.2">
      <c r="A19" s="413"/>
      <c r="B19" s="414" t="s">
        <v>104</v>
      </c>
      <c r="C19" s="415">
        <v>0</v>
      </c>
      <c r="D19" s="415">
        <v>0</v>
      </c>
      <c r="E19" s="415">
        <v>0</v>
      </c>
      <c r="F19" s="415">
        <v>0</v>
      </c>
      <c r="G19" s="415">
        <v>2.5495677511216805</v>
      </c>
      <c r="H19" s="415">
        <v>16.597686602743089</v>
      </c>
      <c r="I19" s="415">
        <v>30.597748776685922</v>
      </c>
      <c r="J19" s="415">
        <v>30.747805388324412</v>
      </c>
      <c r="K19" s="415">
        <v>30.806427168968593</v>
      </c>
      <c r="L19" s="415">
        <v>30.81768527802501</v>
      </c>
      <c r="M19" s="415">
        <v>28.205464060871744</v>
      </c>
      <c r="N19" s="415">
        <v>28.130898321103121</v>
      </c>
      <c r="O19" s="415">
        <v>26.773012784538597</v>
      </c>
      <c r="P19" s="415">
        <v>31.064662100086352</v>
      </c>
      <c r="Q19" s="415">
        <v>29.867829096836321</v>
      </c>
      <c r="R19" s="415">
        <v>29.153091782560875</v>
      </c>
      <c r="S19" s="415">
        <v>28.323801535906213</v>
      </c>
      <c r="T19" s="415">
        <v>27.377082722652013</v>
      </c>
      <c r="U19" s="415">
        <v>25.389278193329027</v>
      </c>
      <c r="V19" s="415">
        <v>22.49256316862046</v>
      </c>
      <c r="W19" s="415">
        <v>25.247118152026339</v>
      </c>
      <c r="X19" s="415">
        <v>22.835278042140999</v>
      </c>
      <c r="Y19" s="415">
        <v>18.935996407556562</v>
      </c>
      <c r="Z19" s="415">
        <v>18.550049252194917</v>
      </c>
      <c r="AA19" s="415">
        <v>17.344766791130375</v>
      </c>
      <c r="AB19" s="415">
        <v>17.442688682701068</v>
      </c>
      <c r="AC19" s="415">
        <v>17.935184674402119</v>
      </c>
      <c r="AD19" s="415">
        <v>17.585101682736816</v>
      </c>
      <c r="AE19" s="415">
        <v>2.0176932478306315</v>
      </c>
      <c r="AF19" s="415">
        <v>1.0181861728524255</v>
      </c>
      <c r="AH19" s="413" t="s">
        <v>104</v>
      </c>
      <c r="AI19" s="417">
        <v>0</v>
      </c>
      <c r="AJ19" s="417">
        <v>-0.49537117500534267</v>
      </c>
    </row>
    <row r="22" spans="1:36" ht="18">
      <c r="A22" s="427"/>
      <c r="C22" s="428" t="s">
        <v>503</v>
      </c>
      <c r="D22" s="427"/>
      <c r="E22" s="427"/>
      <c r="F22" s="427"/>
      <c r="G22" s="427"/>
      <c r="H22" s="427"/>
      <c r="I22" s="427"/>
      <c r="J22" s="427"/>
      <c r="K22" s="427"/>
      <c r="L22" s="427"/>
      <c r="M22" s="427"/>
      <c r="N22" s="427"/>
      <c r="O22" s="427"/>
      <c r="P22" s="427"/>
      <c r="Q22" s="427"/>
      <c r="R22" s="427"/>
      <c r="S22" s="427"/>
      <c r="T22" s="427"/>
      <c r="U22" s="427"/>
      <c r="V22" s="427"/>
      <c r="W22" s="427"/>
      <c r="X22" s="427"/>
      <c r="Y22" s="427"/>
      <c r="Z22" s="427"/>
      <c r="AA22" s="427"/>
      <c r="AB22" s="427"/>
      <c r="AC22" s="427"/>
      <c r="AD22" s="427"/>
      <c r="AE22" s="427"/>
      <c r="AF22" s="427"/>
    </row>
    <row r="23" spans="1:36" ht="18">
      <c r="A23" s="427"/>
      <c r="B23" s="429"/>
      <c r="C23" s="427"/>
      <c r="D23" s="427"/>
      <c r="E23" s="427"/>
      <c r="F23" s="427"/>
      <c r="G23" s="427"/>
      <c r="H23" s="427"/>
      <c r="I23" s="427"/>
      <c r="J23" s="427"/>
      <c r="K23" s="427"/>
      <c r="L23" s="427"/>
      <c r="M23" s="427"/>
      <c r="N23" s="427"/>
      <c r="O23" s="427"/>
      <c r="P23" s="427"/>
      <c r="Q23" s="427"/>
      <c r="R23" s="427"/>
      <c r="S23" s="427"/>
      <c r="T23" s="427"/>
      <c r="U23" s="427"/>
      <c r="V23" s="427"/>
      <c r="W23" s="427"/>
      <c r="X23" s="427"/>
      <c r="Y23" s="427"/>
      <c r="Z23" s="427"/>
      <c r="AA23" s="427"/>
      <c r="AB23" s="427"/>
      <c r="AC23" s="427"/>
      <c r="AD23" s="427"/>
      <c r="AE23" s="427"/>
      <c r="AF23" s="427"/>
    </row>
    <row r="25" spans="1:36" ht="15">
      <c r="O25" s="430" t="s">
        <v>504</v>
      </c>
    </row>
  </sheetData>
  <mergeCells count="1">
    <mergeCell ref="B2:AD2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AJ25"/>
  <sheetViews>
    <sheetView workbookViewId="0">
      <selection activeCell="O24" sqref="O24"/>
    </sheetView>
  </sheetViews>
  <sheetFormatPr baseColWidth="10" defaultColWidth="11.44140625" defaultRowHeight="14.4"/>
  <cols>
    <col min="1" max="1" width="3" style="389" customWidth="1"/>
    <col min="2" max="2" width="54" style="389" customWidth="1"/>
    <col min="3" max="33" width="5.6640625" style="389" customWidth="1"/>
    <col min="34" max="34" width="43.33203125" style="389" customWidth="1"/>
    <col min="35" max="36" width="10.33203125" style="389" customWidth="1"/>
    <col min="37" max="16384" width="11.44140625" style="389"/>
  </cols>
  <sheetData>
    <row r="1" spans="1:36" s="388" customFormat="1" ht="29.4">
      <c r="A1" s="385"/>
      <c r="B1" s="386" t="s">
        <v>505</v>
      </c>
      <c r="C1" s="387" t="s">
        <v>506</v>
      </c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  <c r="W1" s="385"/>
      <c r="X1" s="385"/>
      <c r="Y1" s="385"/>
      <c r="Z1" s="385"/>
      <c r="AA1" s="385"/>
      <c r="AB1" s="385"/>
      <c r="AC1" s="385"/>
      <c r="AD1" s="385"/>
      <c r="AE1" s="385"/>
      <c r="AF1" s="385"/>
      <c r="AG1" s="385"/>
      <c r="AH1" s="385"/>
      <c r="AI1" s="385"/>
      <c r="AJ1" s="385"/>
    </row>
    <row r="2" spans="1:36" ht="15">
      <c r="B2" s="567" t="s">
        <v>507</v>
      </c>
      <c r="C2" s="567"/>
      <c r="D2" s="567"/>
      <c r="E2" s="567"/>
      <c r="F2" s="567"/>
      <c r="G2" s="567"/>
      <c r="H2" s="567"/>
      <c r="I2" s="567"/>
      <c r="J2" s="567"/>
      <c r="K2" s="567"/>
      <c r="L2" s="567"/>
      <c r="M2" s="567"/>
      <c r="N2" s="567"/>
      <c r="O2" s="567"/>
      <c r="P2" s="567"/>
      <c r="Q2" s="567"/>
      <c r="R2" s="567"/>
      <c r="S2" s="567"/>
      <c r="T2" s="567"/>
      <c r="U2" s="567"/>
      <c r="V2" s="567"/>
      <c r="W2" s="567"/>
      <c r="X2" s="567"/>
      <c r="Y2" s="567"/>
      <c r="Z2" s="567"/>
      <c r="AA2" s="567"/>
      <c r="AB2" s="567"/>
      <c r="AC2" s="567"/>
      <c r="AD2" s="567"/>
      <c r="AE2" s="390"/>
      <c r="AF2" s="390"/>
    </row>
    <row r="3" spans="1:36" ht="15">
      <c r="B3" s="391" t="s">
        <v>106</v>
      </c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  <c r="R3" s="390"/>
      <c r="S3" s="390"/>
      <c r="T3" s="390"/>
      <c r="U3" s="390"/>
      <c r="V3" s="390"/>
      <c r="W3" s="390"/>
      <c r="X3" s="390"/>
      <c r="Y3" s="390"/>
      <c r="Z3" s="390"/>
      <c r="AA3" s="390"/>
      <c r="AB3" s="390"/>
      <c r="AC3" s="390"/>
      <c r="AD3" s="390"/>
      <c r="AE3" s="390"/>
      <c r="AF3" s="390"/>
    </row>
    <row r="4" spans="1:36" ht="22.2">
      <c r="B4" s="392"/>
      <c r="C4" s="393"/>
      <c r="D4" s="393"/>
      <c r="E4" s="393"/>
      <c r="F4" s="393"/>
      <c r="G4" s="393"/>
      <c r="H4" s="393"/>
      <c r="I4" s="393"/>
      <c r="J4" s="393"/>
      <c r="K4" s="393"/>
      <c r="L4" s="393"/>
      <c r="M4" s="393"/>
      <c r="N4" s="393"/>
      <c r="O4" s="393"/>
      <c r="P4" s="393"/>
      <c r="Q4" s="393"/>
      <c r="R4" s="393"/>
      <c r="S4" s="393"/>
      <c r="T4" s="393"/>
      <c r="U4" s="393"/>
      <c r="V4" s="393"/>
      <c r="W4" s="393"/>
      <c r="X4" s="393"/>
      <c r="Y4" s="393"/>
      <c r="Z4" s="393"/>
      <c r="AA4" s="393"/>
      <c r="AB4" s="393"/>
      <c r="AC4" s="393"/>
      <c r="AD4" s="393"/>
      <c r="AE4" s="393"/>
      <c r="AF4" s="393"/>
    </row>
    <row r="5" spans="1:36" ht="18">
      <c r="A5" s="394"/>
      <c r="B5" s="395" t="s">
        <v>87</v>
      </c>
      <c r="C5" s="394"/>
      <c r="D5" s="394"/>
      <c r="E5" s="394"/>
      <c r="F5" s="394"/>
      <c r="G5" s="394"/>
      <c r="H5" s="394"/>
      <c r="I5" s="394"/>
      <c r="J5" s="394"/>
      <c r="K5" s="394"/>
      <c r="L5" s="394"/>
      <c r="M5" s="394"/>
      <c r="N5" s="394"/>
      <c r="O5" s="394"/>
      <c r="P5" s="394"/>
      <c r="Q5" s="394"/>
      <c r="R5" s="394"/>
      <c r="S5" s="394"/>
      <c r="T5" s="394"/>
      <c r="U5" s="394"/>
      <c r="V5" s="394"/>
      <c r="W5" s="394"/>
      <c r="X5" s="394"/>
      <c r="Y5" s="394"/>
      <c r="Z5" s="394"/>
      <c r="AA5" s="394"/>
      <c r="AB5" s="394"/>
      <c r="AC5" s="394"/>
      <c r="AD5" s="394"/>
      <c r="AE5" s="394"/>
      <c r="AF5" s="394"/>
      <c r="AG5" s="394"/>
      <c r="AH5" s="394"/>
      <c r="AI5" s="394"/>
      <c r="AJ5" s="394"/>
    </row>
    <row r="6" spans="1:36" s="396" customFormat="1" ht="28.8">
      <c r="B6" s="397" t="s">
        <v>508</v>
      </c>
      <c r="C6" s="398">
        <v>1990</v>
      </c>
      <c r="D6" s="398">
        <v>1991</v>
      </c>
      <c r="E6" s="398">
        <v>1992</v>
      </c>
      <c r="F6" s="398">
        <v>1993</v>
      </c>
      <c r="G6" s="398">
        <v>1994</v>
      </c>
      <c r="H6" s="398">
        <v>1995</v>
      </c>
      <c r="I6" s="398">
        <v>1996</v>
      </c>
      <c r="J6" s="398">
        <v>1997</v>
      </c>
      <c r="K6" s="398">
        <v>1998</v>
      </c>
      <c r="L6" s="398">
        <v>1999</v>
      </c>
      <c r="M6" s="398">
        <v>2000</v>
      </c>
      <c r="N6" s="398">
        <v>2001</v>
      </c>
      <c r="O6" s="398">
        <v>2002</v>
      </c>
      <c r="P6" s="398">
        <v>2003</v>
      </c>
      <c r="Q6" s="398">
        <v>2004</v>
      </c>
      <c r="R6" s="398">
        <v>2005</v>
      </c>
      <c r="S6" s="398">
        <v>2006</v>
      </c>
      <c r="T6" s="398">
        <v>2007</v>
      </c>
      <c r="U6" s="398">
        <v>2008</v>
      </c>
      <c r="V6" s="398">
        <v>2009</v>
      </c>
      <c r="W6" s="398">
        <v>2010</v>
      </c>
      <c r="X6" s="398">
        <v>2011</v>
      </c>
      <c r="Y6" s="398">
        <v>2012</v>
      </c>
      <c r="Z6" s="398">
        <v>2013</v>
      </c>
      <c r="AA6" s="398">
        <v>2014</v>
      </c>
      <c r="AB6" s="398">
        <v>2015</v>
      </c>
      <c r="AC6" s="398">
        <v>2016</v>
      </c>
      <c r="AD6" s="398">
        <v>2017</v>
      </c>
      <c r="AE6" s="398">
        <v>2018</v>
      </c>
      <c r="AF6" s="398">
        <v>2019</v>
      </c>
      <c r="AH6" s="399" t="s">
        <v>509</v>
      </c>
      <c r="AI6" s="400" t="s">
        <v>90</v>
      </c>
      <c r="AJ6" s="400" t="s">
        <v>91</v>
      </c>
    </row>
    <row r="7" spans="1:36" s="404" customFormat="1" ht="13.2">
      <c r="A7" s="401"/>
      <c r="B7" s="402" t="s">
        <v>92</v>
      </c>
      <c r="C7" s="431">
        <v>4.8034250675231318</v>
      </c>
      <c r="D7" s="431">
        <v>5.4969677243312836</v>
      </c>
      <c r="E7" s="431">
        <v>6.5115949444765455</v>
      </c>
      <c r="F7" s="431">
        <v>7.6191901128864039</v>
      </c>
      <c r="G7" s="431">
        <v>7.6614069534430929</v>
      </c>
      <c r="H7" s="431">
        <v>8.5637512228739308</v>
      </c>
      <c r="I7" s="431">
        <v>9.346960436466448</v>
      </c>
      <c r="J7" s="431">
        <v>9.4231752794124706</v>
      </c>
      <c r="K7" s="431">
        <v>10.780452329019941</v>
      </c>
      <c r="L7" s="431">
        <v>11.19245459216974</v>
      </c>
      <c r="M7" s="431">
        <v>12.541429289346006</v>
      </c>
      <c r="N7" s="431">
        <v>13.9682294498209</v>
      </c>
      <c r="O7" s="431">
        <v>13.985523997220598</v>
      </c>
      <c r="P7" s="431">
        <v>13.985523997220598</v>
      </c>
      <c r="Q7" s="431">
        <v>15.04286214016866</v>
      </c>
      <c r="R7" s="431">
        <v>15.997033361705208</v>
      </c>
      <c r="S7" s="431">
        <v>14.572515262810271</v>
      </c>
      <c r="T7" s="431">
        <v>13.949658704152464</v>
      </c>
      <c r="U7" s="431">
        <v>13.990968586302859</v>
      </c>
      <c r="V7" s="431">
        <v>13.832614038059681</v>
      </c>
      <c r="W7" s="431">
        <v>13.643277078203704</v>
      </c>
      <c r="X7" s="431">
        <v>13.580020765920562</v>
      </c>
      <c r="Y7" s="431">
        <v>12.997294837152568</v>
      </c>
      <c r="Z7" s="431">
        <v>12.958778438615534</v>
      </c>
      <c r="AA7" s="431">
        <v>12.765466513083284</v>
      </c>
      <c r="AB7" s="431">
        <v>12.616870869257786</v>
      </c>
      <c r="AC7" s="431">
        <v>13.830401960499376</v>
      </c>
      <c r="AD7" s="431">
        <v>13.479551134800278</v>
      </c>
      <c r="AE7" s="431">
        <v>13.765706129292873</v>
      </c>
      <c r="AF7" s="431">
        <v>14.269916732569493</v>
      </c>
      <c r="AH7" s="401" t="s">
        <v>92</v>
      </c>
      <c r="AI7" s="405">
        <v>1.9707795025368686</v>
      </c>
      <c r="AJ7" s="405">
        <v>3.6628023186088522E-2</v>
      </c>
    </row>
    <row r="8" spans="1:36" s="404" customFormat="1" ht="13.2">
      <c r="A8" s="406"/>
      <c r="B8" s="402" t="s">
        <v>93</v>
      </c>
      <c r="C8" s="403">
        <v>0</v>
      </c>
      <c r="D8" s="403">
        <v>0</v>
      </c>
      <c r="E8" s="403">
        <v>0</v>
      </c>
      <c r="F8" s="403">
        <v>0</v>
      </c>
      <c r="G8" s="403">
        <v>0</v>
      </c>
      <c r="H8" s="403">
        <v>0</v>
      </c>
      <c r="I8" s="403">
        <v>0</v>
      </c>
      <c r="J8" s="403">
        <v>0</v>
      </c>
      <c r="K8" s="403">
        <v>0</v>
      </c>
      <c r="L8" s="403">
        <v>0</v>
      </c>
      <c r="M8" s="403">
        <v>0</v>
      </c>
      <c r="N8" s="403">
        <v>0</v>
      </c>
      <c r="O8" s="403">
        <v>0</v>
      </c>
      <c r="P8" s="403">
        <v>0</v>
      </c>
      <c r="Q8" s="403">
        <v>0</v>
      </c>
      <c r="R8" s="403">
        <v>0</v>
      </c>
      <c r="S8" s="403">
        <v>0</v>
      </c>
      <c r="T8" s="403">
        <v>0</v>
      </c>
      <c r="U8" s="403">
        <v>0</v>
      </c>
      <c r="V8" s="403">
        <v>0</v>
      </c>
      <c r="W8" s="403">
        <v>0</v>
      </c>
      <c r="X8" s="403">
        <v>0</v>
      </c>
      <c r="Y8" s="403">
        <v>0</v>
      </c>
      <c r="Z8" s="403">
        <v>0</v>
      </c>
      <c r="AA8" s="403">
        <v>0</v>
      </c>
      <c r="AB8" s="403">
        <v>0</v>
      </c>
      <c r="AC8" s="403">
        <v>0</v>
      </c>
      <c r="AD8" s="403">
        <v>0</v>
      </c>
      <c r="AE8" s="403">
        <v>0</v>
      </c>
      <c r="AF8" s="403">
        <v>0</v>
      </c>
      <c r="AH8" s="407" t="s">
        <v>93</v>
      </c>
      <c r="AI8" s="405">
        <v>0</v>
      </c>
      <c r="AJ8" s="405">
        <v>0</v>
      </c>
    </row>
    <row r="9" spans="1:36" s="404" customFormat="1" ht="13.2">
      <c r="A9" s="408"/>
      <c r="B9" s="402" t="s">
        <v>94</v>
      </c>
      <c r="C9" s="403">
        <v>0</v>
      </c>
      <c r="D9" s="403">
        <v>0</v>
      </c>
      <c r="E9" s="403">
        <v>0</v>
      </c>
      <c r="F9" s="403">
        <v>0</v>
      </c>
      <c r="G9" s="403">
        <v>0</v>
      </c>
      <c r="H9" s="403">
        <v>0</v>
      </c>
      <c r="I9" s="403">
        <v>0</v>
      </c>
      <c r="J9" s="403">
        <v>0</v>
      </c>
      <c r="K9" s="403">
        <v>0</v>
      </c>
      <c r="L9" s="403">
        <v>0</v>
      </c>
      <c r="M9" s="403">
        <v>0</v>
      </c>
      <c r="N9" s="403">
        <v>0</v>
      </c>
      <c r="O9" s="403">
        <v>0</v>
      </c>
      <c r="P9" s="403">
        <v>0</v>
      </c>
      <c r="Q9" s="403">
        <v>0</v>
      </c>
      <c r="R9" s="403">
        <v>0</v>
      </c>
      <c r="S9" s="403">
        <v>0</v>
      </c>
      <c r="T9" s="403">
        <v>0</v>
      </c>
      <c r="U9" s="403">
        <v>0</v>
      </c>
      <c r="V9" s="403">
        <v>0</v>
      </c>
      <c r="W9" s="403">
        <v>0</v>
      </c>
      <c r="X9" s="403">
        <v>0</v>
      </c>
      <c r="Y9" s="403">
        <v>0</v>
      </c>
      <c r="Z9" s="403">
        <v>0</v>
      </c>
      <c r="AA9" s="403">
        <v>0</v>
      </c>
      <c r="AB9" s="403">
        <v>0</v>
      </c>
      <c r="AC9" s="403">
        <v>0</v>
      </c>
      <c r="AD9" s="403">
        <v>0</v>
      </c>
      <c r="AE9" s="403">
        <v>0</v>
      </c>
      <c r="AF9" s="403">
        <v>0</v>
      </c>
      <c r="AH9" s="408" t="s">
        <v>94</v>
      </c>
      <c r="AI9" s="405">
        <v>0</v>
      </c>
      <c r="AJ9" s="405">
        <v>0</v>
      </c>
    </row>
    <row r="10" spans="1:36" s="404" customFormat="1" ht="13.2">
      <c r="A10" s="409"/>
      <c r="B10" s="402" t="s">
        <v>95</v>
      </c>
      <c r="C10" s="403">
        <v>0.43861497204680011</v>
      </c>
      <c r="D10" s="403">
        <v>0.43545955354100019</v>
      </c>
      <c r="E10" s="403">
        <v>0.43289209575263521</v>
      </c>
      <c r="F10" s="403">
        <v>0.42290959642042403</v>
      </c>
      <c r="G10" s="403">
        <v>0.42724783358823393</v>
      </c>
      <c r="H10" s="403">
        <v>0.44813171650037031</v>
      </c>
      <c r="I10" s="403">
        <v>0.47007598377738169</v>
      </c>
      <c r="J10" s="403">
        <v>0.48209178756467025</v>
      </c>
      <c r="K10" s="403">
        <v>0.52178606216767887</v>
      </c>
      <c r="L10" s="403">
        <v>0.52765637901876583</v>
      </c>
      <c r="M10" s="403">
        <v>0.5292649550125087</v>
      </c>
      <c r="N10" s="403">
        <v>0.52649601005918456</v>
      </c>
      <c r="O10" s="403">
        <v>0.5183669517253342</v>
      </c>
      <c r="P10" s="403">
        <v>0.51752237512524046</v>
      </c>
      <c r="Q10" s="403">
        <v>0.8676815230684497</v>
      </c>
      <c r="R10" s="403">
        <v>0.496190466185645</v>
      </c>
      <c r="S10" s="403">
        <v>0.48913870399338322</v>
      </c>
      <c r="T10" s="403">
        <v>0.50595407712939688</v>
      </c>
      <c r="U10" s="403">
        <v>0.50367551481789408</v>
      </c>
      <c r="V10" s="403">
        <v>0.74872877231833224</v>
      </c>
      <c r="W10" s="403">
        <v>0.85537873157481703</v>
      </c>
      <c r="X10" s="403">
        <v>0.80911983685235933</v>
      </c>
      <c r="Y10" s="403">
        <v>0.79781941117376765</v>
      </c>
      <c r="Z10" s="403">
        <v>0.71570646233954649</v>
      </c>
      <c r="AA10" s="403">
        <v>0.78593679450978959</v>
      </c>
      <c r="AB10" s="403">
        <v>0.76701110598431499</v>
      </c>
      <c r="AC10" s="403">
        <v>0.74653301656231641</v>
      </c>
      <c r="AD10" s="403">
        <v>0.77808747992774985</v>
      </c>
      <c r="AE10" s="403">
        <v>0.74281444625206561</v>
      </c>
      <c r="AF10" s="403">
        <v>0.73900188010909496</v>
      </c>
      <c r="AH10" s="409" t="s">
        <v>96</v>
      </c>
      <c r="AI10" s="405">
        <v>0.68485329322101585</v>
      </c>
      <c r="AJ10" s="405">
        <v>-5.1325955791615037E-3</v>
      </c>
    </row>
    <row r="11" spans="1:36" s="404" customFormat="1" ht="13.2">
      <c r="A11" s="410"/>
      <c r="B11" s="402" t="s">
        <v>4</v>
      </c>
      <c r="C11" s="403">
        <v>2.9350365550000004E-2</v>
      </c>
      <c r="D11" s="403">
        <v>2.9350365550000004E-2</v>
      </c>
      <c r="E11" s="403">
        <v>2.935036555E-2</v>
      </c>
      <c r="F11" s="403">
        <v>2.9350365550000007E-2</v>
      </c>
      <c r="G11" s="403">
        <v>2.9350365550000007E-2</v>
      </c>
      <c r="H11" s="403">
        <v>3.1495967470000004E-2</v>
      </c>
      <c r="I11" s="403">
        <v>3.4080587640000007E-2</v>
      </c>
      <c r="J11" s="403">
        <v>3.546868352500001E-2</v>
      </c>
      <c r="K11" s="403">
        <v>3.6856779410000005E-2</v>
      </c>
      <c r="L11" s="403">
        <v>3.8847527620000002E-2</v>
      </c>
      <c r="M11" s="403">
        <v>4.0030482250000013E-2</v>
      </c>
      <c r="N11" s="403">
        <v>4.007039300000001E-2</v>
      </c>
      <c r="O11" s="403">
        <v>3.9751107000000001E-2</v>
      </c>
      <c r="P11" s="403">
        <v>3.9431821000000013E-2</v>
      </c>
      <c r="Q11" s="403">
        <v>7.9023284999999985E-2</v>
      </c>
      <c r="R11" s="403">
        <v>3.8952892000000017E-2</v>
      </c>
      <c r="S11" s="403">
        <v>3.8521855900000006E-2</v>
      </c>
      <c r="T11" s="403">
        <v>3.8505891600000001E-2</v>
      </c>
      <c r="U11" s="403">
        <v>4.1507180000000005E-2</v>
      </c>
      <c r="V11" s="403">
        <v>7.1113700000000002E-2</v>
      </c>
      <c r="W11" s="403">
        <v>8.2375788000000019E-2</v>
      </c>
      <c r="X11" s="403">
        <v>7.8225070000000022E-2</v>
      </c>
      <c r="Y11" s="403">
        <v>7.9023284999999999E-2</v>
      </c>
      <c r="Z11" s="403">
        <v>7.1113700000000002E-2</v>
      </c>
      <c r="AA11" s="403">
        <v>7.8950720000000016E-2</v>
      </c>
      <c r="AB11" s="403">
        <v>7.7209159999999999E-2</v>
      </c>
      <c r="AC11" s="403">
        <v>7.4596820000000008E-2</v>
      </c>
      <c r="AD11" s="403">
        <v>7.807994E-2</v>
      </c>
      <c r="AE11" s="403">
        <v>7.4016300000000021E-2</v>
      </c>
      <c r="AF11" s="403">
        <v>7.4016300000000021E-2</v>
      </c>
      <c r="AH11" s="410" t="s">
        <v>4</v>
      </c>
      <c r="AI11" s="405">
        <v>1.5218186762924324</v>
      </c>
      <c r="AJ11" s="405">
        <v>0</v>
      </c>
    </row>
    <row r="12" spans="1:36" s="404" customFormat="1" ht="13.2">
      <c r="A12" s="411"/>
      <c r="B12" s="402" t="s">
        <v>97</v>
      </c>
      <c r="C12" s="431">
        <v>8.8627412770096701</v>
      </c>
      <c r="D12" s="431">
        <v>9.0103477363819824</v>
      </c>
      <c r="E12" s="431">
        <v>9.2347554146612545</v>
      </c>
      <c r="F12" s="431">
        <v>10.193740017924744</v>
      </c>
      <c r="G12" s="431">
        <v>9.6874086948942182</v>
      </c>
      <c r="H12" s="431">
        <v>9.6200177451533175</v>
      </c>
      <c r="I12" s="431">
        <v>10.002843377250098</v>
      </c>
      <c r="J12" s="431">
        <v>9.4091365710098902</v>
      </c>
      <c r="K12" s="431">
        <v>8.6013938258159364</v>
      </c>
      <c r="L12" s="431">
        <v>11.712244731821739</v>
      </c>
      <c r="M12" s="431">
        <v>13.444705928809448</v>
      </c>
      <c r="N12" s="431">
        <v>11.89018923481234</v>
      </c>
      <c r="O12" s="431">
        <v>12.425970766531954</v>
      </c>
      <c r="P12" s="431">
        <v>12.319540463163809</v>
      </c>
      <c r="Q12" s="431">
        <v>12.497800114795035</v>
      </c>
      <c r="R12" s="431">
        <v>12.066448776509283</v>
      </c>
      <c r="S12" s="431">
        <v>12.717987997486192</v>
      </c>
      <c r="T12" s="431">
        <v>13.086383799342103</v>
      </c>
      <c r="U12" s="431">
        <v>14.396670248094384</v>
      </c>
      <c r="V12" s="431">
        <v>12.463767041347738</v>
      </c>
      <c r="W12" s="431">
        <v>12.692861157909093</v>
      </c>
      <c r="X12" s="431">
        <v>12.626527598427128</v>
      </c>
      <c r="Y12" s="431">
        <v>12.45987351694262</v>
      </c>
      <c r="Z12" s="431">
        <v>11.465776552151064</v>
      </c>
      <c r="AA12" s="431">
        <v>11.213598808208282</v>
      </c>
      <c r="AB12" s="431">
        <v>11.135744644365454</v>
      </c>
      <c r="AC12" s="431">
        <v>11.302980688535094</v>
      </c>
      <c r="AD12" s="431">
        <v>10.907088272895875</v>
      </c>
      <c r="AE12" s="431">
        <v>11.094135232807185</v>
      </c>
      <c r="AF12" s="431">
        <v>12.179677835422552</v>
      </c>
      <c r="AH12" s="412" t="s">
        <v>97</v>
      </c>
      <c r="AI12" s="405">
        <v>0.37425627745866369</v>
      </c>
      <c r="AJ12" s="405">
        <v>9.7848329755819044E-2</v>
      </c>
    </row>
    <row r="13" spans="1:36" s="416" customFormat="1" ht="13.2">
      <c r="A13" s="413"/>
      <c r="B13" s="414" t="s">
        <v>98</v>
      </c>
      <c r="C13" s="415">
        <v>0.4021105259155266</v>
      </c>
      <c r="D13" s="415">
        <v>0.40519723789077056</v>
      </c>
      <c r="E13" s="415">
        <v>0.43452582961618985</v>
      </c>
      <c r="F13" s="415">
        <v>0.34747825596799381</v>
      </c>
      <c r="G13" s="415">
        <v>0.35947576652786628</v>
      </c>
      <c r="H13" s="415">
        <v>0.40285732086348042</v>
      </c>
      <c r="I13" s="415">
        <v>0.15479456709615066</v>
      </c>
      <c r="J13" s="415">
        <v>0.10365462428010619</v>
      </c>
      <c r="K13" s="415">
        <v>0.11653306650189008</v>
      </c>
      <c r="L13" s="415">
        <v>3.5503264184949903E-3</v>
      </c>
      <c r="M13" s="415">
        <v>0.27817843800817588</v>
      </c>
      <c r="N13" s="415">
        <v>0.34799447505143327</v>
      </c>
      <c r="O13" s="415">
        <v>0.35212434171127743</v>
      </c>
      <c r="P13" s="415">
        <v>0.52518168747443783</v>
      </c>
      <c r="Q13" s="415">
        <v>0.52237348890280033</v>
      </c>
      <c r="R13" s="415">
        <v>0.50857915229740647</v>
      </c>
      <c r="S13" s="415">
        <v>0.51735916240801505</v>
      </c>
      <c r="T13" s="415">
        <v>0.13291467200120105</v>
      </c>
      <c r="U13" s="415">
        <v>0.54429341496606276</v>
      </c>
      <c r="V13" s="415">
        <v>0.63612462496678179</v>
      </c>
      <c r="W13" s="415">
        <v>0.6948893822426665</v>
      </c>
      <c r="X13" s="415">
        <v>0.61054183992909039</v>
      </c>
      <c r="Y13" s="415">
        <v>0.51891043668272663</v>
      </c>
      <c r="Z13" s="415">
        <v>0.56665624764547096</v>
      </c>
      <c r="AA13" s="415">
        <v>0.53653093700334331</v>
      </c>
      <c r="AB13" s="415">
        <v>0.50438082001462026</v>
      </c>
      <c r="AC13" s="415">
        <v>0.51175780549369076</v>
      </c>
      <c r="AD13" s="415">
        <v>0.49376727828790928</v>
      </c>
      <c r="AE13" s="415">
        <v>0.52539237599283162</v>
      </c>
      <c r="AF13" s="415">
        <v>0.38332912218089449</v>
      </c>
      <c r="AH13" s="413" t="s">
        <v>98</v>
      </c>
      <c r="AI13" s="417">
        <v>-4.6707068142199319E-2</v>
      </c>
      <c r="AJ13" s="417">
        <v>-0.27039458565320984</v>
      </c>
    </row>
    <row r="14" spans="1:36" s="404" customFormat="1" ht="13.2">
      <c r="A14" s="418"/>
      <c r="B14" s="419" t="s">
        <v>99</v>
      </c>
      <c r="C14" s="420">
        <v>14.134131682129603</v>
      </c>
      <c r="D14" s="420">
        <v>14.972125379804266</v>
      </c>
      <c r="E14" s="420">
        <v>16.208592820440437</v>
      </c>
      <c r="F14" s="420">
        <v>18.265190092781573</v>
      </c>
      <c r="G14" s="420">
        <v>17.805413847475545</v>
      </c>
      <c r="H14" s="420">
        <v>18.663396651997619</v>
      </c>
      <c r="I14" s="420">
        <v>19.853960385133927</v>
      </c>
      <c r="J14" s="420">
        <v>19.349872321512031</v>
      </c>
      <c r="K14" s="420">
        <v>19.940488996413556</v>
      </c>
      <c r="L14" s="420">
        <v>23.471203230630245</v>
      </c>
      <c r="M14" s="420">
        <v>26.555430655417965</v>
      </c>
      <c r="N14" s="420">
        <v>26.424985087692427</v>
      </c>
      <c r="O14" s="420">
        <v>26.969612822477885</v>
      </c>
      <c r="P14" s="420">
        <v>26.862018656509647</v>
      </c>
      <c r="Q14" s="420">
        <v>28.487367063032146</v>
      </c>
      <c r="R14" s="420">
        <v>28.598625496400135</v>
      </c>
      <c r="S14" s="420">
        <v>27.818163820189845</v>
      </c>
      <c r="T14" s="420">
        <v>27.580502472223962</v>
      </c>
      <c r="U14" s="420">
        <v>28.93282152921514</v>
      </c>
      <c r="V14" s="420">
        <v>27.116223551725753</v>
      </c>
      <c r="W14" s="420">
        <v>27.273892755687612</v>
      </c>
      <c r="X14" s="420">
        <v>27.093893271200049</v>
      </c>
      <c r="Y14" s="420">
        <v>26.334011050268956</v>
      </c>
      <c r="Z14" s="420">
        <v>25.211375153106147</v>
      </c>
      <c r="AA14" s="420">
        <v>24.843952835801353</v>
      </c>
      <c r="AB14" s="420">
        <v>24.596835779607556</v>
      </c>
      <c r="AC14" s="420">
        <v>25.954512485596787</v>
      </c>
      <c r="AD14" s="420">
        <v>25.242806827623902</v>
      </c>
      <c r="AE14" s="420">
        <v>25.676672108352122</v>
      </c>
      <c r="AF14" s="420">
        <v>27.262612748101141</v>
      </c>
      <c r="AH14" s="421" t="s">
        <v>99</v>
      </c>
      <c r="AI14" s="422">
        <v>0.92884949434640174</v>
      </c>
      <c r="AJ14" s="422">
        <v>6.1765817355791341E-2</v>
      </c>
    </row>
    <row r="15" spans="1:36" s="404" customFormat="1" ht="13.2">
      <c r="A15" s="423"/>
      <c r="B15" s="402" t="s">
        <v>100</v>
      </c>
      <c r="C15" s="403">
        <v>0</v>
      </c>
      <c r="D15" s="403">
        <v>0</v>
      </c>
      <c r="E15" s="403">
        <v>0</v>
      </c>
      <c r="F15" s="403">
        <v>0</v>
      </c>
      <c r="G15" s="403">
        <v>0</v>
      </c>
      <c r="H15" s="403">
        <v>0</v>
      </c>
      <c r="I15" s="403">
        <v>0</v>
      </c>
      <c r="J15" s="403">
        <v>0</v>
      </c>
      <c r="K15" s="403">
        <v>0</v>
      </c>
      <c r="L15" s="403">
        <v>0</v>
      </c>
      <c r="M15" s="403">
        <v>0</v>
      </c>
      <c r="N15" s="403">
        <v>0</v>
      </c>
      <c r="O15" s="403">
        <v>0</v>
      </c>
      <c r="P15" s="403">
        <v>0</v>
      </c>
      <c r="Q15" s="403">
        <v>0</v>
      </c>
      <c r="R15" s="403">
        <v>0</v>
      </c>
      <c r="S15" s="403">
        <v>0</v>
      </c>
      <c r="T15" s="403">
        <v>0</v>
      </c>
      <c r="U15" s="403">
        <v>0</v>
      </c>
      <c r="V15" s="403">
        <v>0</v>
      </c>
      <c r="W15" s="403">
        <v>0</v>
      </c>
      <c r="X15" s="403">
        <v>0</v>
      </c>
      <c r="Y15" s="403">
        <v>0</v>
      </c>
      <c r="Z15" s="403">
        <v>0</v>
      </c>
      <c r="AA15" s="403">
        <v>0</v>
      </c>
      <c r="AB15" s="403">
        <v>0</v>
      </c>
      <c r="AC15" s="403">
        <v>0</v>
      </c>
      <c r="AD15" s="403">
        <v>0</v>
      </c>
      <c r="AE15" s="403">
        <v>0</v>
      </c>
      <c r="AF15" s="403">
        <v>0</v>
      </c>
      <c r="AH15" s="423" t="s">
        <v>100</v>
      </c>
      <c r="AI15" s="405">
        <v>0</v>
      </c>
      <c r="AJ15" s="405">
        <v>0</v>
      </c>
    </row>
    <row r="16" spans="1:36" s="416" customFormat="1" ht="13.2">
      <c r="A16" s="413"/>
      <c r="B16" s="414" t="s">
        <v>101</v>
      </c>
      <c r="C16" s="415">
        <v>0</v>
      </c>
      <c r="D16" s="415">
        <v>0</v>
      </c>
      <c r="E16" s="415">
        <v>0</v>
      </c>
      <c r="F16" s="415">
        <v>0</v>
      </c>
      <c r="G16" s="415">
        <v>0</v>
      </c>
      <c r="H16" s="415">
        <v>0</v>
      </c>
      <c r="I16" s="415">
        <v>0</v>
      </c>
      <c r="J16" s="415">
        <v>0</v>
      </c>
      <c r="K16" s="415">
        <v>0</v>
      </c>
      <c r="L16" s="415">
        <v>0</v>
      </c>
      <c r="M16" s="415">
        <v>0</v>
      </c>
      <c r="N16" s="415">
        <v>0</v>
      </c>
      <c r="O16" s="415">
        <v>0</v>
      </c>
      <c r="P16" s="415">
        <v>0</v>
      </c>
      <c r="Q16" s="415">
        <v>0</v>
      </c>
      <c r="R16" s="415">
        <v>0</v>
      </c>
      <c r="S16" s="415">
        <v>0</v>
      </c>
      <c r="T16" s="415">
        <v>0</v>
      </c>
      <c r="U16" s="415">
        <v>0</v>
      </c>
      <c r="V16" s="415">
        <v>0</v>
      </c>
      <c r="W16" s="415">
        <v>0</v>
      </c>
      <c r="X16" s="415">
        <v>0</v>
      </c>
      <c r="Y16" s="415">
        <v>0</v>
      </c>
      <c r="Z16" s="415">
        <v>0</v>
      </c>
      <c r="AA16" s="415">
        <v>0</v>
      </c>
      <c r="AB16" s="415">
        <v>0</v>
      </c>
      <c r="AC16" s="415">
        <v>0</v>
      </c>
      <c r="AD16" s="415">
        <v>0</v>
      </c>
      <c r="AE16" s="415">
        <v>0</v>
      </c>
      <c r="AF16" s="415">
        <v>0</v>
      </c>
      <c r="AH16" s="413" t="s">
        <v>101</v>
      </c>
      <c r="AI16" s="417">
        <v>0</v>
      </c>
      <c r="AJ16" s="417">
        <v>0</v>
      </c>
    </row>
    <row r="17" spans="1:36" s="416" customFormat="1" ht="13.2">
      <c r="A17" s="413"/>
      <c r="B17" s="414" t="s">
        <v>102</v>
      </c>
      <c r="C17" s="415">
        <v>0</v>
      </c>
      <c r="D17" s="415">
        <v>0</v>
      </c>
      <c r="E17" s="415">
        <v>0</v>
      </c>
      <c r="F17" s="415">
        <v>0</v>
      </c>
      <c r="G17" s="415">
        <v>0</v>
      </c>
      <c r="H17" s="415">
        <v>0</v>
      </c>
      <c r="I17" s="415">
        <v>0</v>
      </c>
      <c r="J17" s="415">
        <v>0</v>
      </c>
      <c r="K17" s="415">
        <v>0</v>
      </c>
      <c r="L17" s="415">
        <v>0</v>
      </c>
      <c r="M17" s="415">
        <v>0</v>
      </c>
      <c r="N17" s="415">
        <v>0</v>
      </c>
      <c r="O17" s="415">
        <v>0</v>
      </c>
      <c r="P17" s="415">
        <v>0</v>
      </c>
      <c r="Q17" s="415">
        <v>0</v>
      </c>
      <c r="R17" s="415">
        <v>0</v>
      </c>
      <c r="S17" s="415">
        <v>0</v>
      </c>
      <c r="T17" s="415">
        <v>0</v>
      </c>
      <c r="U17" s="415">
        <v>0</v>
      </c>
      <c r="V17" s="415">
        <v>0</v>
      </c>
      <c r="W17" s="415">
        <v>0</v>
      </c>
      <c r="X17" s="415">
        <v>0</v>
      </c>
      <c r="Y17" s="415">
        <v>0</v>
      </c>
      <c r="Z17" s="415">
        <v>0</v>
      </c>
      <c r="AA17" s="415">
        <v>0</v>
      </c>
      <c r="AB17" s="415">
        <v>0</v>
      </c>
      <c r="AC17" s="415">
        <v>0</v>
      </c>
      <c r="AD17" s="415">
        <v>0</v>
      </c>
      <c r="AE17" s="415">
        <v>0</v>
      </c>
      <c r="AF17" s="415">
        <v>0</v>
      </c>
      <c r="AH17" s="413" t="s">
        <v>102</v>
      </c>
      <c r="AI17" s="417">
        <v>0</v>
      </c>
      <c r="AJ17" s="417">
        <v>0</v>
      </c>
    </row>
    <row r="18" spans="1:36" s="425" customFormat="1" ht="13.2">
      <c r="A18" s="424"/>
      <c r="B18" s="419" t="s">
        <v>103</v>
      </c>
      <c r="C18" s="420">
        <v>14.134131682129603</v>
      </c>
      <c r="D18" s="420">
        <v>14.972125379804266</v>
      </c>
      <c r="E18" s="420">
        <v>16.208592820440437</v>
      </c>
      <c r="F18" s="420">
        <v>18.265190092781573</v>
      </c>
      <c r="G18" s="420">
        <v>17.805413847475545</v>
      </c>
      <c r="H18" s="420">
        <v>18.663396651997619</v>
      </c>
      <c r="I18" s="420">
        <v>19.853960385133927</v>
      </c>
      <c r="J18" s="420">
        <v>19.349872321512031</v>
      </c>
      <c r="K18" s="420">
        <v>19.940488996413556</v>
      </c>
      <c r="L18" s="420">
        <v>23.471203230630245</v>
      </c>
      <c r="M18" s="420">
        <v>26.555430655417965</v>
      </c>
      <c r="N18" s="420">
        <v>26.424985087692427</v>
      </c>
      <c r="O18" s="420">
        <v>26.969612822477885</v>
      </c>
      <c r="P18" s="420">
        <v>26.862018656509647</v>
      </c>
      <c r="Q18" s="420">
        <v>28.487367063032146</v>
      </c>
      <c r="R18" s="420">
        <v>28.598625496400135</v>
      </c>
      <c r="S18" s="420">
        <v>27.818163820189845</v>
      </c>
      <c r="T18" s="420">
        <v>27.580502472223962</v>
      </c>
      <c r="U18" s="420">
        <v>28.93282152921514</v>
      </c>
      <c r="V18" s="420">
        <v>27.116223551725753</v>
      </c>
      <c r="W18" s="420">
        <v>27.273892755687612</v>
      </c>
      <c r="X18" s="420">
        <v>27.093893271200049</v>
      </c>
      <c r="Y18" s="420">
        <v>26.334011050268956</v>
      </c>
      <c r="Z18" s="420">
        <v>25.211375153106147</v>
      </c>
      <c r="AA18" s="420">
        <v>24.843952835801353</v>
      </c>
      <c r="AB18" s="420">
        <v>24.596835779607556</v>
      </c>
      <c r="AC18" s="420">
        <v>25.954512485596787</v>
      </c>
      <c r="AD18" s="420">
        <v>25.242806827623902</v>
      </c>
      <c r="AE18" s="420">
        <v>25.676672108352122</v>
      </c>
      <c r="AF18" s="420">
        <v>27.262612748101141</v>
      </c>
      <c r="AH18" s="426" t="s">
        <v>103</v>
      </c>
      <c r="AI18" s="422">
        <v>0.92884949434640174</v>
      </c>
      <c r="AJ18" s="422">
        <v>6.1765817355791341E-2</v>
      </c>
    </row>
    <row r="19" spans="1:36" s="416" customFormat="1" ht="13.2">
      <c r="A19" s="413"/>
      <c r="B19" s="414" t="s">
        <v>104</v>
      </c>
      <c r="C19" s="415">
        <v>0.4021105259155266</v>
      </c>
      <c r="D19" s="415">
        <v>0.40519723789077056</v>
      </c>
      <c r="E19" s="415">
        <v>0.43452582961618985</v>
      </c>
      <c r="F19" s="415">
        <v>0.34747825596799381</v>
      </c>
      <c r="G19" s="415">
        <v>0.35947576652786628</v>
      </c>
      <c r="H19" s="415">
        <v>0.40285732086348042</v>
      </c>
      <c r="I19" s="415">
        <v>0.15479456709615066</v>
      </c>
      <c r="J19" s="415">
        <v>0.10365462428010619</v>
      </c>
      <c r="K19" s="415">
        <v>0.11653306650189008</v>
      </c>
      <c r="L19" s="415">
        <v>3.5503264184949903E-3</v>
      </c>
      <c r="M19" s="415">
        <v>0.27817843800817588</v>
      </c>
      <c r="N19" s="415">
        <v>0.34799447505143327</v>
      </c>
      <c r="O19" s="415">
        <v>0.35212434171127743</v>
      </c>
      <c r="P19" s="415">
        <v>0.52518168747443783</v>
      </c>
      <c r="Q19" s="415">
        <v>0.52237348890280033</v>
      </c>
      <c r="R19" s="415">
        <v>0.50857915229740647</v>
      </c>
      <c r="S19" s="415">
        <v>0.51735916240801505</v>
      </c>
      <c r="T19" s="415">
        <v>0.13291467200120105</v>
      </c>
      <c r="U19" s="415">
        <v>0.54429341496606276</v>
      </c>
      <c r="V19" s="415">
        <v>0.63612462496678179</v>
      </c>
      <c r="W19" s="415">
        <v>0.6948893822426665</v>
      </c>
      <c r="X19" s="415">
        <v>0.61054183992909039</v>
      </c>
      <c r="Y19" s="415">
        <v>0.51891043668272663</v>
      </c>
      <c r="Z19" s="415">
        <v>0.56665624764547096</v>
      </c>
      <c r="AA19" s="415">
        <v>0.53653093700334331</v>
      </c>
      <c r="AB19" s="415">
        <v>0.50438082001462026</v>
      </c>
      <c r="AC19" s="415">
        <v>0.51175780549369076</v>
      </c>
      <c r="AD19" s="415">
        <v>0.49376727828790928</v>
      </c>
      <c r="AE19" s="415">
        <v>0.52539237599283162</v>
      </c>
      <c r="AF19" s="415">
        <v>0.38332912218089449</v>
      </c>
      <c r="AH19" s="413" t="s">
        <v>104</v>
      </c>
      <c r="AI19" s="417">
        <v>-4.6707068142199319E-2</v>
      </c>
      <c r="AJ19" s="417">
        <v>-0.27039458565320984</v>
      </c>
    </row>
    <row r="22" spans="1:36" ht="18.600000000000001">
      <c r="A22" s="427"/>
      <c r="C22" s="428" t="s">
        <v>510</v>
      </c>
      <c r="D22" s="427"/>
      <c r="E22" s="427"/>
      <c r="F22" s="427"/>
      <c r="G22" s="427"/>
      <c r="H22" s="427"/>
      <c r="I22" s="427"/>
      <c r="J22" s="427"/>
      <c r="K22" s="427"/>
      <c r="L22" s="427"/>
      <c r="M22" s="427"/>
      <c r="N22" s="427"/>
      <c r="O22" s="427"/>
      <c r="P22" s="427"/>
      <c r="Q22" s="427"/>
      <c r="R22" s="427"/>
      <c r="S22" s="427"/>
      <c r="T22" s="427"/>
      <c r="U22" s="427"/>
      <c r="V22" s="427"/>
      <c r="W22" s="427"/>
      <c r="X22" s="427"/>
      <c r="Y22" s="427"/>
      <c r="Z22" s="427"/>
      <c r="AA22" s="427"/>
      <c r="AB22" s="427"/>
      <c r="AC22" s="427"/>
      <c r="AD22" s="427"/>
      <c r="AE22" s="427"/>
      <c r="AF22" s="427"/>
    </row>
    <row r="23" spans="1:36" ht="18">
      <c r="A23" s="427"/>
      <c r="B23" s="429"/>
      <c r="C23" s="427"/>
      <c r="D23" s="427"/>
      <c r="E23" s="427"/>
      <c r="F23" s="427"/>
      <c r="G23" s="427"/>
      <c r="H23" s="427"/>
      <c r="I23" s="427"/>
      <c r="J23" s="427"/>
      <c r="K23" s="427"/>
      <c r="L23" s="427"/>
      <c r="M23" s="427"/>
      <c r="N23" s="427"/>
      <c r="O23" s="427"/>
      <c r="P23" s="427"/>
      <c r="Q23" s="427"/>
      <c r="R23" s="427"/>
      <c r="S23" s="427"/>
      <c r="T23" s="427"/>
      <c r="U23" s="427"/>
      <c r="V23" s="427"/>
      <c r="W23" s="427"/>
      <c r="X23" s="427"/>
      <c r="Y23" s="427"/>
      <c r="Z23" s="427"/>
      <c r="AA23" s="427"/>
      <c r="AB23" s="427"/>
      <c r="AC23" s="427"/>
      <c r="AD23" s="427"/>
      <c r="AE23" s="427"/>
      <c r="AF23" s="427"/>
    </row>
    <row r="25" spans="1:36" ht="15">
      <c r="Q25" s="432" t="s">
        <v>511</v>
      </c>
    </row>
  </sheetData>
  <mergeCells count="1">
    <mergeCell ref="B2:AD2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Q36"/>
  <sheetViews>
    <sheetView topLeftCell="A3" workbookViewId="0">
      <selection sqref="A1:Q36"/>
    </sheetView>
  </sheetViews>
  <sheetFormatPr baseColWidth="10" defaultRowHeight="14.4"/>
  <sheetData>
    <row r="1" spans="1:17" ht="23.4">
      <c r="A1" s="221" t="s">
        <v>370</v>
      </c>
    </row>
    <row r="4" spans="1:17">
      <c r="A4" s="510" t="s">
        <v>12</v>
      </c>
      <c r="B4" s="509" t="s">
        <v>14</v>
      </c>
      <c r="C4" s="509" t="s">
        <v>15</v>
      </c>
      <c r="D4" s="509" t="s">
        <v>16</v>
      </c>
      <c r="E4" s="509" t="s">
        <v>17</v>
      </c>
      <c r="F4" s="509" t="s">
        <v>382</v>
      </c>
      <c r="G4" s="509" t="s">
        <v>18</v>
      </c>
      <c r="H4" s="509" t="s">
        <v>19</v>
      </c>
      <c r="I4" s="509"/>
      <c r="J4" s="509"/>
      <c r="K4" s="509"/>
      <c r="L4" s="509"/>
      <c r="M4" s="509"/>
      <c r="N4" s="501" t="s">
        <v>383</v>
      </c>
      <c r="O4" s="501" t="s">
        <v>21</v>
      </c>
      <c r="P4" s="501" t="s">
        <v>384</v>
      </c>
      <c r="Q4" s="501" t="s">
        <v>23</v>
      </c>
    </row>
    <row r="5" spans="1:17" ht="45.6">
      <c r="A5" s="510"/>
      <c r="B5" s="509"/>
      <c r="C5" s="509"/>
      <c r="D5" s="509"/>
      <c r="E5" s="509"/>
      <c r="F5" s="509"/>
      <c r="G5" s="509"/>
      <c r="H5" s="249" t="s">
        <v>371</v>
      </c>
      <c r="I5" s="249" t="s">
        <v>7</v>
      </c>
      <c r="J5" s="249" t="s">
        <v>372</v>
      </c>
      <c r="K5" s="249" t="s">
        <v>385</v>
      </c>
      <c r="L5" s="250" t="s">
        <v>386</v>
      </c>
      <c r="M5" s="249" t="s">
        <v>387</v>
      </c>
      <c r="N5" s="501"/>
      <c r="O5" s="501"/>
      <c r="P5" s="501"/>
      <c r="Q5" s="501"/>
    </row>
    <row r="6" spans="1:17">
      <c r="A6" s="251" t="s">
        <v>24</v>
      </c>
      <c r="B6" s="252">
        <v>0</v>
      </c>
      <c r="C6" s="253">
        <v>0</v>
      </c>
      <c r="D6" s="253">
        <v>0</v>
      </c>
      <c r="E6" s="252">
        <v>0</v>
      </c>
      <c r="F6" s="253">
        <v>0</v>
      </c>
      <c r="G6" s="253">
        <v>0</v>
      </c>
      <c r="H6" s="253">
        <v>0</v>
      </c>
      <c r="I6" s="253">
        <v>0</v>
      </c>
      <c r="J6" s="253">
        <v>0</v>
      </c>
      <c r="K6" s="253">
        <v>0</v>
      </c>
      <c r="L6" s="253">
        <v>0</v>
      </c>
      <c r="M6" s="254">
        <v>0</v>
      </c>
      <c r="N6" s="254">
        <v>0</v>
      </c>
      <c r="O6" s="253">
        <v>0</v>
      </c>
      <c r="P6" s="253">
        <v>0</v>
      </c>
      <c r="Q6" s="255">
        <v>0</v>
      </c>
    </row>
    <row r="7" spans="1:17">
      <c r="A7" s="251" t="s">
        <v>28</v>
      </c>
      <c r="B7" s="252">
        <v>0</v>
      </c>
      <c r="C7" s="253">
        <v>0</v>
      </c>
      <c r="D7" s="253">
        <v>111.12700000000001</v>
      </c>
      <c r="E7" s="252">
        <v>0</v>
      </c>
      <c r="F7" s="253">
        <v>0</v>
      </c>
      <c r="G7" s="253">
        <v>0</v>
      </c>
      <c r="H7" s="253">
        <v>0</v>
      </c>
      <c r="I7" s="253">
        <v>0</v>
      </c>
      <c r="J7" s="253">
        <v>0</v>
      </c>
      <c r="K7" s="253">
        <v>0</v>
      </c>
      <c r="L7" s="253">
        <v>0</v>
      </c>
      <c r="M7" s="253">
        <v>0</v>
      </c>
      <c r="N7" s="254">
        <v>0</v>
      </c>
      <c r="O7" s="253">
        <v>0</v>
      </c>
      <c r="P7" s="253">
        <v>0</v>
      </c>
      <c r="Q7" s="255">
        <v>111.12700000000001</v>
      </c>
    </row>
    <row r="8" spans="1:17">
      <c r="A8" s="251" t="s">
        <v>29</v>
      </c>
      <c r="B8" s="252">
        <v>0</v>
      </c>
      <c r="C8" s="253">
        <v>0</v>
      </c>
      <c r="D8" s="253">
        <v>0</v>
      </c>
      <c r="E8" s="252">
        <v>0</v>
      </c>
      <c r="F8" s="253">
        <v>0</v>
      </c>
      <c r="G8" s="253">
        <v>0</v>
      </c>
      <c r="H8" s="253">
        <v>0</v>
      </c>
      <c r="I8" s="253">
        <v>0</v>
      </c>
      <c r="J8" s="253">
        <v>0</v>
      </c>
      <c r="K8" s="253">
        <v>0</v>
      </c>
      <c r="L8" s="253">
        <v>0</v>
      </c>
      <c r="M8" s="253">
        <v>0</v>
      </c>
      <c r="N8" s="254">
        <v>0</v>
      </c>
      <c r="O8" s="253">
        <v>0</v>
      </c>
      <c r="P8" s="253">
        <v>0</v>
      </c>
      <c r="Q8" s="255">
        <v>0</v>
      </c>
    </row>
    <row r="9" spans="1:17">
      <c r="A9" s="251" t="s">
        <v>30</v>
      </c>
      <c r="B9" s="252">
        <v>0</v>
      </c>
      <c r="C9" s="253">
        <v>0</v>
      </c>
      <c r="D9" s="253">
        <v>0</v>
      </c>
      <c r="E9" s="252">
        <v>0</v>
      </c>
      <c r="F9" s="253">
        <v>0</v>
      </c>
      <c r="G9" s="253">
        <v>0</v>
      </c>
      <c r="H9" s="253">
        <v>0</v>
      </c>
      <c r="I9" s="253">
        <v>0</v>
      </c>
      <c r="J9" s="253">
        <v>0</v>
      </c>
      <c r="K9" s="253">
        <v>0</v>
      </c>
      <c r="L9" s="253">
        <v>0</v>
      </c>
      <c r="M9" s="253">
        <v>0</v>
      </c>
      <c r="N9" s="254">
        <v>0</v>
      </c>
      <c r="O9" s="253">
        <v>0</v>
      </c>
      <c r="P9" s="253">
        <v>0</v>
      </c>
      <c r="Q9" s="255">
        <v>0</v>
      </c>
    </row>
    <row r="10" spans="1:17">
      <c r="A10" s="251" t="s">
        <v>31</v>
      </c>
      <c r="B10" s="252">
        <v>0</v>
      </c>
      <c r="C10" s="253">
        <v>0</v>
      </c>
      <c r="D10" s="253">
        <v>-1.4544444444444444</v>
      </c>
      <c r="E10" s="252">
        <v>0</v>
      </c>
      <c r="F10" s="253">
        <v>0</v>
      </c>
      <c r="G10" s="253">
        <v>0</v>
      </c>
      <c r="H10" s="253">
        <v>0</v>
      </c>
      <c r="I10" s="253">
        <v>0</v>
      </c>
      <c r="J10" s="253">
        <v>0</v>
      </c>
      <c r="K10" s="253">
        <v>0</v>
      </c>
      <c r="L10" s="253">
        <v>0</v>
      </c>
      <c r="M10" s="253">
        <v>0</v>
      </c>
      <c r="N10" s="254">
        <v>0</v>
      </c>
      <c r="O10" s="253">
        <v>0</v>
      </c>
      <c r="P10" s="253">
        <v>0</v>
      </c>
      <c r="Q10" s="255">
        <v>-1.4544444444444444</v>
      </c>
    </row>
    <row r="11" spans="1:17">
      <c r="A11" s="251" t="s">
        <v>32</v>
      </c>
      <c r="B11" s="252">
        <v>0</v>
      </c>
      <c r="C11" s="253">
        <v>0</v>
      </c>
      <c r="D11" s="253">
        <v>0</v>
      </c>
      <c r="E11" s="252">
        <v>0</v>
      </c>
      <c r="F11" s="253">
        <v>0</v>
      </c>
      <c r="G11" s="253">
        <v>0</v>
      </c>
      <c r="H11" s="253">
        <v>0</v>
      </c>
      <c r="I11" s="253">
        <v>0</v>
      </c>
      <c r="J11" s="253">
        <v>0</v>
      </c>
      <c r="K11" s="253">
        <v>0</v>
      </c>
      <c r="L11" s="253">
        <v>0</v>
      </c>
      <c r="M11" s="253">
        <v>0</v>
      </c>
      <c r="N11" s="254">
        <v>0</v>
      </c>
      <c r="O11" s="253">
        <v>0</v>
      </c>
      <c r="P11" s="253">
        <v>0</v>
      </c>
      <c r="Q11" s="255">
        <v>0</v>
      </c>
    </row>
    <row r="12" spans="1:17">
      <c r="A12" s="256" t="s">
        <v>388</v>
      </c>
      <c r="B12" s="257">
        <v>0</v>
      </c>
      <c r="C12" s="257">
        <v>0</v>
      </c>
      <c r="D12" s="257">
        <v>109.67255555555556</v>
      </c>
      <c r="E12" s="257">
        <v>0</v>
      </c>
      <c r="F12" s="257">
        <v>0</v>
      </c>
      <c r="G12" s="257">
        <v>0</v>
      </c>
      <c r="H12" s="257">
        <v>0</v>
      </c>
      <c r="I12" s="257">
        <v>0</v>
      </c>
      <c r="J12" s="257">
        <v>0</v>
      </c>
      <c r="K12" s="257">
        <v>0</v>
      </c>
      <c r="L12" s="257">
        <v>0</v>
      </c>
      <c r="M12" s="257">
        <v>0</v>
      </c>
      <c r="N12" s="257">
        <v>0</v>
      </c>
      <c r="O12" s="257">
        <v>0</v>
      </c>
      <c r="P12" s="257">
        <v>0</v>
      </c>
      <c r="Q12" s="257">
        <v>109.67255555555556</v>
      </c>
    </row>
    <row r="13" spans="1:17">
      <c r="A13" s="258"/>
      <c r="B13" s="259"/>
      <c r="C13" s="227"/>
      <c r="D13" s="359"/>
      <c r="E13" s="259"/>
      <c r="F13" s="259"/>
      <c r="G13" s="259"/>
      <c r="H13" s="259"/>
      <c r="I13" s="259"/>
      <c r="J13" s="259"/>
      <c r="K13" s="259"/>
      <c r="L13" s="259"/>
      <c r="M13" s="259"/>
      <c r="N13" s="259"/>
      <c r="O13" s="259"/>
      <c r="P13" s="259"/>
      <c r="Q13" s="259"/>
    </row>
    <row r="14" spans="1:17">
      <c r="A14" s="261" t="s">
        <v>389</v>
      </c>
      <c r="B14" s="252">
        <v>0</v>
      </c>
      <c r="C14" s="262">
        <v>3.2179259504107556E-2</v>
      </c>
      <c r="D14" s="262">
        <v>0</v>
      </c>
      <c r="E14" s="252">
        <v>0</v>
      </c>
      <c r="F14" s="252">
        <v>0</v>
      </c>
      <c r="G14" s="252">
        <v>0</v>
      </c>
      <c r="H14" s="252">
        <v>0</v>
      </c>
      <c r="I14" s="252">
        <v>0</v>
      </c>
      <c r="J14" s="252">
        <v>0</v>
      </c>
      <c r="K14" s="252">
        <v>0</v>
      </c>
      <c r="L14" s="252">
        <v>0</v>
      </c>
      <c r="M14" s="252">
        <v>0</v>
      </c>
      <c r="N14" s="252">
        <v>0</v>
      </c>
      <c r="O14" s="252">
        <v>0</v>
      </c>
      <c r="P14" s="252">
        <v>0</v>
      </c>
      <c r="Q14" s="263">
        <v>3.2179259504107556E-2</v>
      </c>
    </row>
    <row r="15" spans="1:17">
      <c r="A15" s="261" t="s">
        <v>390</v>
      </c>
      <c r="B15" s="252">
        <v>0</v>
      </c>
      <c r="C15" s="252">
        <v>0</v>
      </c>
      <c r="D15" s="252">
        <v>53.214500000000001</v>
      </c>
      <c r="E15" s="252">
        <v>0</v>
      </c>
      <c r="F15" s="252">
        <v>0</v>
      </c>
      <c r="G15" s="252">
        <v>2.1595894901144632</v>
      </c>
      <c r="H15" s="264">
        <v>0</v>
      </c>
      <c r="I15" s="252">
        <v>0</v>
      </c>
      <c r="J15" s="252">
        <v>0</v>
      </c>
      <c r="K15" s="252">
        <v>0</v>
      </c>
      <c r="L15" s="252">
        <v>0</v>
      </c>
      <c r="M15" s="252">
        <v>0</v>
      </c>
      <c r="N15" s="252">
        <v>-20.745000000000001</v>
      </c>
      <c r="O15" s="252">
        <v>0</v>
      </c>
      <c r="P15" s="252">
        <v>0</v>
      </c>
      <c r="Q15" s="263">
        <v>34.629089490114467</v>
      </c>
    </row>
    <row r="16" spans="1:17">
      <c r="A16" s="261" t="s">
        <v>391</v>
      </c>
      <c r="B16" s="252">
        <v>0</v>
      </c>
      <c r="C16" s="252">
        <v>0</v>
      </c>
      <c r="D16" s="252">
        <v>0</v>
      </c>
      <c r="E16" s="252">
        <v>0</v>
      </c>
      <c r="F16" s="252">
        <v>0</v>
      </c>
      <c r="G16" s="252">
        <v>0</v>
      </c>
      <c r="H16" s="252">
        <v>0</v>
      </c>
      <c r="I16" s="252">
        <v>0</v>
      </c>
      <c r="J16" s="252">
        <v>0</v>
      </c>
      <c r="K16" s="252">
        <v>0</v>
      </c>
      <c r="L16" s="252">
        <v>0</v>
      </c>
      <c r="M16" s="252">
        <v>0</v>
      </c>
      <c r="N16" s="252">
        <v>0</v>
      </c>
      <c r="O16" s="252">
        <v>0</v>
      </c>
      <c r="P16" s="252">
        <v>0</v>
      </c>
      <c r="Q16" s="263">
        <v>0</v>
      </c>
    </row>
    <row r="17" spans="1:17">
      <c r="A17" s="261" t="s">
        <v>392</v>
      </c>
      <c r="B17" s="252">
        <v>0</v>
      </c>
      <c r="C17" s="252">
        <v>0</v>
      </c>
      <c r="D17" s="252">
        <v>0</v>
      </c>
      <c r="E17" s="252">
        <v>0</v>
      </c>
      <c r="F17" s="252">
        <v>0</v>
      </c>
      <c r="G17" s="252">
        <v>0</v>
      </c>
      <c r="H17" s="265">
        <v>0</v>
      </c>
      <c r="I17" s="265">
        <v>0</v>
      </c>
      <c r="J17" s="265">
        <v>0</v>
      </c>
      <c r="K17" s="265">
        <v>0</v>
      </c>
      <c r="L17" s="265">
        <v>0</v>
      </c>
      <c r="M17" s="265">
        <v>0</v>
      </c>
      <c r="N17" s="252">
        <v>0</v>
      </c>
      <c r="O17" s="252">
        <v>0</v>
      </c>
      <c r="P17" s="252">
        <v>0</v>
      </c>
      <c r="Q17" s="263">
        <v>0</v>
      </c>
    </row>
    <row r="18" spans="1:17">
      <c r="A18" s="261" t="s">
        <v>393</v>
      </c>
      <c r="B18" s="252">
        <v>0</v>
      </c>
      <c r="C18" s="252">
        <v>0</v>
      </c>
      <c r="D18" s="252">
        <v>0</v>
      </c>
      <c r="E18" s="252">
        <v>0</v>
      </c>
      <c r="F18" s="252">
        <v>0</v>
      </c>
      <c r="G18" s="252">
        <v>0</v>
      </c>
      <c r="H18" s="252">
        <v>0</v>
      </c>
      <c r="I18" s="252">
        <v>0</v>
      </c>
      <c r="J18" s="252">
        <v>0</v>
      </c>
      <c r="K18" s="252">
        <v>0</v>
      </c>
      <c r="L18" s="252">
        <v>0</v>
      </c>
      <c r="M18" s="252">
        <v>0</v>
      </c>
      <c r="N18" s="252">
        <v>0</v>
      </c>
      <c r="O18" s="252">
        <v>0</v>
      </c>
      <c r="P18" s="252">
        <v>0</v>
      </c>
      <c r="Q18" s="263">
        <v>0</v>
      </c>
    </row>
    <row r="19" spans="1:17">
      <c r="A19" s="261" t="s">
        <v>36</v>
      </c>
      <c r="B19" s="252">
        <v>0</v>
      </c>
      <c r="C19" s="252">
        <v>0</v>
      </c>
      <c r="D19" s="252">
        <v>0</v>
      </c>
      <c r="E19" s="252">
        <v>0</v>
      </c>
      <c r="F19" s="252">
        <v>0</v>
      </c>
      <c r="G19" s="252">
        <v>0</v>
      </c>
      <c r="H19" s="252">
        <v>0</v>
      </c>
      <c r="I19" s="252">
        <v>0</v>
      </c>
      <c r="J19" s="252">
        <v>0</v>
      </c>
      <c r="K19" s="252">
        <v>0</v>
      </c>
      <c r="L19" s="252">
        <v>0</v>
      </c>
      <c r="M19" s="252">
        <v>0</v>
      </c>
      <c r="N19" s="252">
        <v>0</v>
      </c>
      <c r="O19" s="252">
        <v>0</v>
      </c>
      <c r="P19" s="252">
        <v>0</v>
      </c>
      <c r="Q19" s="263">
        <v>0</v>
      </c>
    </row>
    <row r="20" spans="1:17">
      <c r="A20" s="261" t="s">
        <v>394</v>
      </c>
      <c r="B20" s="252">
        <v>0</v>
      </c>
      <c r="C20" s="252">
        <v>0</v>
      </c>
      <c r="D20" s="252">
        <v>0</v>
      </c>
      <c r="E20" s="252">
        <v>0</v>
      </c>
      <c r="F20" s="252">
        <v>0</v>
      </c>
      <c r="G20" s="252">
        <v>0</v>
      </c>
      <c r="H20" s="252">
        <v>0</v>
      </c>
      <c r="I20" s="252">
        <v>0</v>
      </c>
      <c r="J20" s="252">
        <v>0</v>
      </c>
      <c r="K20" s="252">
        <v>0</v>
      </c>
      <c r="L20" s="252">
        <v>0</v>
      </c>
      <c r="M20" s="252">
        <v>0</v>
      </c>
      <c r="N20" s="252">
        <v>0</v>
      </c>
      <c r="O20" s="252">
        <v>0</v>
      </c>
      <c r="P20" s="252">
        <v>0</v>
      </c>
      <c r="Q20" s="263">
        <v>0</v>
      </c>
    </row>
    <row r="21" spans="1:17">
      <c r="A21" s="261" t="s">
        <v>395</v>
      </c>
      <c r="B21" s="252">
        <v>0</v>
      </c>
      <c r="C21" s="252">
        <v>0</v>
      </c>
      <c r="D21" s="252">
        <v>0</v>
      </c>
      <c r="E21" s="252">
        <v>0</v>
      </c>
      <c r="F21" s="252">
        <v>0</v>
      </c>
      <c r="G21" s="252">
        <v>0</v>
      </c>
      <c r="H21" s="252">
        <v>0</v>
      </c>
      <c r="I21" s="252">
        <v>0</v>
      </c>
      <c r="J21" s="252">
        <v>0</v>
      </c>
      <c r="K21" s="252">
        <v>0</v>
      </c>
      <c r="L21" s="252">
        <v>0</v>
      </c>
      <c r="M21" s="252">
        <v>0</v>
      </c>
      <c r="N21" s="252">
        <v>0</v>
      </c>
      <c r="O21" s="252">
        <v>0</v>
      </c>
      <c r="P21" s="252">
        <v>0</v>
      </c>
      <c r="Q21" s="263">
        <v>0</v>
      </c>
    </row>
    <row r="22" spans="1:17">
      <c r="A22" s="261" t="s">
        <v>396</v>
      </c>
      <c r="B22" s="252">
        <v>0</v>
      </c>
      <c r="C22" s="252">
        <v>0</v>
      </c>
      <c r="D22" s="252">
        <v>0</v>
      </c>
      <c r="E22" s="252">
        <v>0</v>
      </c>
      <c r="F22" s="252">
        <v>0</v>
      </c>
      <c r="G22" s="252">
        <v>0</v>
      </c>
      <c r="H22" s="252">
        <v>0</v>
      </c>
      <c r="I22" s="252">
        <v>0</v>
      </c>
      <c r="J22" s="252">
        <v>0</v>
      </c>
      <c r="K22" s="252">
        <v>0</v>
      </c>
      <c r="L22" s="252">
        <v>0</v>
      </c>
      <c r="M22" s="252">
        <v>0</v>
      </c>
      <c r="N22" s="252">
        <v>0</v>
      </c>
      <c r="O22" s="252">
        <v>0</v>
      </c>
      <c r="P22" s="252">
        <v>0</v>
      </c>
      <c r="Q22" s="263">
        <v>0</v>
      </c>
    </row>
    <row r="23" spans="1:17">
      <c r="A23" s="261" t="s">
        <v>37</v>
      </c>
      <c r="B23" s="252">
        <v>0</v>
      </c>
      <c r="C23" s="252">
        <v>0</v>
      </c>
      <c r="D23" s="252">
        <v>0</v>
      </c>
      <c r="E23" s="252">
        <v>0</v>
      </c>
      <c r="F23" s="252">
        <v>0</v>
      </c>
      <c r="G23" s="252">
        <v>0</v>
      </c>
      <c r="H23" s="252">
        <v>0</v>
      </c>
      <c r="I23" s="252">
        <v>0</v>
      </c>
      <c r="J23" s="252">
        <v>0</v>
      </c>
      <c r="K23" s="252">
        <v>0</v>
      </c>
      <c r="L23" s="252">
        <v>0</v>
      </c>
      <c r="M23" s="252">
        <v>0</v>
      </c>
      <c r="N23" s="252">
        <v>0</v>
      </c>
      <c r="O23" s="252">
        <v>0</v>
      </c>
      <c r="P23" s="252">
        <v>0</v>
      </c>
      <c r="Q23" s="263">
        <v>0</v>
      </c>
    </row>
    <row r="24" spans="1:17">
      <c r="A24" s="261" t="s">
        <v>38</v>
      </c>
      <c r="B24" s="252">
        <v>0</v>
      </c>
      <c r="C24" s="252">
        <v>0</v>
      </c>
      <c r="D24" s="252">
        <v>0</v>
      </c>
      <c r="E24" s="252">
        <v>0</v>
      </c>
      <c r="F24" s="252">
        <v>0</v>
      </c>
      <c r="G24" s="252">
        <v>0</v>
      </c>
      <c r="H24" s="252">
        <v>0</v>
      </c>
      <c r="I24" s="252">
        <v>0</v>
      </c>
      <c r="J24" s="252">
        <v>0</v>
      </c>
      <c r="K24" s="252">
        <v>0</v>
      </c>
      <c r="L24" s="252">
        <v>0</v>
      </c>
      <c r="M24" s="252">
        <v>0</v>
      </c>
      <c r="N24" s="252">
        <v>0</v>
      </c>
      <c r="O24" s="252">
        <v>0</v>
      </c>
      <c r="P24" s="252">
        <v>0</v>
      </c>
      <c r="Q24" s="263">
        <v>0</v>
      </c>
    </row>
    <row r="25" spans="1:17">
      <c r="A25" s="261" t="s">
        <v>39</v>
      </c>
      <c r="B25" s="252">
        <v>0</v>
      </c>
      <c r="C25" s="252">
        <v>0</v>
      </c>
      <c r="D25" s="252">
        <v>0</v>
      </c>
      <c r="E25" s="252">
        <v>0</v>
      </c>
      <c r="F25" s="252">
        <v>0</v>
      </c>
      <c r="G25" s="252">
        <v>0</v>
      </c>
      <c r="H25" s="252">
        <v>0</v>
      </c>
      <c r="I25" s="252">
        <v>0</v>
      </c>
      <c r="J25" s="252">
        <v>0</v>
      </c>
      <c r="K25" s="252">
        <v>0</v>
      </c>
      <c r="L25" s="252">
        <v>0</v>
      </c>
      <c r="M25" s="252">
        <v>0</v>
      </c>
      <c r="N25" s="252">
        <v>0.56200000000000117</v>
      </c>
      <c r="O25" s="252">
        <v>0</v>
      </c>
      <c r="P25" s="252">
        <v>0</v>
      </c>
      <c r="Q25" s="263">
        <v>0.56200000000000117</v>
      </c>
    </row>
    <row r="26" spans="1:17">
      <c r="A26" s="256" t="s">
        <v>40</v>
      </c>
      <c r="B26" s="257">
        <v>0</v>
      </c>
      <c r="C26" s="257">
        <v>3.2179259504107556E-2</v>
      </c>
      <c r="D26" s="257">
        <v>53.214500000000001</v>
      </c>
      <c r="E26" s="257">
        <v>0</v>
      </c>
      <c r="F26" s="257">
        <v>0</v>
      </c>
      <c r="G26" s="257">
        <v>2.1595894901144632</v>
      </c>
      <c r="H26" s="257">
        <v>0</v>
      </c>
      <c r="I26" s="257">
        <v>0</v>
      </c>
      <c r="J26" s="257">
        <v>0</v>
      </c>
      <c r="K26" s="257">
        <v>0</v>
      </c>
      <c r="L26" s="257">
        <v>0</v>
      </c>
      <c r="M26" s="257">
        <v>0</v>
      </c>
      <c r="N26" s="257">
        <v>-20.183</v>
      </c>
      <c r="O26" s="257">
        <v>0</v>
      </c>
      <c r="P26" s="257">
        <v>0</v>
      </c>
      <c r="Q26" s="257">
        <v>35.223268749618569</v>
      </c>
    </row>
    <row r="27" spans="1:17">
      <c r="A27" s="258"/>
      <c r="B27" s="259"/>
      <c r="C27" s="259"/>
      <c r="D27" s="266"/>
      <c r="E27" s="259"/>
      <c r="F27" s="259"/>
      <c r="G27" s="259"/>
      <c r="H27" s="266"/>
      <c r="I27" s="259"/>
      <c r="J27" s="259"/>
      <c r="K27" s="259"/>
      <c r="L27" s="267"/>
      <c r="M27" s="259"/>
      <c r="N27" s="259"/>
      <c r="O27" s="259"/>
      <c r="P27" s="259"/>
      <c r="Q27" s="259"/>
    </row>
    <row r="28" spans="1:17">
      <c r="A28" s="261" t="s">
        <v>41</v>
      </c>
      <c r="B28" s="252">
        <v>0</v>
      </c>
      <c r="C28" s="252">
        <v>0</v>
      </c>
      <c r="D28" s="252">
        <v>0</v>
      </c>
      <c r="E28" s="252">
        <v>0</v>
      </c>
      <c r="F28" s="252">
        <v>0</v>
      </c>
      <c r="G28" s="252">
        <v>0</v>
      </c>
      <c r="H28" s="252">
        <v>0</v>
      </c>
      <c r="I28" s="252">
        <v>0</v>
      </c>
      <c r="J28" s="252">
        <v>0</v>
      </c>
      <c r="K28" s="252">
        <v>0</v>
      </c>
      <c r="L28" s="252">
        <v>0</v>
      </c>
      <c r="M28" s="252">
        <v>0</v>
      </c>
      <c r="N28" s="252">
        <v>1.2941754169729727</v>
      </c>
      <c r="O28" s="252">
        <v>0</v>
      </c>
      <c r="P28" s="252">
        <v>0</v>
      </c>
      <c r="Q28" s="263">
        <v>1.2941754169729727</v>
      </c>
    </row>
    <row r="29" spans="1:17">
      <c r="A29" s="261" t="s">
        <v>42</v>
      </c>
      <c r="B29" s="252">
        <v>0</v>
      </c>
      <c r="C29" s="252">
        <v>0</v>
      </c>
      <c r="D29" s="252">
        <v>53.186944444444443</v>
      </c>
      <c r="E29" s="252">
        <v>0</v>
      </c>
      <c r="F29" s="252">
        <v>0</v>
      </c>
      <c r="G29" s="252">
        <v>0</v>
      </c>
      <c r="H29" s="252">
        <v>0</v>
      </c>
      <c r="I29" s="252">
        <v>0</v>
      </c>
      <c r="J29" s="252">
        <v>0</v>
      </c>
      <c r="K29" s="252">
        <v>0</v>
      </c>
      <c r="L29" s="252">
        <v>0</v>
      </c>
      <c r="M29" s="252">
        <v>0</v>
      </c>
      <c r="N29" s="252">
        <v>0</v>
      </c>
      <c r="O29" s="252">
        <v>0</v>
      </c>
      <c r="P29" s="252">
        <v>0</v>
      </c>
      <c r="Q29" s="263">
        <v>53.186944444444443</v>
      </c>
    </row>
    <row r="30" spans="1:17">
      <c r="A30" s="261" t="s">
        <v>43</v>
      </c>
      <c r="B30" s="252">
        <v>0</v>
      </c>
      <c r="C30" s="252">
        <v>0</v>
      </c>
      <c r="D30" s="252">
        <v>1.9550000000000001</v>
      </c>
      <c r="E30" s="252">
        <v>0</v>
      </c>
      <c r="F30" s="252">
        <v>0</v>
      </c>
      <c r="G30" s="252">
        <v>0</v>
      </c>
      <c r="H30" s="252">
        <v>0</v>
      </c>
      <c r="I30" s="252">
        <v>0</v>
      </c>
      <c r="J30" s="252">
        <v>0</v>
      </c>
      <c r="K30" s="252">
        <v>0</v>
      </c>
      <c r="L30" s="252">
        <v>0</v>
      </c>
      <c r="M30" s="360">
        <v>0</v>
      </c>
      <c r="N30" s="252">
        <v>8.1025089889189186</v>
      </c>
      <c r="O30" s="252">
        <v>0</v>
      </c>
      <c r="P30" s="252">
        <v>0</v>
      </c>
      <c r="Q30" s="263">
        <v>10.057508988918919</v>
      </c>
    </row>
    <row r="31" spans="1:17">
      <c r="A31" s="261" t="s">
        <v>44</v>
      </c>
      <c r="B31" s="252">
        <v>0</v>
      </c>
      <c r="C31" s="252">
        <v>0</v>
      </c>
      <c r="D31" s="252">
        <v>0.98388888888888892</v>
      </c>
      <c r="E31" s="252">
        <v>0</v>
      </c>
      <c r="F31" s="252">
        <v>0</v>
      </c>
      <c r="G31" s="252">
        <v>0</v>
      </c>
      <c r="H31" s="252">
        <v>0</v>
      </c>
      <c r="I31" s="252">
        <v>0</v>
      </c>
      <c r="J31" s="252">
        <v>0</v>
      </c>
      <c r="K31" s="252">
        <v>0</v>
      </c>
      <c r="L31" s="252">
        <v>0</v>
      </c>
      <c r="M31" s="252">
        <v>0</v>
      </c>
      <c r="N31" s="252">
        <v>10.786315594108109</v>
      </c>
      <c r="O31" s="252">
        <v>0</v>
      </c>
      <c r="P31" s="252">
        <v>0</v>
      </c>
      <c r="Q31" s="263">
        <v>11.770204482996997</v>
      </c>
    </row>
    <row r="32" spans="1:17">
      <c r="A32" s="261" t="s">
        <v>4</v>
      </c>
      <c r="B32" s="252">
        <v>0</v>
      </c>
      <c r="C32" s="252">
        <v>0</v>
      </c>
      <c r="D32" s="252">
        <v>0.3322222222222222</v>
      </c>
      <c r="E32" s="252">
        <v>0</v>
      </c>
      <c r="F32" s="252">
        <v>0</v>
      </c>
      <c r="G32" s="252">
        <v>0</v>
      </c>
      <c r="H32" s="252">
        <v>0</v>
      </c>
      <c r="I32" s="252">
        <v>0</v>
      </c>
      <c r="J32" s="252">
        <v>0</v>
      </c>
      <c r="K32" s="252">
        <v>0</v>
      </c>
      <c r="L32" s="252">
        <v>0</v>
      </c>
      <c r="M32" s="252">
        <v>0</v>
      </c>
      <c r="N32" s="252">
        <v>0</v>
      </c>
      <c r="O32" s="252">
        <v>0</v>
      </c>
      <c r="P32" s="252">
        <v>0</v>
      </c>
      <c r="Q32" s="263">
        <v>0.3322222222222222</v>
      </c>
    </row>
    <row r="33" spans="1:17">
      <c r="A33" s="261" t="s">
        <v>397</v>
      </c>
      <c r="B33" s="252">
        <v>0</v>
      </c>
      <c r="C33" s="252">
        <v>0</v>
      </c>
      <c r="D33" s="252">
        <v>0</v>
      </c>
      <c r="E33" s="252">
        <v>0</v>
      </c>
      <c r="F33" s="252">
        <v>0</v>
      </c>
      <c r="G33" s="252">
        <v>0</v>
      </c>
      <c r="H33" s="252">
        <v>0</v>
      </c>
      <c r="I33" s="252">
        <v>0</v>
      </c>
      <c r="J33" s="252">
        <v>0</v>
      </c>
      <c r="K33" s="252">
        <v>0</v>
      </c>
      <c r="L33" s="252">
        <v>0</v>
      </c>
      <c r="M33" s="252">
        <v>0</v>
      </c>
      <c r="N33" s="252">
        <v>0</v>
      </c>
      <c r="O33" s="252">
        <v>0</v>
      </c>
      <c r="P33" s="252">
        <v>0</v>
      </c>
      <c r="Q33" s="263">
        <v>0</v>
      </c>
    </row>
    <row r="34" spans="1:17">
      <c r="A34" s="256" t="s">
        <v>45</v>
      </c>
      <c r="B34" s="257">
        <v>0</v>
      </c>
      <c r="C34" s="257">
        <v>0</v>
      </c>
      <c r="D34" s="257">
        <v>56.458055555555553</v>
      </c>
      <c r="E34" s="257">
        <v>0</v>
      </c>
      <c r="F34" s="257">
        <v>0</v>
      </c>
      <c r="G34" s="257">
        <v>0</v>
      </c>
      <c r="H34" s="257">
        <v>0</v>
      </c>
      <c r="I34" s="257">
        <v>0</v>
      </c>
      <c r="J34" s="257">
        <v>0</v>
      </c>
      <c r="K34" s="257">
        <v>0</v>
      </c>
      <c r="L34" s="257">
        <v>0</v>
      </c>
      <c r="M34" s="257">
        <v>0</v>
      </c>
      <c r="N34" s="257">
        <v>20.183</v>
      </c>
      <c r="O34" s="257">
        <v>0</v>
      </c>
      <c r="P34" s="257">
        <v>0</v>
      </c>
      <c r="Q34" s="257">
        <v>76.641055555555553</v>
      </c>
    </row>
    <row r="35" spans="1:17">
      <c r="A35" s="251" t="s">
        <v>46</v>
      </c>
      <c r="B35" s="252">
        <v>0</v>
      </c>
      <c r="C35" s="252">
        <v>0</v>
      </c>
      <c r="D35" s="252">
        <v>0</v>
      </c>
      <c r="E35" s="252">
        <v>0</v>
      </c>
      <c r="F35" s="252">
        <v>0</v>
      </c>
      <c r="G35" s="252">
        <v>0</v>
      </c>
      <c r="H35" s="252">
        <v>0</v>
      </c>
      <c r="I35" s="252">
        <v>0</v>
      </c>
      <c r="J35" s="252">
        <v>0</v>
      </c>
      <c r="K35" s="252">
        <v>0</v>
      </c>
      <c r="L35" s="252">
        <v>0</v>
      </c>
      <c r="M35" s="252">
        <v>0</v>
      </c>
      <c r="N35" s="252">
        <v>0</v>
      </c>
      <c r="O35" s="252">
        <v>0</v>
      </c>
      <c r="P35" s="252">
        <v>0</v>
      </c>
      <c r="Q35" s="263">
        <v>0</v>
      </c>
    </row>
    <row r="36" spans="1:17">
      <c r="A36" s="256" t="s">
        <v>47</v>
      </c>
      <c r="B36" s="257">
        <v>0</v>
      </c>
      <c r="C36" s="257">
        <v>0</v>
      </c>
      <c r="D36" s="257">
        <v>56.458055555555553</v>
      </c>
      <c r="E36" s="257">
        <v>0</v>
      </c>
      <c r="F36" s="257">
        <v>0</v>
      </c>
      <c r="G36" s="257">
        <v>0</v>
      </c>
      <c r="H36" s="257">
        <v>0</v>
      </c>
      <c r="I36" s="257">
        <v>0</v>
      </c>
      <c r="J36" s="257">
        <v>0</v>
      </c>
      <c r="K36" s="257">
        <v>0</v>
      </c>
      <c r="L36" s="257">
        <v>0</v>
      </c>
      <c r="M36" s="257">
        <v>0</v>
      </c>
      <c r="N36" s="257">
        <v>20.183</v>
      </c>
      <c r="O36" s="257">
        <v>0</v>
      </c>
      <c r="P36" s="257">
        <v>0</v>
      </c>
      <c r="Q36" s="257">
        <v>76.641055555555553</v>
      </c>
    </row>
  </sheetData>
  <mergeCells count="12">
    <mergeCell ref="Q4:Q5"/>
    <mergeCell ref="A4:A5"/>
    <mergeCell ref="B4:B5"/>
    <mergeCell ref="C4:C5"/>
    <mergeCell ref="D4:D5"/>
    <mergeCell ref="E4:E5"/>
    <mergeCell ref="F4:F5"/>
    <mergeCell ref="G4:G5"/>
    <mergeCell ref="H4:M4"/>
    <mergeCell ref="N4:N5"/>
    <mergeCell ref="O4:O5"/>
    <mergeCell ref="P4:P5"/>
  </mergeCells>
  <conditionalFormatting sqref="C23:E23 B24:E25 H5:L5 N27:Q27 B27:G27 F23:G25 B19:G22 H19:P25 N9:Q11 C9:G11 H9:M10 O6:Q8 E6:E8 B6:B11 B15:P16 B12:Q14 B26:Q26 Q15:Q25">
    <cfRule type="cellIs" dxfId="201" priority="1" operator="equal">
      <formula>0</formula>
    </cfRule>
  </conditionalFormatting>
  <conditionalFormatting sqref="N6:N11">
    <cfRule type="cellIs" dxfId="200" priority="2" operator="equal">
      <formula>0</formula>
    </cfRule>
  </conditionalFormatting>
  <conditionalFormatting sqref="B6:C11 F6:G11">
    <cfRule type="cellIs" dxfId="199" priority="3" operator="equal">
      <formula>0</formula>
    </cfRule>
  </conditionalFormatting>
  <conditionalFormatting sqref="D6:D11">
    <cfRule type="cellIs" dxfId="198" priority="4" operator="equal">
      <formula>0</formula>
    </cfRule>
  </conditionalFormatting>
  <conditionalFormatting sqref="B23">
    <cfRule type="cellIs" dxfId="197" priority="5" operator="equal">
      <formula>0</formula>
    </cfRule>
  </conditionalFormatting>
  <conditionalFormatting sqref="M5">
    <cfRule type="cellIs" dxfId="196" priority="6" operator="equal">
      <formula>0</formula>
    </cfRule>
  </conditionalFormatting>
  <conditionalFormatting sqref="H9:H11 H27">
    <cfRule type="cellIs" dxfId="195" priority="7" operator="equal">
      <formula>0</formula>
    </cfRule>
  </conditionalFormatting>
  <conditionalFormatting sqref="H6:H11 I6:M6">
    <cfRule type="cellIs" dxfId="194" priority="8" operator="equal">
      <formula>0</formula>
    </cfRule>
  </conditionalFormatting>
  <conditionalFormatting sqref="I9:I11 I27">
    <cfRule type="cellIs" dxfId="193" priority="9" operator="equal">
      <formula>0</formula>
    </cfRule>
  </conditionalFormatting>
  <conditionalFormatting sqref="I6:I11">
    <cfRule type="cellIs" dxfId="192" priority="10" operator="equal">
      <formula>0</formula>
    </cfRule>
  </conditionalFormatting>
  <conditionalFormatting sqref="J9:J11 J27">
    <cfRule type="cellIs" dxfId="191" priority="11" operator="equal">
      <formula>0</formula>
    </cfRule>
  </conditionalFormatting>
  <conditionalFormatting sqref="J6:J11">
    <cfRule type="cellIs" dxfId="190" priority="12" operator="equal">
      <formula>0</formula>
    </cfRule>
  </conditionalFormatting>
  <conditionalFormatting sqref="K9:K11 K27">
    <cfRule type="cellIs" dxfId="189" priority="13" operator="equal">
      <formula>0</formula>
    </cfRule>
  </conditionalFormatting>
  <conditionalFormatting sqref="K6:K11">
    <cfRule type="cellIs" dxfId="188" priority="14" operator="equal">
      <formula>0</formula>
    </cfRule>
  </conditionalFormatting>
  <conditionalFormatting sqref="L9:L11 L27">
    <cfRule type="cellIs" dxfId="187" priority="15" operator="equal">
      <formula>0</formula>
    </cfRule>
  </conditionalFormatting>
  <conditionalFormatting sqref="L6:L11">
    <cfRule type="cellIs" dxfId="186" priority="16" operator="equal">
      <formula>0</formula>
    </cfRule>
  </conditionalFormatting>
  <conditionalFormatting sqref="M9:M11 M27">
    <cfRule type="cellIs" dxfId="185" priority="17" operator="equal">
      <formula>0</formula>
    </cfRule>
  </conditionalFormatting>
  <conditionalFormatting sqref="M6:M11">
    <cfRule type="cellIs" dxfId="184" priority="18" operator="equal">
      <formula>0</formula>
    </cfRule>
  </conditionalFormatting>
  <conditionalFormatting sqref="B14:Q14 B15:P16 B6:Q12 B19:P26 Q15:Q26">
    <cfRule type="expression" dxfId="183" priority="19">
      <formula>LEN(TRIM(B6))=0</formula>
    </cfRule>
  </conditionalFormatting>
  <conditionalFormatting sqref="J9:J10">
    <cfRule type="cellIs" dxfId="182" priority="20" operator="equal">
      <formula>0</formula>
    </cfRule>
  </conditionalFormatting>
  <conditionalFormatting sqref="K9:K10">
    <cfRule type="cellIs" dxfId="181" priority="21" operator="equal">
      <formula>0</formula>
    </cfRule>
  </conditionalFormatting>
  <conditionalFormatting sqref="B17:P18">
    <cfRule type="cellIs" dxfId="180" priority="22" operator="equal">
      <formula>0</formula>
    </cfRule>
  </conditionalFormatting>
  <conditionalFormatting sqref="N17:N18">
    <cfRule type="cellIs" dxfId="179" priority="23" operator="equal">
      <formula>0</formula>
    </cfRule>
  </conditionalFormatting>
  <conditionalFormatting sqref="B17:P18">
    <cfRule type="expression" dxfId="178" priority="24">
      <formula>LEN(TRIM(B17))=0</formula>
    </cfRule>
  </conditionalFormatting>
  <conditionalFormatting sqref="L9:M9">
    <cfRule type="cellIs" dxfId="177" priority="25" operator="equal">
      <formula>0</formula>
    </cfRule>
  </conditionalFormatting>
  <conditionalFormatting sqref="L10:M10">
    <cfRule type="cellIs" dxfId="176" priority="26" operator="equal">
      <formula>0</formula>
    </cfRule>
  </conditionalFormatting>
  <conditionalFormatting sqref="Q28:Q36 B28:P34">
    <cfRule type="cellIs" dxfId="175" priority="27" operator="equal">
      <formula>0</formula>
    </cfRule>
  </conditionalFormatting>
  <conditionalFormatting sqref="B35:P35">
    <cfRule type="cellIs" dxfId="174" priority="28" operator="equal">
      <formula>0</formula>
    </cfRule>
  </conditionalFormatting>
  <conditionalFormatting sqref="B28:Q28 Q29:Q36 B29:P35">
    <cfRule type="expression" dxfId="173" priority="29">
      <formula>LEN(TRIM(B28))=0</formula>
    </cfRule>
  </conditionalFormatting>
  <conditionalFormatting sqref="B35:P35">
    <cfRule type="cellIs" dxfId="172" priority="30" operator="equal">
      <formula>0</formula>
    </cfRule>
  </conditionalFormatting>
  <conditionalFormatting sqref="B36:P36">
    <cfRule type="cellIs" dxfId="171" priority="31" operator="equal">
      <formula>0</formula>
    </cfRule>
  </conditionalFormatting>
  <conditionalFormatting sqref="B36:P36">
    <cfRule type="expression" dxfId="170" priority="32">
      <formula>LEN(TRIM(B36))=0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B4:S5"/>
  <sheetViews>
    <sheetView topLeftCell="H1" workbookViewId="0">
      <selection activeCell="S14" sqref="S14"/>
    </sheetView>
  </sheetViews>
  <sheetFormatPr baseColWidth="10" defaultRowHeight="14.4"/>
  <sheetData>
    <row r="4" spans="2:19">
      <c r="B4" s="30">
        <v>2010</v>
      </c>
      <c r="C4" s="30">
        <v>2011</v>
      </c>
      <c r="D4" s="30">
        <v>2012</v>
      </c>
      <c r="E4" s="30">
        <v>2013</v>
      </c>
      <c r="F4" s="30">
        <v>2014</v>
      </c>
      <c r="G4" s="30">
        <v>2015</v>
      </c>
      <c r="H4" s="30">
        <v>2016</v>
      </c>
      <c r="I4" s="30">
        <v>2017</v>
      </c>
      <c r="J4" s="30">
        <v>2018</v>
      </c>
      <c r="K4" s="30">
        <v>2019</v>
      </c>
      <c r="L4" s="30">
        <v>2020</v>
      </c>
      <c r="M4" s="30">
        <v>2021</v>
      </c>
      <c r="N4" s="246">
        <v>2025</v>
      </c>
      <c r="O4" s="246">
        <v>2030</v>
      </c>
      <c r="P4" s="246">
        <v>2035</v>
      </c>
      <c r="Q4" s="246">
        <v>2040</v>
      </c>
      <c r="R4" s="246">
        <v>2045</v>
      </c>
      <c r="S4" s="246">
        <v>2050</v>
      </c>
    </row>
    <row r="5" spans="2:19">
      <c r="B5" s="32">
        <v>821136</v>
      </c>
      <c r="C5" s="32">
        <v>828581</v>
      </c>
      <c r="D5" s="32">
        <v>833944</v>
      </c>
      <c r="E5" s="32">
        <v>835103</v>
      </c>
      <c r="F5" s="32">
        <v>842767</v>
      </c>
      <c r="G5" s="32">
        <v>850727</v>
      </c>
      <c r="H5" s="32">
        <v>852924</v>
      </c>
      <c r="I5" s="32">
        <v>853659</v>
      </c>
      <c r="J5" s="32">
        <v>855961</v>
      </c>
      <c r="K5" s="32">
        <v>861210</v>
      </c>
      <c r="L5" s="32">
        <v>863197</v>
      </c>
      <c r="M5" s="321">
        <v>866000</v>
      </c>
      <c r="N5" s="246">
        <f>0.879*1000000</f>
        <v>879000</v>
      </c>
      <c r="O5" s="246">
        <f>0.893*1000000</f>
        <v>893000</v>
      </c>
      <c r="P5" s="246">
        <f>0.904*1000000</f>
        <v>904000</v>
      </c>
      <c r="Q5" s="246">
        <f>0.913*1000000</f>
        <v>913000</v>
      </c>
      <c r="R5" s="246">
        <f>0.917*1000000</f>
        <v>917000</v>
      </c>
      <c r="S5" s="246">
        <f>0.918*1000000</f>
        <v>918000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G11"/>
  <sheetViews>
    <sheetView showGridLines="0" workbookViewId="0">
      <selection activeCell="C30" sqref="C30"/>
    </sheetView>
  </sheetViews>
  <sheetFormatPr baseColWidth="10" defaultRowHeight="14.4"/>
  <sheetData>
    <row r="1" spans="1:7">
      <c r="A1" s="498"/>
      <c r="B1" s="498"/>
      <c r="C1" s="498"/>
      <c r="D1" s="498"/>
      <c r="E1" s="498"/>
      <c r="F1" s="498"/>
      <c r="G1" s="498"/>
    </row>
    <row r="2" spans="1:7" ht="18">
      <c r="A2" s="499" t="s">
        <v>470</v>
      </c>
      <c r="B2" s="499"/>
      <c r="C2" s="499"/>
      <c r="D2" s="499"/>
      <c r="E2" s="499"/>
      <c r="F2" s="499"/>
      <c r="G2" s="499"/>
    </row>
    <row r="4" spans="1:7">
      <c r="A4" s="498" t="s">
        <v>471</v>
      </c>
      <c r="B4" s="498"/>
      <c r="C4" s="498"/>
      <c r="D4" s="498"/>
      <c r="E4" s="498"/>
      <c r="F4" s="498"/>
      <c r="G4" s="498"/>
    </row>
    <row r="5" spans="1:7">
      <c r="A5" s="498" t="s">
        <v>475</v>
      </c>
      <c r="B5" s="498"/>
      <c r="C5" s="498"/>
      <c r="D5" s="498"/>
      <c r="E5" s="498"/>
      <c r="F5" s="498"/>
      <c r="G5" s="498"/>
    </row>
    <row r="7" spans="1:7">
      <c r="A7" t="s">
        <v>468</v>
      </c>
    </row>
    <row r="8" spans="1:7">
      <c r="A8" s="328"/>
      <c r="B8" t="s">
        <v>473</v>
      </c>
    </row>
    <row r="9" spans="1:7">
      <c r="A9" s="327"/>
      <c r="B9" t="s">
        <v>474</v>
      </c>
    </row>
    <row r="10" spans="1:7">
      <c r="A10" s="329"/>
      <c r="B10" t="s">
        <v>443</v>
      </c>
    </row>
    <row r="11" spans="1:7">
      <c r="A11" s="345"/>
      <c r="B11" t="s">
        <v>469</v>
      </c>
    </row>
  </sheetData>
  <mergeCells count="4">
    <mergeCell ref="A1:G1"/>
    <mergeCell ref="A2:G2"/>
    <mergeCell ref="A4:G4"/>
    <mergeCell ref="A5:G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B3:I24"/>
  <sheetViews>
    <sheetView showGridLines="0" topLeftCell="A49" zoomScale="70" zoomScaleNormal="70" workbookViewId="0">
      <selection activeCell="L23" sqref="L23"/>
    </sheetView>
  </sheetViews>
  <sheetFormatPr baseColWidth="10" defaultRowHeight="14.4"/>
  <sheetData>
    <row r="3" spans="2:9" ht="25.8">
      <c r="B3" s="500" t="s">
        <v>455</v>
      </c>
      <c r="C3" s="500"/>
      <c r="D3" s="500"/>
      <c r="E3" s="500"/>
      <c r="F3" s="500"/>
      <c r="G3" s="500"/>
      <c r="H3" s="500"/>
      <c r="I3" s="500"/>
    </row>
    <row r="24" spans="2:9" ht="25.8">
      <c r="B24" s="500" t="s">
        <v>456</v>
      </c>
      <c r="C24" s="500"/>
      <c r="D24" s="500"/>
      <c r="E24" s="500"/>
      <c r="F24" s="500"/>
      <c r="G24" s="500"/>
      <c r="H24" s="500"/>
      <c r="I24" s="500"/>
    </row>
  </sheetData>
  <mergeCells count="2">
    <mergeCell ref="B3:I3"/>
    <mergeCell ref="B24:I2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2:AN309"/>
  <sheetViews>
    <sheetView tabSelected="1" topLeftCell="I1" zoomScale="55" zoomScaleNormal="55" workbookViewId="0">
      <selection activeCell="T22" sqref="T22"/>
    </sheetView>
  </sheetViews>
  <sheetFormatPr baseColWidth="10" defaultRowHeight="14.4"/>
  <cols>
    <col min="2" max="2" width="37.21875" customWidth="1"/>
    <col min="7" max="8" width="13.5546875" bestFit="1" customWidth="1"/>
    <col min="14" max="14" width="12.21875" customWidth="1"/>
    <col min="30" max="30" width="12" bestFit="1" customWidth="1"/>
    <col min="34" max="34" width="12" customWidth="1"/>
  </cols>
  <sheetData>
    <row r="2" spans="2:30" ht="18">
      <c r="B2" s="511" t="s">
        <v>0</v>
      </c>
      <c r="C2" s="511"/>
      <c r="D2" s="511"/>
      <c r="E2" s="238"/>
      <c r="I2" s="238"/>
      <c r="Q2" s="238"/>
      <c r="U2" s="238"/>
    </row>
    <row r="3" spans="2:30" ht="18">
      <c r="B3" s="269"/>
      <c r="C3" s="269"/>
      <c r="D3" s="269"/>
      <c r="E3" s="238"/>
      <c r="I3" s="238"/>
      <c r="Q3" s="238"/>
      <c r="U3" s="238"/>
    </row>
    <row r="4" spans="2:30">
      <c r="B4" t="s">
        <v>1</v>
      </c>
      <c r="E4" s="238"/>
      <c r="I4" s="238"/>
      <c r="Q4" s="238"/>
      <c r="Y4" s="238"/>
      <c r="Z4" t="s">
        <v>2</v>
      </c>
      <c r="AB4" s="238"/>
    </row>
    <row r="5" spans="2:30">
      <c r="B5" t="s">
        <v>3</v>
      </c>
      <c r="C5" s="30">
        <v>2019</v>
      </c>
      <c r="D5" s="30">
        <v>2020</v>
      </c>
      <c r="E5" s="30">
        <v>2025</v>
      </c>
      <c r="F5" s="30">
        <v>2030</v>
      </c>
      <c r="G5" s="30">
        <v>2035</v>
      </c>
      <c r="H5" s="30">
        <v>2040</v>
      </c>
      <c r="I5" s="30">
        <v>2045</v>
      </c>
      <c r="J5" s="30">
        <v>2050</v>
      </c>
      <c r="M5" s="513" t="s">
        <v>482</v>
      </c>
      <c r="N5" s="513"/>
      <c r="O5" s="513"/>
      <c r="P5" s="513"/>
      <c r="Q5" s="513"/>
      <c r="R5" s="513"/>
      <c r="S5" s="513"/>
      <c r="V5" t="s">
        <v>3</v>
      </c>
      <c r="W5" s="30">
        <v>2019</v>
      </c>
      <c r="X5" s="30">
        <v>2020</v>
      </c>
      <c r="Y5" s="30">
        <v>2025</v>
      </c>
      <c r="Z5" s="30">
        <v>2030</v>
      </c>
      <c r="AA5" s="30">
        <v>2035</v>
      </c>
      <c r="AB5" s="30">
        <v>2040</v>
      </c>
      <c r="AC5" s="30">
        <v>2045</v>
      </c>
      <c r="AD5" s="30">
        <v>2050</v>
      </c>
    </row>
    <row r="6" spans="2:30">
      <c r="B6" s="2" t="s">
        <v>4</v>
      </c>
      <c r="C6" s="2">
        <f t="shared" ref="C6:J6" si="0">C7+C8</f>
        <v>8.835657281438797</v>
      </c>
      <c r="D6" s="2">
        <f t="shared" si="0"/>
        <v>8.8780820005808643</v>
      </c>
      <c r="E6" s="2">
        <f t="shared" si="0"/>
        <v>9.0901581460300793</v>
      </c>
      <c r="F6" s="2">
        <f t="shared" si="0"/>
        <v>9.3021552077107561</v>
      </c>
      <c r="G6" s="2">
        <f t="shared" si="0"/>
        <v>9.5140731856228964</v>
      </c>
      <c r="H6" s="2">
        <f t="shared" si="0"/>
        <v>9.7259120797665002</v>
      </c>
      <c r="I6" s="2">
        <f t="shared" si="0"/>
        <v>9.9376718901415657</v>
      </c>
      <c r="J6" s="2">
        <f t="shared" si="0"/>
        <v>10.149352616748095</v>
      </c>
      <c r="M6" s="513"/>
      <c r="N6" s="513"/>
      <c r="O6" s="513"/>
      <c r="P6" s="513"/>
      <c r="Q6" s="513"/>
      <c r="R6" s="513"/>
      <c r="S6" s="513"/>
      <c r="V6" s="2" t="s">
        <v>4</v>
      </c>
      <c r="W6" s="2">
        <f t="shared" ref="W6:AD6" si="1">W7+W8</f>
        <v>8.835657281438797</v>
      </c>
      <c r="X6" s="2">
        <f t="shared" si="1"/>
        <v>8.8619226006957899</v>
      </c>
      <c r="Y6" s="2">
        <f t="shared" si="1"/>
        <v>8.990867322980213</v>
      </c>
      <c r="Z6" s="2">
        <f t="shared" si="1"/>
        <v>9.1158422552637344</v>
      </c>
      <c r="AA6" s="2">
        <f t="shared" si="1"/>
        <v>9.2368473975463594</v>
      </c>
      <c r="AB6" s="2">
        <f t="shared" si="1"/>
        <v>9.3538827498280863</v>
      </c>
      <c r="AC6" s="2">
        <f t="shared" si="1"/>
        <v>9.4669483121089133</v>
      </c>
      <c r="AD6" s="2">
        <f t="shared" si="1"/>
        <v>9.5760440843888421</v>
      </c>
    </row>
    <row r="7" spans="2:30">
      <c r="B7" s="2" t="s">
        <v>5</v>
      </c>
      <c r="C7" s="2">
        <f>Agriculture!D19</f>
        <v>0.20266533750472568</v>
      </c>
      <c r="D7" s="2">
        <f>Agriculture!G19</f>
        <v>0.20331751498259601</v>
      </c>
      <c r="E7" s="2">
        <f>Agriculture!J19</f>
        <v>0.20653095211082517</v>
      </c>
      <c r="F7" s="2">
        <f>Agriculture!M19</f>
        <v>0.20966530547051718</v>
      </c>
      <c r="G7" s="2">
        <f>Agriculture!P19</f>
        <v>0.21272057506167188</v>
      </c>
      <c r="H7" s="2">
        <f>Agriculture!S19</f>
        <v>0.21569676088428941</v>
      </c>
      <c r="I7" s="2">
        <f>Agriculture!V19</f>
        <v>0.21859386293836972</v>
      </c>
      <c r="J7" s="2">
        <f>Agriculture!Y19</f>
        <v>0.22141188122391275</v>
      </c>
      <c r="M7" s="513"/>
      <c r="N7" s="513"/>
      <c r="O7" s="513"/>
      <c r="P7" s="513"/>
      <c r="Q7" s="513"/>
      <c r="R7" s="513"/>
      <c r="S7" s="513"/>
      <c r="V7" s="2" t="s">
        <v>5</v>
      </c>
      <c r="W7" s="2">
        <f>Agriculture!D35</f>
        <v>0.20266533750472568</v>
      </c>
      <c r="X7" s="2">
        <f>Agriculture!G35</f>
        <v>0.20114967071945364</v>
      </c>
      <c r="Y7" s="2">
        <f>Agriculture!J35</f>
        <v>0.19321071480856347</v>
      </c>
      <c r="Z7" s="2">
        <f>Agriculture!M35</f>
        <v>0.18467072225679049</v>
      </c>
      <c r="AA7" s="2">
        <f>Agriculture!P35</f>
        <v>0.17552969306413457</v>
      </c>
      <c r="AB7" s="2">
        <f>Agriculture!S35</f>
        <v>0.16578762723059573</v>
      </c>
      <c r="AC7" s="2">
        <f>Agriculture!V35</f>
        <v>0.15544452475617401</v>
      </c>
      <c r="AD7" s="2">
        <f>Agriculture!Y35</f>
        <v>0.14450038564086939</v>
      </c>
    </row>
    <row r="8" spans="2:30">
      <c r="B8" s="2" t="s">
        <v>6</v>
      </c>
      <c r="C8" s="2">
        <f>Agriculture!D20</f>
        <v>8.632991943934071</v>
      </c>
      <c r="D8" s="2">
        <f>Agriculture!G20</f>
        <v>8.6747644855982688</v>
      </c>
      <c r="E8" s="2">
        <f>Agriculture!J20</f>
        <v>8.8836271939192546</v>
      </c>
      <c r="F8" s="2">
        <f>Agriculture!M20</f>
        <v>9.0924899022402386</v>
      </c>
      <c r="G8" s="2">
        <f>Agriculture!P20</f>
        <v>9.3013526105612243</v>
      </c>
      <c r="H8" s="2">
        <f>Agriculture!S20</f>
        <v>9.5102153188822101</v>
      </c>
      <c r="I8" s="2">
        <f>Agriculture!V20</f>
        <v>9.7190780272031958</v>
      </c>
      <c r="J8" s="2">
        <f>Agriculture!Y20</f>
        <v>9.9279407355241815</v>
      </c>
      <c r="M8" s="513"/>
      <c r="N8" s="513"/>
      <c r="O8" s="513"/>
      <c r="P8" s="513"/>
      <c r="Q8" s="513"/>
      <c r="R8" s="513"/>
      <c r="S8" s="513"/>
      <c r="V8" s="2" t="s">
        <v>6</v>
      </c>
      <c r="W8" s="2">
        <f>Agriculture!D36</f>
        <v>8.632991943934071</v>
      </c>
      <c r="X8" s="2">
        <f>Agriculture!G36</f>
        <v>8.6607729299763356</v>
      </c>
      <c r="Y8" s="2">
        <f>Agriculture!J36</f>
        <v>8.7976566081716499</v>
      </c>
      <c r="Z8" s="2">
        <f>Agriculture!M36</f>
        <v>8.9311715330069443</v>
      </c>
      <c r="AA8" s="2">
        <f>Agriculture!P36</f>
        <v>9.0613177044822244</v>
      </c>
      <c r="AB8" s="2">
        <f>Agriculture!S36</f>
        <v>9.1880951225974901</v>
      </c>
      <c r="AC8" s="2">
        <f>Agriculture!V36</f>
        <v>9.3115037873527395</v>
      </c>
      <c r="AD8" s="2">
        <f>Agriculture!Y36</f>
        <v>9.4315436987479728</v>
      </c>
    </row>
    <row r="9" spans="2:30">
      <c r="B9" s="2" t="s">
        <v>7</v>
      </c>
      <c r="C9" s="2">
        <f>Déchets!B21</f>
        <v>2.385381346123181</v>
      </c>
      <c r="D9" s="2">
        <f>Déchets!C21</f>
        <v>2.4456290390231428</v>
      </c>
      <c r="E9" s="2">
        <f>Déchets!D21</f>
        <v>2.3209657874862257</v>
      </c>
      <c r="F9" s="2">
        <f>Déchets!E21</f>
        <v>2.2313432370248245</v>
      </c>
      <c r="G9" s="2">
        <f>Déchets!F21</f>
        <v>2.1743242445965922</v>
      </c>
      <c r="H9" s="2">
        <f>Déchets!G21</f>
        <v>2.1342738606006977</v>
      </c>
      <c r="I9" s="2">
        <f>Déchets!H21</f>
        <v>2.0878056665932907</v>
      </c>
      <c r="J9" s="2">
        <f>Déchets!I21</f>
        <v>2.0246735070338393</v>
      </c>
      <c r="V9" s="2" t="s">
        <v>7</v>
      </c>
      <c r="W9" s="2">
        <f>Déchets!B34</f>
        <v>2.385381346123181</v>
      </c>
      <c r="X9" s="2">
        <f>Déchets!C34</f>
        <v>2.4022835983252371</v>
      </c>
      <c r="Y9" s="2">
        <f>Déchets!D34</f>
        <v>2.0754622795825819</v>
      </c>
      <c r="Z9" s="2">
        <f>Déchets!E34</f>
        <v>1.8010644317975835</v>
      </c>
      <c r="AA9" s="2">
        <f>Déchets!F34</f>
        <v>1.5680836025209355</v>
      </c>
      <c r="AB9" s="2">
        <f>Déchets!G34</f>
        <v>1.3581630381815295</v>
      </c>
      <c r="AC9" s="2">
        <f>Déchets!H34</f>
        <v>1.1541208803308227</v>
      </c>
      <c r="AD9" s="2">
        <f>Déchets!I34</f>
        <v>0.95278753272180661</v>
      </c>
    </row>
    <row r="10" spans="2:30">
      <c r="B10" s="2" t="s">
        <v>8</v>
      </c>
      <c r="C10" s="2">
        <f>UTCATF!B10</f>
        <v>0</v>
      </c>
      <c r="D10" s="2">
        <f>UTCATF!C10</f>
        <v>0</v>
      </c>
      <c r="E10" s="2">
        <f>UTCATF!D10</f>
        <v>0</v>
      </c>
      <c r="F10" s="2">
        <f>UTCATF!E10</f>
        <v>0</v>
      </c>
      <c r="G10" s="2">
        <f>UTCATF!F10</f>
        <v>0</v>
      </c>
      <c r="H10" s="2">
        <f>UTCATF!G10</f>
        <v>0</v>
      </c>
      <c r="I10" s="2">
        <f>UTCATF!H10</f>
        <v>0</v>
      </c>
      <c r="J10" s="2">
        <f>UTCATF!I10</f>
        <v>0</v>
      </c>
      <c r="V10" s="2" t="s">
        <v>8</v>
      </c>
      <c r="W10" s="2">
        <f>UTCATF!B16</f>
        <v>0</v>
      </c>
      <c r="X10" s="2">
        <f>UTCATF!C16</f>
        <v>0</v>
      </c>
      <c r="Y10" s="2">
        <f>UTCATF!D16</f>
        <v>0</v>
      </c>
      <c r="Z10" s="2">
        <f>UTCATF!E16</f>
        <v>0</v>
      </c>
      <c r="AA10" s="2">
        <f>UTCATF!F16</f>
        <v>0</v>
      </c>
      <c r="AB10" s="2">
        <f>UTCATF!G16</f>
        <v>0</v>
      </c>
      <c r="AC10" s="2">
        <f>UTCATF!H16</f>
        <v>0</v>
      </c>
      <c r="AD10" s="2">
        <f>UTCATF!I16</f>
        <v>0</v>
      </c>
    </row>
    <row r="12" spans="2:30" ht="43.2">
      <c r="I12" s="246"/>
      <c r="J12" s="246" t="s">
        <v>14</v>
      </c>
      <c r="K12" s="246" t="s">
        <v>148</v>
      </c>
      <c r="L12" s="246" t="s">
        <v>524</v>
      </c>
      <c r="M12" s="246" t="s">
        <v>400</v>
      </c>
      <c r="N12" s="246" t="s">
        <v>7</v>
      </c>
      <c r="O12" s="246" t="s">
        <v>525</v>
      </c>
      <c r="P12" s="246" t="s">
        <v>526</v>
      </c>
      <c r="Q12" s="246" t="s">
        <v>149</v>
      </c>
      <c r="T12" s="488"/>
      <c r="U12" s="246"/>
      <c r="V12" s="491" t="s">
        <v>400</v>
      </c>
      <c r="W12" s="491" t="s">
        <v>7</v>
      </c>
      <c r="X12" s="491" t="s">
        <v>372</v>
      </c>
      <c r="Y12" s="491" t="s">
        <v>398</v>
      </c>
      <c r="Z12" s="491" t="s">
        <v>386</v>
      </c>
      <c r="AA12" s="491" t="s">
        <v>387</v>
      </c>
      <c r="AB12" s="488"/>
    </row>
    <row r="13" spans="2:30">
      <c r="I13" s="246" t="s">
        <v>527</v>
      </c>
      <c r="J13" s="347">
        <v>0.32</v>
      </c>
      <c r="K13" s="347">
        <v>0.44</v>
      </c>
      <c r="L13" s="347">
        <v>1</v>
      </c>
      <c r="M13" s="347">
        <v>0.4</v>
      </c>
      <c r="N13" s="347">
        <v>0.4</v>
      </c>
      <c r="O13" s="347">
        <v>0.4</v>
      </c>
      <c r="P13" s="347">
        <v>0.6</v>
      </c>
      <c r="Q13" s="347">
        <v>0.1</v>
      </c>
      <c r="T13" s="488" t="s">
        <v>593</v>
      </c>
      <c r="U13" s="246" t="s">
        <v>41</v>
      </c>
      <c r="V13" s="246">
        <v>47.979711316076482</v>
      </c>
      <c r="W13" s="246">
        <v>0</v>
      </c>
      <c r="X13" s="246">
        <v>0</v>
      </c>
      <c r="Y13" s="246">
        <v>8.0017440220341047</v>
      </c>
      <c r="Z13" s="246">
        <v>0</v>
      </c>
      <c r="AA13" s="246">
        <v>0.1631286599880096</v>
      </c>
      <c r="AB13" s="488" t="s">
        <v>594</v>
      </c>
    </row>
    <row r="14" spans="2:30" ht="18">
      <c r="B14" s="511" t="s">
        <v>375</v>
      </c>
      <c r="C14" s="511"/>
      <c r="D14" s="511"/>
      <c r="T14" s="488"/>
      <c r="U14" s="246" t="s">
        <v>43</v>
      </c>
      <c r="V14" s="246"/>
      <c r="W14" s="246"/>
      <c r="X14" s="246"/>
      <c r="Y14" s="246"/>
      <c r="Z14" s="246"/>
      <c r="AA14" s="246">
        <v>1</v>
      </c>
      <c r="AB14" s="488" t="s">
        <v>599</v>
      </c>
    </row>
    <row r="15" spans="2:30">
      <c r="T15" s="488"/>
      <c r="U15" s="246" t="s">
        <v>44</v>
      </c>
      <c r="V15" s="246"/>
      <c r="W15" s="246"/>
      <c r="X15" s="246"/>
      <c r="Y15" s="246"/>
      <c r="Z15" s="246"/>
      <c r="AA15" s="246">
        <v>1</v>
      </c>
      <c r="AB15" s="488"/>
    </row>
    <row r="16" spans="2:30" ht="43.2">
      <c r="B16" s="239"/>
      <c r="C16" s="240" t="s">
        <v>51</v>
      </c>
      <c r="D16" s="240">
        <v>2019</v>
      </c>
      <c r="E16" s="240">
        <v>2020</v>
      </c>
      <c r="F16" s="240" t="s">
        <v>376</v>
      </c>
      <c r="I16" s="241" t="s">
        <v>377</v>
      </c>
      <c r="J16" s="240">
        <v>2019</v>
      </c>
      <c r="K16" s="240">
        <v>2020</v>
      </c>
      <c r="L16" s="240" t="s">
        <v>376</v>
      </c>
      <c r="O16" s="240" t="s">
        <v>50</v>
      </c>
      <c r="P16" s="240">
        <v>2019</v>
      </c>
      <c r="Q16" s="240">
        <v>2020</v>
      </c>
      <c r="R16" s="240" t="s">
        <v>376</v>
      </c>
      <c r="U16" s="274" t="s">
        <v>402</v>
      </c>
      <c r="V16" s="275" t="s">
        <v>400</v>
      </c>
      <c r="W16" s="275" t="s">
        <v>7</v>
      </c>
      <c r="X16" s="275" t="s">
        <v>401</v>
      </c>
      <c r="Y16" s="275" t="s">
        <v>398</v>
      </c>
      <c r="Z16" s="275" t="s">
        <v>386</v>
      </c>
      <c r="AA16" s="275" t="s">
        <v>387</v>
      </c>
      <c r="AB16" s="275"/>
    </row>
    <row r="17" spans="1:38">
      <c r="B17" s="242"/>
      <c r="C17" s="243" t="s">
        <v>378</v>
      </c>
      <c r="D17" s="244">
        <f>O45/O36</f>
        <v>0</v>
      </c>
      <c r="E17" s="244">
        <v>-1.2872841444270016E-2</v>
      </c>
      <c r="F17" s="244">
        <f>AVERAGE(D17:E17)</f>
        <v>-6.436420722135008E-3</v>
      </c>
      <c r="I17" s="245" t="s">
        <v>379</v>
      </c>
      <c r="J17" s="246">
        <f>SUM(C36:N36)/O36</f>
        <v>-2.6692740173590965</v>
      </c>
      <c r="K17" s="246"/>
      <c r="L17" s="246">
        <f>AVERAGE(J17:K17)</f>
        <v>-2.6692740173590965</v>
      </c>
      <c r="O17" s="243" t="s">
        <v>378</v>
      </c>
      <c r="P17" s="244" t="e">
        <f>P45/P37</f>
        <v>#DIV/0!</v>
      </c>
      <c r="Q17" s="244">
        <v>0</v>
      </c>
      <c r="R17" s="244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38">
      <c r="B18" s="242"/>
      <c r="C18" s="243" t="s">
        <v>380</v>
      </c>
      <c r="D18" s="276">
        <f>O46/O36</f>
        <v>-2.7090865268739509E-2</v>
      </c>
      <c r="E18" s="244">
        <v>-6.3736263736263732E-2</v>
      </c>
      <c r="F18" s="276">
        <f>AVERAGE(D18:E18)</f>
        <v>-4.541356450250162E-2</v>
      </c>
      <c r="I18" s="245" t="s">
        <v>50</v>
      </c>
      <c r="J18" s="246" t="e">
        <f>SUM(C37:N37)/P37</f>
        <v>#DIV/0!</v>
      </c>
      <c r="K18" s="246"/>
      <c r="L18" s="246">
        <v>0</v>
      </c>
      <c r="O18" s="243" t="s">
        <v>380</v>
      </c>
      <c r="P18" s="244" t="e">
        <f>P46/P37</f>
        <v>#DIV/0!</v>
      </c>
      <c r="Q18" s="244">
        <v>-9.0909090909090912E-2</v>
      </c>
      <c r="R18" s="244">
        <v>0</v>
      </c>
    </row>
    <row r="19" spans="1:38">
      <c r="B19" s="242"/>
      <c r="C19" s="247"/>
      <c r="D19" s="248"/>
      <c r="E19" s="248"/>
      <c r="F19" s="248"/>
      <c r="I19" s="245" t="s">
        <v>381</v>
      </c>
      <c r="J19" s="246">
        <f>(SUM(C36:N36)+SUM(C37:N37))/(O36+P37)</f>
        <v>-2.6692740173590965</v>
      </c>
      <c r="K19" s="246">
        <v>-2.3666206896551722</v>
      </c>
      <c r="L19" s="246">
        <f>AVERAGE(J19:K19)</f>
        <v>-2.5179473535071342</v>
      </c>
    </row>
    <row r="21" spans="1:38" ht="23.4">
      <c r="B21" s="512" t="s">
        <v>10</v>
      </c>
      <c r="C21" s="512"/>
      <c r="D21" s="512"/>
      <c r="E21" s="512"/>
      <c r="F21" s="512"/>
      <c r="G21" s="512"/>
      <c r="H21" s="512"/>
      <c r="I21" s="512"/>
      <c r="J21" s="512"/>
      <c r="K21" s="512"/>
      <c r="L21" s="512"/>
      <c r="M21" s="512"/>
      <c r="N21" s="512"/>
      <c r="O21" s="512"/>
      <c r="P21" s="512"/>
      <c r="Q21" s="512"/>
      <c r="R21" s="512"/>
      <c r="V21" s="512" t="s">
        <v>11</v>
      </c>
      <c r="W21" s="512"/>
      <c r="X21" s="512"/>
      <c r="Y21" s="512"/>
      <c r="Z21" s="512"/>
      <c r="AA21" s="512"/>
      <c r="AB21" s="512"/>
      <c r="AC21" s="512"/>
      <c r="AD21" s="512"/>
      <c r="AE21" s="512"/>
      <c r="AF21" s="512"/>
      <c r="AG21" s="512"/>
      <c r="AH21" s="512"/>
      <c r="AI21" s="512"/>
      <c r="AJ21" s="512"/>
      <c r="AK21" s="512"/>
      <c r="AL21" s="512"/>
    </row>
    <row r="22" spans="1:38">
      <c r="B22" t="s">
        <v>12</v>
      </c>
    </row>
    <row r="23" spans="1:38">
      <c r="B23" t="s">
        <v>13</v>
      </c>
    </row>
    <row r="25" spans="1:38">
      <c r="A25" s="506">
        <v>2019</v>
      </c>
      <c r="B25" s="510" t="s">
        <v>12</v>
      </c>
      <c r="C25" s="509" t="s">
        <v>14</v>
      </c>
      <c r="D25" s="509" t="s">
        <v>15</v>
      </c>
      <c r="E25" s="509" t="s">
        <v>16</v>
      </c>
      <c r="F25" s="509" t="s">
        <v>17</v>
      </c>
      <c r="G25" s="509" t="s">
        <v>382</v>
      </c>
      <c r="H25" s="509" t="s">
        <v>18</v>
      </c>
      <c r="I25" s="509" t="s">
        <v>19</v>
      </c>
      <c r="J25" s="509"/>
      <c r="K25" s="509"/>
      <c r="L25" s="509"/>
      <c r="M25" s="509"/>
      <c r="N25" s="509"/>
      <c r="O25" s="501" t="s">
        <v>383</v>
      </c>
      <c r="P25" s="501" t="s">
        <v>21</v>
      </c>
      <c r="Q25" s="501" t="s">
        <v>384</v>
      </c>
      <c r="R25" s="501" t="s">
        <v>23</v>
      </c>
      <c r="U25" s="506">
        <v>2019</v>
      </c>
      <c r="V25" s="510" t="s">
        <v>12</v>
      </c>
      <c r="W25" s="509" t="s">
        <v>14</v>
      </c>
      <c r="X25" s="509" t="s">
        <v>15</v>
      </c>
      <c r="Y25" s="509" t="s">
        <v>16</v>
      </c>
      <c r="Z25" s="509" t="s">
        <v>17</v>
      </c>
      <c r="AA25" s="509" t="s">
        <v>382</v>
      </c>
      <c r="AB25" s="509" t="s">
        <v>18</v>
      </c>
      <c r="AC25" s="509" t="s">
        <v>19</v>
      </c>
      <c r="AD25" s="509"/>
      <c r="AE25" s="509"/>
      <c r="AF25" s="509"/>
      <c r="AG25" s="509"/>
      <c r="AH25" s="509"/>
      <c r="AI25" s="501" t="s">
        <v>383</v>
      </c>
      <c r="AJ25" s="501" t="s">
        <v>21</v>
      </c>
      <c r="AK25" s="501" t="s">
        <v>384</v>
      </c>
      <c r="AL25" s="501" t="s">
        <v>23</v>
      </c>
    </row>
    <row r="26" spans="1:38" ht="45.6">
      <c r="A26" s="506"/>
      <c r="B26" s="510"/>
      <c r="C26" s="509"/>
      <c r="D26" s="509"/>
      <c r="E26" s="509"/>
      <c r="F26" s="509"/>
      <c r="G26" s="509"/>
      <c r="H26" s="509"/>
      <c r="I26" s="249" t="s">
        <v>371</v>
      </c>
      <c r="J26" s="249" t="s">
        <v>7</v>
      </c>
      <c r="K26" s="249" t="s">
        <v>372</v>
      </c>
      <c r="L26" s="249" t="s">
        <v>385</v>
      </c>
      <c r="M26" s="250" t="s">
        <v>386</v>
      </c>
      <c r="N26" s="249" t="s">
        <v>387</v>
      </c>
      <c r="O26" s="501"/>
      <c r="P26" s="501"/>
      <c r="Q26" s="501"/>
      <c r="R26" s="501"/>
      <c r="U26" s="506"/>
      <c r="V26" s="510"/>
      <c r="W26" s="509"/>
      <c r="X26" s="509"/>
      <c r="Y26" s="509"/>
      <c r="Z26" s="509"/>
      <c r="AA26" s="509"/>
      <c r="AB26" s="509"/>
      <c r="AC26" s="249" t="s">
        <v>371</v>
      </c>
      <c r="AD26" s="249" t="s">
        <v>7</v>
      </c>
      <c r="AE26" s="249" t="s">
        <v>372</v>
      </c>
      <c r="AF26" s="249" t="s">
        <v>385</v>
      </c>
      <c r="AG26" s="250" t="s">
        <v>386</v>
      </c>
      <c r="AH26" s="249" t="s">
        <v>387</v>
      </c>
      <c r="AI26" s="501"/>
      <c r="AJ26" s="501"/>
      <c r="AK26" s="501"/>
      <c r="AL26" s="501"/>
    </row>
    <row r="27" spans="1:38">
      <c r="A27" s="506"/>
      <c r="B27" s="251" t="s">
        <v>24</v>
      </c>
      <c r="C27" s="252">
        <v>0</v>
      </c>
      <c r="D27" s="253">
        <v>0</v>
      </c>
      <c r="E27" s="253">
        <v>0</v>
      </c>
      <c r="F27" s="252">
        <v>0</v>
      </c>
      <c r="G27" s="253">
        <v>0</v>
      </c>
      <c r="H27" s="253">
        <v>0</v>
      </c>
      <c r="I27" s="253">
        <v>0</v>
      </c>
      <c r="J27" s="253">
        <v>0</v>
      </c>
      <c r="K27" s="253">
        <v>0</v>
      </c>
      <c r="L27" s="253">
        <v>0</v>
      </c>
      <c r="M27" s="253">
        <v>0</v>
      </c>
      <c r="N27" s="253">
        <v>0</v>
      </c>
      <c r="O27" s="254">
        <v>0</v>
      </c>
      <c r="P27" s="253">
        <v>0</v>
      </c>
      <c r="Q27" s="253">
        <v>0</v>
      </c>
      <c r="R27" s="255">
        <v>0</v>
      </c>
      <c r="U27" s="506"/>
      <c r="V27" s="251" t="s">
        <v>24</v>
      </c>
      <c r="W27" s="252">
        <v>0</v>
      </c>
      <c r="X27" s="253">
        <v>0</v>
      </c>
      <c r="Y27" s="253">
        <v>0</v>
      </c>
      <c r="Z27" s="252">
        <v>0</v>
      </c>
      <c r="AA27" s="253">
        <v>0</v>
      </c>
      <c r="AB27" s="253">
        <v>0</v>
      </c>
      <c r="AC27" s="253">
        <v>0</v>
      </c>
      <c r="AD27" s="253">
        <v>0</v>
      </c>
      <c r="AE27" s="253">
        <v>0</v>
      </c>
      <c r="AF27" s="253">
        <v>0</v>
      </c>
      <c r="AG27" s="253">
        <v>0</v>
      </c>
      <c r="AH27" s="253">
        <v>0</v>
      </c>
      <c r="AI27" s="254">
        <v>0</v>
      </c>
      <c r="AJ27" s="253">
        <v>0</v>
      </c>
      <c r="AK27" s="253">
        <v>0</v>
      </c>
      <c r="AL27" s="255">
        <v>0</v>
      </c>
    </row>
    <row r="28" spans="1:38">
      <c r="A28" s="506"/>
      <c r="B28" s="251" t="s">
        <v>28</v>
      </c>
      <c r="C28" s="252">
        <v>0</v>
      </c>
      <c r="D28" s="253">
        <v>0</v>
      </c>
      <c r="E28" s="253">
        <v>111.12700000000001</v>
      </c>
      <c r="F28" s="252">
        <v>0</v>
      </c>
      <c r="G28" s="253">
        <v>0</v>
      </c>
      <c r="H28" s="253">
        <v>0</v>
      </c>
      <c r="I28" s="253">
        <v>0</v>
      </c>
      <c r="J28" s="253">
        <v>0</v>
      </c>
      <c r="K28" s="253">
        <v>0</v>
      </c>
      <c r="L28" s="253">
        <v>0</v>
      </c>
      <c r="M28" s="253">
        <v>0</v>
      </c>
      <c r="N28" s="253">
        <v>0</v>
      </c>
      <c r="O28" s="254">
        <v>0</v>
      </c>
      <c r="P28" s="253">
        <v>0</v>
      </c>
      <c r="Q28" s="253">
        <v>0</v>
      </c>
      <c r="R28" s="255">
        <v>111.12700000000001</v>
      </c>
      <c r="U28" s="506"/>
      <c r="V28" s="251" t="s">
        <v>28</v>
      </c>
      <c r="W28" s="252">
        <v>0</v>
      </c>
      <c r="X28" s="253">
        <v>0</v>
      </c>
      <c r="Y28" s="253">
        <v>111.12700000000001</v>
      </c>
      <c r="Z28" s="252">
        <v>0</v>
      </c>
      <c r="AA28" s="253">
        <v>0</v>
      </c>
      <c r="AB28" s="253">
        <v>0</v>
      </c>
      <c r="AC28" s="253">
        <v>0</v>
      </c>
      <c r="AD28" s="253">
        <v>0</v>
      </c>
      <c r="AE28" s="253">
        <v>0</v>
      </c>
      <c r="AF28" s="253">
        <v>0</v>
      </c>
      <c r="AG28" s="253">
        <v>0</v>
      </c>
      <c r="AH28" s="253">
        <v>0</v>
      </c>
      <c r="AI28" s="254">
        <v>0</v>
      </c>
      <c r="AJ28" s="253">
        <v>0</v>
      </c>
      <c r="AK28" s="253">
        <v>0</v>
      </c>
      <c r="AL28" s="255">
        <v>111.12700000000001</v>
      </c>
    </row>
    <row r="29" spans="1:38">
      <c r="A29" s="506"/>
      <c r="B29" s="251" t="s">
        <v>29</v>
      </c>
      <c r="C29" s="252">
        <v>0</v>
      </c>
      <c r="D29" s="253">
        <v>0</v>
      </c>
      <c r="E29" s="253">
        <v>0</v>
      </c>
      <c r="F29" s="252">
        <v>0</v>
      </c>
      <c r="G29" s="253">
        <v>0</v>
      </c>
      <c r="H29" s="253">
        <v>0</v>
      </c>
      <c r="I29" s="253">
        <v>0</v>
      </c>
      <c r="J29" s="253">
        <v>0</v>
      </c>
      <c r="K29" s="253">
        <v>0</v>
      </c>
      <c r="L29" s="253">
        <v>0</v>
      </c>
      <c r="M29" s="253">
        <v>0</v>
      </c>
      <c r="N29" s="253">
        <v>0</v>
      </c>
      <c r="O29" s="254">
        <v>0</v>
      </c>
      <c r="P29" s="253">
        <v>0</v>
      </c>
      <c r="Q29" s="253">
        <v>0</v>
      </c>
      <c r="R29" s="255">
        <v>0</v>
      </c>
      <c r="U29" s="506"/>
      <c r="V29" s="251" t="s">
        <v>29</v>
      </c>
      <c r="W29" s="252">
        <v>0</v>
      </c>
      <c r="X29" s="253">
        <v>0</v>
      </c>
      <c r="Y29" s="253">
        <v>0</v>
      </c>
      <c r="Z29" s="252">
        <v>0</v>
      </c>
      <c r="AA29" s="253">
        <v>0</v>
      </c>
      <c r="AB29" s="253">
        <v>0</v>
      </c>
      <c r="AC29" s="253">
        <v>0</v>
      </c>
      <c r="AD29" s="253">
        <v>0</v>
      </c>
      <c r="AE29" s="253">
        <v>0</v>
      </c>
      <c r="AF29" s="253">
        <v>0</v>
      </c>
      <c r="AG29" s="253">
        <v>0</v>
      </c>
      <c r="AH29" s="253">
        <v>0</v>
      </c>
      <c r="AI29" s="254">
        <v>0</v>
      </c>
      <c r="AJ29" s="253">
        <v>0</v>
      </c>
      <c r="AK29" s="253">
        <v>0</v>
      </c>
      <c r="AL29" s="255">
        <v>0</v>
      </c>
    </row>
    <row r="30" spans="1:38">
      <c r="A30" s="506"/>
      <c r="B30" s="251" t="s">
        <v>30</v>
      </c>
      <c r="C30" s="252">
        <v>0</v>
      </c>
      <c r="D30" s="253">
        <v>0</v>
      </c>
      <c r="E30" s="253">
        <v>0</v>
      </c>
      <c r="F30" s="252">
        <v>0</v>
      </c>
      <c r="G30" s="253">
        <v>0</v>
      </c>
      <c r="H30" s="253">
        <v>0</v>
      </c>
      <c r="I30" s="253">
        <v>0</v>
      </c>
      <c r="J30" s="253">
        <v>0</v>
      </c>
      <c r="K30" s="253">
        <v>0</v>
      </c>
      <c r="L30" s="253">
        <v>0</v>
      </c>
      <c r="M30" s="253">
        <v>0</v>
      </c>
      <c r="N30" s="253">
        <v>0</v>
      </c>
      <c r="O30" s="254">
        <v>0</v>
      </c>
      <c r="P30" s="253">
        <v>0</v>
      </c>
      <c r="Q30" s="253">
        <v>0</v>
      </c>
      <c r="R30" s="255">
        <v>0</v>
      </c>
      <c r="U30" s="506"/>
      <c r="V30" s="251" t="s">
        <v>30</v>
      </c>
      <c r="W30" s="252">
        <v>0</v>
      </c>
      <c r="X30" s="253">
        <v>0</v>
      </c>
      <c r="Y30" s="253">
        <v>0</v>
      </c>
      <c r="Z30" s="252">
        <v>0</v>
      </c>
      <c r="AA30" s="253">
        <v>0</v>
      </c>
      <c r="AB30" s="253">
        <v>0</v>
      </c>
      <c r="AC30" s="253">
        <v>0</v>
      </c>
      <c r="AD30" s="253">
        <v>0</v>
      </c>
      <c r="AE30" s="253">
        <v>0</v>
      </c>
      <c r="AF30" s="253">
        <v>0</v>
      </c>
      <c r="AG30" s="253">
        <v>0</v>
      </c>
      <c r="AH30" s="253">
        <v>0</v>
      </c>
      <c r="AI30" s="254">
        <v>0</v>
      </c>
      <c r="AJ30" s="253">
        <v>0</v>
      </c>
      <c r="AK30" s="253">
        <v>0</v>
      </c>
      <c r="AL30" s="255">
        <v>0</v>
      </c>
    </row>
    <row r="31" spans="1:38">
      <c r="A31" s="506"/>
      <c r="B31" s="251" t="s">
        <v>31</v>
      </c>
      <c r="C31" s="252">
        <v>0</v>
      </c>
      <c r="D31" s="253">
        <v>0</v>
      </c>
      <c r="E31" s="253">
        <v>-1.4544444444444444</v>
      </c>
      <c r="F31" s="252">
        <v>0</v>
      </c>
      <c r="G31" s="253">
        <v>0</v>
      </c>
      <c r="H31" s="253">
        <v>0</v>
      </c>
      <c r="I31" s="253">
        <v>0</v>
      </c>
      <c r="J31" s="253">
        <v>0</v>
      </c>
      <c r="K31" s="253">
        <v>0</v>
      </c>
      <c r="L31" s="253">
        <v>0</v>
      </c>
      <c r="M31" s="253">
        <v>0</v>
      </c>
      <c r="N31" s="253">
        <v>0</v>
      </c>
      <c r="O31" s="254">
        <v>0</v>
      </c>
      <c r="P31" s="253">
        <v>0</v>
      </c>
      <c r="Q31" s="253">
        <v>0</v>
      </c>
      <c r="R31" s="255">
        <v>-1.4544444444444444</v>
      </c>
      <c r="U31" s="506"/>
      <c r="V31" s="251" t="s">
        <v>31</v>
      </c>
      <c r="W31" s="252">
        <v>0</v>
      </c>
      <c r="X31" s="253">
        <v>0</v>
      </c>
      <c r="Y31" s="253">
        <v>-1.4544444444444444</v>
      </c>
      <c r="Z31" s="252">
        <v>0</v>
      </c>
      <c r="AA31" s="253">
        <v>0</v>
      </c>
      <c r="AB31" s="253">
        <v>0</v>
      </c>
      <c r="AC31" s="253">
        <v>0</v>
      </c>
      <c r="AD31" s="253">
        <v>0</v>
      </c>
      <c r="AE31" s="253">
        <v>0</v>
      </c>
      <c r="AF31" s="253">
        <v>0</v>
      </c>
      <c r="AG31" s="253">
        <v>0</v>
      </c>
      <c r="AH31" s="253">
        <v>0</v>
      </c>
      <c r="AI31" s="254">
        <v>0</v>
      </c>
      <c r="AJ31" s="253">
        <v>0</v>
      </c>
      <c r="AK31" s="253">
        <v>0</v>
      </c>
      <c r="AL31" s="255">
        <v>-1.4544444444444444</v>
      </c>
    </row>
    <row r="32" spans="1:38">
      <c r="A32" s="506"/>
      <c r="B32" s="251" t="s">
        <v>32</v>
      </c>
      <c r="C32" s="252">
        <v>0</v>
      </c>
      <c r="D32" s="253">
        <v>0</v>
      </c>
      <c r="E32" s="253">
        <v>0</v>
      </c>
      <c r="F32" s="252">
        <v>0</v>
      </c>
      <c r="G32" s="253">
        <v>0</v>
      </c>
      <c r="H32" s="253">
        <v>0</v>
      </c>
      <c r="I32" s="253">
        <v>0</v>
      </c>
      <c r="J32" s="253">
        <v>0</v>
      </c>
      <c r="K32" s="253">
        <v>0</v>
      </c>
      <c r="L32" s="253">
        <v>0</v>
      </c>
      <c r="M32" s="253">
        <v>0</v>
      </c>
      <c r="N32" s="253">
        <v>0</v>
      </c>
      <c r="O32" s="254">
        <v>0</v>
      </c>
      <c r="P32" s="253">
        <v>0</v>
      </c>
      <c r="Q32" s="253">
        <v>0</v>
      </c>
      <c r="R32" s="255">
        <v>0</v>
      </c>
      <c r="U32" s="506"/>
      <c r="V32" s="251" t="s">
        <v>32</v>
      </c>
      <c r="W32" s="252">
        <v>0</v>
      </c>
      <c r="X32" s="253">
        <v>0</v>
      </c>
      <c r="Y32" s="253">
        <v>0</v>
      </c>
      <c r="Z32" s="252">
        <v>0</v>
      </c>
      <c r="AA32" s="253">
        <v>0</v>
      </c>
      <c r="AB32" s="253">
        <v>0</v>
      </c>
      <c r="AC32" s="253">
        <v>0</v>
      </c>
      <c r="AD32" s="253">
        <v>0</v>
      </c>
      <c r="AE32" s="253">
        <v>0</v>
      </c>
      <c r="AF32" s="253">
        <v>0</v>
      </c>
      <c r="AG32" s="253">
        <v>0</v>
      </c>
      <c r="AH32" s="253">
        <v>0</v>
      </c>
      <c r="AI32" s="254">
        <v>0</v>
      </c>
      <c r="AJ32" s="253">
        <v>0</v>
      </c>
      <c r="AK32" s="253">
        <v>0</v>
      </c>
      <c r="AL32" s="255">
        <v>0</v>
      </c>
    </row>
    <row r="33" spans="1:38">
      <c r="A33" s="506"/>
      <c r="B33" s="256" t="s">
        <v>388</v>
      </c>
      <c r="C33" s="257">
        <v>0</v>
      </c>
      <c r="D33" s="257">
        <v>0</v>
      </c>
      <c r="E33" s="257">
        <v>109.67255555555556</v>
      </c>
      <c r="F33" s="257">
        <v>0</v>
      </c>
      <c r="G33" s="257">
        <v>0</v>
      </c>
      <c r="H33" s="257">
        <v>0</v>
      </c>
      <c r="I33" s="257">
        <v>0</v>
      </c>
      <c r="J33" s="257">
        <v>0</v>
      </c>
      <c r="K33" s="257">
        <v>0</v>
      </c>
      <c r="L33" s="257">
        <v>0</v>
      </c>
      <c r="M33" s="257">
        <v>0</v>
      </c>
      <c r="N33" s="257">
        <v>0</v>
      </c>
      <c r="O33" s="257">
        <v>0</v>
      </c>
      <c r="P33" s="257">
        <v>0</v>
      </c>
      <c r="Q33" s="257">
        <v>0</v>
      </c>
      <c r="R33" s="257">
        <v>109.67255555555556</v>
      </c>
      <c r="U33" s="506"/>
      <c r="V33" s="256" t="s">
        <v>388</v>
      </c>
      <c r="W33" s="257">
        <v>0</v>
      </c>
      <c r="X33" s="257">
        <v>0</v>
      </c>
      <c r="Y33" s="257">
        <v>109.67255555555556</v>
      </c>
      <c r="Z33" s="257">
        <v>0</v>
      </c>
      <c r="AA33" s="257">
        <v>0</v>
      </c>
      <c r="AB33" s="257">
        <v>0</v>
      </c>
      <c r="AC33" s="257">
        <v>0</v>
      </c>
      <c r="AD33" s="257">
        <v>0</v>
      </c>
      <c r="AE33" s="257">
        <v>0</v>
      </c>
      <c r="AF33" s="257">
        <v>0</v>
      </c>
      <c r="AG33" s="257">
        <v>0</v>
      </c>
      <c r="AH33" s="257">
        <v>0</v>
      </c>
      <c r="AI33" s="257">
        <v>0</v>
      </c>
      <c r="AJ33" s="257">
        <v>0</v>
      </c>
      <c r="AK33" s="257">
        <v>0</v>
      </c>
      <c r="AL33" s="257">
        <v>109.67255555555556</v>
      </c>
    </row>
    <row r="34" spans="1:38">
      <c r="A34" s="506"/>
      <c r="B34" s="258"/>
      <c r="C34" s="259"/>
      <c r="D34" s="227"/>
      <c r="E34" s="260"/>
      <c r="F34" s="259"/>
      <c r="G34" s="259"/>
      <c r="H34" s="259"/>
      <c r="I34" s="259"/>
      <c r="J34" s="259"/>
      <c r="K34" s="259"/>
      <c r="L34" s="259"/>
      <c r="M34" s="259"/>
      <c r="N34" s="259"/>
      <c r="O34" s="259"/>
      <c r="P34" s="259"/>
      <c r="Q34" s="259"/>
      <c r="R34" s="259"/>
      <c r="U34" s="506"/>
      <c r="V34" s="258"/>
      <c r="W34" s="259"/>
      <c r="X34" s="227"/>
      <c r="Y34" s="260"/>
      <c r="Z34" s="259"/>
      <c r="AA34" s="259"/>
      <c r="AB34" s="259"/>
      <c r="AC34" s="259"/>
      <c r="AD34" s="259"/>
      <c r="AE34" s="259"/>
      <c r="AF34" s="259"/>
      <c r="AG34" s="259"/>
      <c r="AH34" s="259"/>
      <c r="AI34" s="268"/>
      <c r="AJ34" s="259"/>
      <c r="AK34" s="259"/>
      <c r="AL34" s="259"/>
    </row>
    <row r="35" spans="1:38">
      <c r="A35" s="506"/>
      <c r="B35" s="261" t="s">
        <v>389</v>
      </c>
      <c r="C35" s="252">
        <v>0</v>
      </c>
      <c r="D35" s="262">
        <v>3.2179259504107556E-2</v>
      </c>
      <c r="E35" s="262">
        <v>0</v>
      </c>
      <c r="F35" s="252">
        <v>0</v>
      </c>
      <c r="G35" s="252">
        <v>0</v>
      </c>
      <c r="H35" s="252">
        <v>0</v>
      </c>
      <c r="I35" s="252">
        <v>0</v>
      </c>
      <c r="J35" s="252">
        <v>0</v>
      </c>
      <c r="K35" s="252">
        <v>0</v>
      </c>
      <c r="L35" s="252">
        <v>0</v>
      </c>
      <c r="M35" s="252">
        <v>0</v>
      </c>
      <c r="N35" s="252">
        <v>0</v>
      </c>
      <c r="O35" s="252">
        <v>0</v>
      </c>
      <c r="P35" s="252">
        <v>0</v>
      </c>
      <c r="Q35" s="252">
        <v>0</v>
      </c>
      <c r="R35" s="263">
        <v>3.2179259504107556E-2</v>
      </c>
      <c r="U35" s="506"/>
      <c r="V35" s="261" t="s">
        <v>389</v>
      </c>
      <c r="W35" s="252">
        <v>0</v>
      </c>
      <c r="X35" s="262">
        <v>3.2179259504107556E-2</v>
      </c>
      <c r="Y35" s="262">
        <v>0</v>
      </c>
      <c r="Z35" s="252">
        <v>0</v>
      </c>
      <c r="AA35" s="252">
        <v>0</v>
      </c>
      <c r="AB35" s="252">
        <v>0</v>
      </c>
      <c r="AC35" s="252">
        <v>0</v>
      </c>
      <c r="AD35" s="252">
        <v>0</v>
      </c>
      <c r="AE35" s="252">
        <v>0</v>
      </c>
      <c r="AF35" s="252">
        <v>0</v>
      </c>
      <c r="AG35" s="252">
        <v>0</v>
      </c>
      <c r="AH35" s="252">
        <v>0</v>
      </c>
      <c r="AI35" s="252">
        <v>0</v>
      </c>
      <c r="AJ35" s="252">
        <v>0</v>
      </c>
      <c r="AK35" s="252">
        <v>0</v>
      </c>
      <c r="AL35" s="263">
        <v>3.2179259504107556E-2</v>
      </c>
    </row>
    <row r="36" spans="1:38">
      <c r="A36" s="506"/>
      <c r="B36" s="261" t="s">
        <v>390</v>
      </c>
      <c r="C36" s="252">
        <v>0</v>
      </c>
      <c r="D36" s="252">
        <v>0</v>
      </c>
      <c r="E36" s="252">
        <v>53.214500000000001</v>
      </c>
      <c r="F36" s="252">
        <v>0</v>
      </c>
      <c r="G36" s="252">
        <v>0</v>
      </c>
      <c r="H36" s="252">
        <v>2.1595894901144632</v>
      </c>
      <c r="I36" s="264">
        <v>0</v>
      </c>
      <c r="J36" s="264">
        <v>0</v>
      </c>
      <c r="K36" s="264">
        <v>0</v>
      </c>
      <c r="L36" s="264">
        <v>0</v>
      </c>
      <c r="M36" s="264">
        <v>0</v>
      </c>
      <c r="N36" s="264">
        <v>0</v>
      </c>
      <c r="O36" s="252">
        <v>-20.745000000000001</v>
      </c>
      <c r="P36" s="252">
        <v>0</v>
      </c>
      <c r="Q36" s="252">
        <v>0</v>
      </c>
      <c r="R36" s="263">
        <v>34.629089490114467</v>
      </c>
      <c r="U36" s="506"/>
      <c r="V36" s="261" t="s">
        <v>390</v>
      </c>
      <c r="W36" s="252">
        <v>0</v>
      </c>
      <c r="X36" s="252">
        <v>0</v>
      </c>
      <c r="Y36" s="252">
        <v>53.214500000000001</v>
      </c>
      <c r="Z36" s="252">
        <v>0</v>
      </c>
      <c r="AA36" s="252">
        <v>0</v>
      </c>
      <c r="AB36" s="252">
        <v>2.1595894901144632</v>
      </c>
      <c r="AC36" s="264">
        <v>0</v>
      </c>
      <c r="AD36" s="264">
        <v>0</v>
      </c>
      <c r="AE36" s="264">
        <v>0</v>
      </c>
      <c r="AF36" s="264">
        <v>0</v>
      </c>
      <c r="AG36" s="264">
        <v>0</v>
      </c>
      <c r="AH36" s="264">
        <v>0</v>
      </c>
      <c r="AI36" s="252">
        <v>-20.745000000000001</v>
      </c>
      <c r="AJ36" s="252">
        <v>0</v>
      </c>
      <c r="AK36" s="252">
        <v>0</v>
      </c>
      <c r="AL36" s="263">
        <v>34.629089490114467</v>
      </c>
    </row>
    <row r="37" spans="1:38">
      <c r="A37" s="506"/>
      <c r="B37" s="261" t="s">
        <v>391</v>
      </c>
      <c r="C37" s="252">
        <v>0</v>
      </c>
      <c r="D37" s="252">
        <v>0</v>
      </c>
      <c r="E37" s="252">
        <v>0</v>
      </c>
      <c r="F37" s="252">
        <v>0</v>
      </c>
      <c r="G37" s="252">
        <v>0</v>
      </c>
      <c r="H37" s="252">
        <v>0</v>
      </c>
      <c r="I37" s="264">
        <v>0</v>
      </c>
      <c r="J37" s="264">
        <v>0</v>
      </c>
      <c r="K37" s="264">
        <v>0</v>
      </c>
      <c r="L37" s="264">
        <v>0</v>
      </c>
      <c r="M37" s="264">
        <v>0</v>
      </c>
      <c r="N37" s="264">
        <v>0</v>
      </c>
      <c r="O37" s="252">
        <v>0</v>
      </c>
      <c r="P37" s="252">
        <v>0</v>
      </c>
      <c r="Q37" s="252">
        <v>0</v>
      </c>
      <c r="R37" s="263">
        <v>0</v>
      </c>
      <c r="U37" s="506"/>
      <c r="V37" s="261" t="s">
        <v>391</v>
      </c>
      <c r="W37" s="252">
        <v>0</v>
      </c>
      <c r="X37" s="252">
        <v>0</v>
      </c>
      <c r="Y37" s="252">
        <v>0</v>
      </c>
      <c r="Z37" s="252">
        <v>0</v>
      </c>
      <c r="AA37" s="252">
        <v>0</v>
      </c>
      <c r="AB37" s="252">
        <v>0</v>
      </c>
      <c r="AC37" s="264">
        <v>0</v>
      </c>
      <c r="AD37" s="264">
        <v>0</v>
      </c>
      <c r="AE37" s="264">
        <v>0</v>
      </c>
      <c r="AF37" s="264">
        <v>0</v>
      </c>
      <c r="AG37" s="264">
        <v>0</v>
      </c>
      <c r="AH37" s="264">
        <v>0</v>
      </c>
      <c r="AI37" s="252">
        <v>0</v>
      </c>
      <c r="AJ37" s="252">
        <v>0</v>
      </c>
      <c r="AK37" s="252">
        <v>0</v>
      </c>
      <c r="AL37" s="263">
        <v>0</v>
      </c>
    </row>
    <row r="38" spans="1:38">
      <c r="A38" s="506"/>
      <c r="B38" s="261" t="s">
        <v>392</v>
      </c>
      <c r="C38" s="252">
        <v>0</v>
      </c>
      <c r="D38" s="252">
        <v>0</v>
      </c>
      <c r="E38" s="252">
        <v>0</v>
      </c>
      <c r="F38" s="252">
        <v>0</v>
      </c>
      <c r="G38" s="252">
        <v>0</v>
      </c>
      <c r="H38" s="252">
        <v>0</v>
      </c>
      <c r="I38" s="265">
        <v>0</v>
      </c>
      <c r="J38" s="265">
        <v>0</v>
      </c>
      <c r="K38" s="265">
        <v>0</v>
      </c>
      <c r="L38" s="265">
        <v>0</v>
      </c>
      <c r="M38" s="265">
        <v>0</v>
      </c>
      <c r="N38" s="265">
        <v>0</v>
      </c>
      <c r="O38" s="252">
        <v>0</v>
      </c>
      <c r="P38" s="252">
        <v>0</v>
      </c>
      <c r="Q38" s="252">
        <v>0</v>
      </c>
      <c r="R38" s="263">
        <v>0</v>
      </c>
      <c r="U38" s="506"/>
      <c r="V38" s="261" t="s">
        <v>392</v>
      </c>
      <c r="W38" s="252">
        <v>0</v>
      </c>
      <c r="X38" s="252">
        <v>0</v>
      </c>
      <c r="Y38" s="252">
        <v>0</v>
      </c>
      <c r="Z38" s="252">
        <v>0</v>
      </c>
      <c r="AA38" s="252">
        <v>0</v>
      </c>
      <c r="AB38" s="252">
        <v>0</v>
      </c>
      <c r="AC38" s="265">
        <v>0</v>
      </c>
      <c r="AD38" s="265">
        <v>0</v>
      </c>
      <c r="AE38" s="265">
        <v>0</v>
      </c>
      <c r="AF38" s="265">
        <v>0</v>
      </c>
      <c r="AG38" s="265">
        <v>0</v>
      </c>
      <c r="AH38" s="265">
        <v>0</v>
      </c>
      <c r="AI38" s="252">
        <v>0</v>
      </c>
      <c r="AJ38" s="252">
        <v>0</v>
      </c>
      <c r="AK38" s="252">
        <v>0</v>
      </c>
      <c r="AL38" s="263">
        <v>0</v>
      </c>
    </row>
    <row r="39" spans="1:38">
      <c r="A39" s="506"/>
      <c r="B39" s="261" t="s">
        <v>393</v>
      </c>
      <c r="C39" s="252">
        <v>0</v>
      </c>
      <c r="D39" s="252">
        <v>0</v>
      </c>
      <c r="E39" s="252">
        <v>0</v>
      </c>
      <c r="F39" s="252">
        <v>0</v>
      </c>
      <c r="G39" s="252">
        <v>0</v>
      </c>
      <c r="H39" s="252">
        <v>0</v>
      </c>
      <c r="I39" s="252">
        <v>0</v>
      </c>
      <c r="J39" s="252">
        <v>0</v>
      </c>
      <c r="K39" s="252">
        <v>0</v>
      </c>
      <c r="L39" s="252">
        <v>0</v>
      </c>
      <c r="M39" s="252">
        <v>0</v>
      </c>
      <c r="N39" s="252">
        <v>0</v>
      </c>
      <c r="O39" s="252">
        <v>0</v>
      </c>
      <c r="P39" s="252">
        <v>0</v>
      </c>
      <c r="Q39" s="252">
        <v>0</v>
      </c>
      <c r="R39" s="263">
        <v>0</v>
      </c>
      <c r="U39" s="506"/>
      <c r="V39" s="261" t="s">
        <v>393</v>
      </c>
      <c r="W39" s="252">
        <v>0</v>
      </c>
      <c r="X39" s="252">
        <v>0</v>
      </c>
      <c r="Y39" s="252">
        <v>0</v>
      </c>
      <c r="Z39" s="252">
        <v>0</v>
      </c>
      <c r="AA39" s="252">
        <v>0</v>
      </c>
      <c r="AB39" s="252">
        <v>0</v>
      </c>
      <c r="AC39" s="252">
        <v>0</v>
      </c>
      <c r="AD39" s="252">
        <v>0</v>
      </c>
      <c r="AE39" s="252">
        <v>0</v>
      </c>
      <c r="AF39" s="252">
        <v>0</v>
      </c>
      <c r="AG39" s="252">
        <v>0</v>
      </c>
      <c r="AH39" s="252">
        <v>0</v>
      </c>
      <c r="AI39" s="252">
        <v>0</v>
      </c>
      <c r="AJ39" s="252">
        <v>0</v>
      </c>
      <c r="AK39" s="252">
        <v>0</v>
      </c>
      <c r="AL39" s="263">
        <v>0</v>
      </c>
    </row>
    <row r="40" spans="1:38">
      <c r="A40" s="506"/>
      <c r="B40" s="261" t="s">
        <v>36</v>
      </c>
      <c r="C40" s="252">
        <v>0</v>
      </c>
      <c r="D40" s="252">
        <v>0</v>
      </c>
      <c r="E40" s="252">
        <v>0</v>
      </c>
      <c r="F40" s="252">
        <v>0</v>
      </c>
      <c r="G40" s="252">
        <v>0</v>
      </c>
      <c r="H40" s="252">
        <v>0</v>
      </c>
      <c r="I40" s="252">
        <v>0</v>
      </c>
      <c r="J40" s="252">
        <v>0</v>
      </c>
      <c r="K40" s="252">
        <v>0</v>
      </c>
      <c r="L40" s="252">
        <v>0</v>
      </c>
      <c r="M40" s="252">
        <v>0</v>
      </c>
      <c r="N40" s="252">
        <v>0</v>
      </c>
      <c r="O40" s="252">
        <v>0</v>
      </c>
      <c r="P40" s="252">
        <v>0</v>
      </c>
      <c r="Q40" s="252">
        <v>0</v>
      </c>
      <c r="R40" s="263">
        <v>0</v>
      </c>
      <c r="U40" s="506"/>
      <c r="V40" s="261" t="s">
        <v>36</v>
      </c>
      <c r="W40" s="252">
        <v>0</v>
      </c>
      <c r="X40" s="252">
        <v>0</v>
      </c>
      <c r="Y40" s="252">
        <v>0</v>
      </c>
      <c r="Z40" s="252">
        <v>0</v>
      </c>
      <c r="AA40" s="252">
        <v>0</v>
      </c>
      <c r="AB40" s="252">
        <v>0</v>
      </c>
      <c r="AC40" s="252">
        <v>0</v>
      </c>
      <c r="AD40" s="252">
        <v>0</v>
      </c>
      <c r="AE40" s="252">
        <v>0</v>
      </c>
      <c r="AF40" s="252">
        <v>0</v>
      </c>
      <c r="AG40" s="252">
        <v>0</v>
      </c>
      <c r="AH40" s="252">
        <v>0</v>
      </c>
      <c r="AI40" s="252">
        <v>0</v>
      </c>
      <c r="AJ40" s="252">
        <v>0</v>
      </c>
      <c r="AK40" s="252">
        <v>0</v>
      </c>
      <c r="AL40" s="263">
        <v>0</v>
      </c>
    </row>
    <row r="41" spans="1:38">
      <c r="A41" s="506"/>
      <c r="B41" s="261" t="s">
        <v>394</v>
      </c>
      <c r="C41" s="252">
        <v>0</v>
      </c>
      <c r="D41" s="252">
        <v>0</v>
      </c>
      <c r="E41" s="252">
        <v>0</v>
      </c>
      <c r="F41" s="252">
        <v>0</v>
      </c>
      <c r="G41" s="252">
        <v>0</v>
      </c>
      <c r="H41" s="252">
        <v>0</v>
      </c>
      <c r="I41" s="252">
        <v>0</v>
      </c>
      <c r="J41" s="252">
        <v>0</v>
      </c>
      <c r="K41" s="252">
        <v>0</v>
      </c>
      <c r="L41" s="252">
        <v>0</v>
      </c>
      <c r="M41" s="252">
        <v>0</v>
      </c>
      <c r="N41" s="252">
        <v>0</v>
      </c>
      <c r="O41" s="252">
        <v>0</v>
      </c>
      <c r="P41" s="252">
        <v>0</v>
      </c>
      <c r="Q41" s="252">
        <v>0</v>
      </c>
      <c r="R41" s="263">
        <v>0</v>
      </c>
      <c r="U41" s="506"/>
      <c r="V41" s="261" t="s">
        <v>394</v>
      </c>
      <c r="W41" s="252">
        <v>0</v>
      </c>
      <c r="X41" s="252">
        <v>0</v>
      </c>
      <c r="Y41" s="252">
        <v>0</v>
      </c>
      <c r="Z41" s="252">
        <v>0</v>
      </c>
      <c r="AA41" s="252">
        <v>0</v>
      </c>
      <c r="AB41" s="252">
        <v>0</v>
      </c>
      <c r="AC41" s="252">
        <v>0</v>
      </c>
      <c r="AD41" s="252">
        <v>0</v>
      </c>
      <c r="AE41" s="252">
        <v>0</v>
      </c>
      <c r="AF41" s="252">
        <v>0</v>
      </c>
      <c r="AG41" s="252">
        <v>0</v>
      </c>
      <c r="AH41" s="252">
        <v>0</v>
      </c>
      <c r="AI41" s="252">
        <v>0</v>
      </c>
      <c r="AJ41" s="252">
        <v>0</v>
      </c>
      <c r="AK41" s="252">
        <v>0</v>
      </c>
      <c r="AL41" s="263">
        <v>0</v>
      </c>
    </row>
    <row r="42" spans="1:38">
      <c r="A42" s="506"/>
      <c r="B42" s="261" t="s">
        <v>395</v>
      </c>
      <c r="C42" s="252">
        <v>0</v>
      </c>
      <c r="D42" s="252">
        <v>0</v>
      </c>
      <c r="E42" s="252">
        <v>0</v>
      </c>
      <c r="F42" s="252">
        <v>0</v>
      </c>
      <c r="G42" s="252">
        <v>0</v>
      </c>
      <c r="H42" s="252">
        <v>0</v>
      </c>
      <c r="I42" s="252">
        <v>0</v>
      </c>
      <c r="J42" s="252">
        <v>0</v>
      </c>
      <c r="K42" s="252">
        <v>0</v>
      </c>
      <c r="L42" s="252">
        <v>0</v>
      </c>
      <c r="M42" s="252">
        <v>0</v>
      </c>
      <c r="N42" s="252">
        <v>0</v>
      </c>
      <c r="O42" s="252">
        <v>0</v>
      </c>
      <c r="P42" s="252">
        <v>0</v>
      </c>
      <c r="Q42" s="252">
        <v>0</v>
      </c>
      <c r="R42" s="263">
        <v>0</v>
      </c>
      <c r="U42" s="506"/>
      <c r="V42" s="261" t="s">
        <v>395</v>
      </c>
      <c r="W42" s="252">
        <v>0</v>
      </c>
      <c r="X42" s="252">
        <v>0</v>
      </c>
      <c r="Y42" s="252">
        <v>0</v>
      </c>
      <c r="Z42" s="252">
        <v>0</v>
      </c>
      <c r="AA42" s="252">
        <v>0</v>
      </c>
      <c r="AB42" s="252">
        <v>0</v>
      </c>
      <c r="AC42" s="252">
        <v>0</v>
      </c>
      <c r="AD42" s="252">
        <v>0</v>
      </c>
      <c r="AE42" s="252">
        <v>0</v>
      </c>
      <c r="AF42" s="252">
        <v>0</v>
      </c>
      <c r="AG42" s="252">
        <v>0</v>
      </c>
      <c r="AH42" s="252">
        <v>0</v>
      </c>
      <c r="AI42" s="252">
        <v>0</v>
      </c>
      <c r="AJ42" s="252">
        <v>0</v>
      </c>
      <c r="AK42" s="252">
        <v>0</v>
      </c>
      <c r="AL42" s="263">
        <v>0</v>
      </c>
    </row>
    <row r="43" spans="1:38">
      <c r="A43" s="506"/>
      <c r="B43" s="261" t="s">
        <v>396</v>
      </c>
      <c r="C43" s="252">
        <v>0</v>
      </c>
      <c r="D43" s="252">
        <v>0</v>
      </c>
      <c r="E43" s="252">
        <v>0</v>
      </c>
      <c r="F43" s="252">
        <v>0</v>
      </c>
      <c r="G43" s="252">
        <v>0</v>
      </c>
      <c r="H43" s="252">
        <v>0</v>
      </c>
      <c r="I43" s="252">
        <v>0</v>
      </c>
      <c r="J43" s="252">
        <v>0</v>
      </c>
      <c r="K43" s="252">
        <v>0</v>
      </c>
      <c r="L43" s="252">
        <v>0</v>
      </c>
      <c r="M43" s="252">
        <v>0</v>
      </c>
      <c r="N43" s="252">
        <v>0</v>
      </c>
      <c r="O43" s="252">
        <v>0</v>
      </c>
      <c r="P43" s="252">
        <v>0</v>
      </c>
      <c r="Q43" s="252">
        <v>0</v>
      </c>
      <c r="R43" s="263">
        <v>0</v>
      </c>
      <c r="U43" s="506"/>
      <c r="V43" s="261" t="s">
        <v>396</v>
      </c>
      <c r="W43" s="252">
        <v>0</v>
      </c>
      <c r="X43" s="252">
        <v>0</v>
      </c>
      <c r="Y43" s="252">
        <v>0</v>
      </c>
      <c r="Z43" s="252">
        <v>0</v>
      </c>
      <c r="AA43" s="252">
        <v>0</v>
      </c>
      <c r="AB43" s="252">
        <v>0</v>
      </c>
      <c r="AC43" s="252">
        <v>0</v>
      </c>
      <c r="AD43" s="252">
        <v>0</v>
      </c>
      <c r="AE43" s="252">
        <v>0</v>
      </c>
      <c r="AF43" s="252">
        <v>0</v>
      </c>
      <c r="AG43" s="252">
        <v>0</v>
      </c>
      <c r="AH43" s="252">
        <v>0</v>
      </c>
      <c r="AI43" s="252">
        <v>0</v>
      </c>
      <c r="AJ43" s="252">
        <v>0</v>
      </c>
      <c r="AK43" s="252">
        <v>0</v>
      </c>
      <c r="AL43" s="263">
        <v>0</v>
      </c>
    </row>
    <row r="44" spans="1:38">
      <c r="A44" s="506"/>
      <c r="B44" s="261" t="s">
        <v>37</v>
      </c>
      <c r="C44" s="252">
        <v>0</v>
      </c>
      <c r="D44" s="252">
        <v>0</v>
      </c>
      <c r="E44" s="252">
        <v>0</v>
      </c>
      <c r="F44" s="252">
        <v>0</v>
      </c>
      <c r="G44" s="252">
        <v>0</v>
      </c>
      <c r="H44" s="252">
        <v>0</v>
      </c>
      <c r="I44" s="252">
        <v>0</v>
      </c>
      <c r="J44" s="252">
        <v>0</v>
      </c>
      <c r="K44" s="252">
        <v>0</v>
      </c>
      <c r="L44" s="252">
        <v>0</v>
      </c>
      <c r="M44" s="252">
        <v>0</v>
      </c>
      <c r="N44" s="252">
        <v>0</v>
      </c>
      <c r="O44" s="252">
        <v>0</v>
      </c>
      <c r="P44" s="252">
        <v>0</v>
      </c>
      <c r="Q44" s="252">
        <v>0</v>
      </c>
      <c r="R44" s="263">
        <v>0</v>
      </c>
      <c r="U44" s="506"/>
      <c r="V44" s="261" t="s">
        <v>37</v>
      </c>
      <c r="W44" s="252">
        <v>0</v>
      </c>
      <c r="X44" s="252">
        <v>0</v>
      </c>
      <c r="Y44" s="252">
        <v>0</v>
      </c>
      <c r="Z44" s="252">
        <v>0</v>
      </c>
      <c r="AA44" s="252">
        <v>0</v>
      </c>
      <c r="AB44" s="252">
        <v>0</v>
      </c>
      <c r="AC44" s="252">
        <v>0</v>
      </c>
      <c r="AD44" s="252">
        <v>0</v>
      </c>
      <c r="AE44" s="252">
        <v>0</v>
      </c>
      <c r="AF44" s="252">
        <v>0</v>
      </c>
      <c r="AG44" s="252">
        <v>0</v>
      </c>
      <c r="AH44" s="252">
        <v>0</v>
      </c>
      <c r="AI44" s="252">
        <v>0</v>
      </c>
      <c r="AJ44" s="252">
        <v>0</v>
      </c>
      <c r="AK44" s="252">
        <v>0</v>
      </c>
      <c r="AL44" s="263">
        <v>0</v>
      </c>
    </row>
    <row r="45" spans="1:38">
      <c r="A45" s="506"/>
      <c r="B45" s="261" t="s">
        <v>38</v>
      </c>
      <c r="C45" s="252">
        <v>0</v>
      </c>
      <c r="D45" s="252">
        <v>0</v>
      </c>
      <c r="E45" s="252">
        <v>0</v>
      </c>
      <c r="F45" s="252">
        <v>0</v>
      </c>
      <c r="G45" s="252">
        <v>0</v>
      </c>
      <c r="H45" s="252">
        <v>0</v>
      </c>
      <c r="I45" s="252">
        <v>0</v>
      </c>
      <c r="J45" s="252">
        <v>0</v>
      </c>
      <c r="K45" s="252">
        <v>0</v>
      </c>
      <c r="L45" s="252">
        <v>0</v>
      </c>
      <c r="M45" s="252">
        <v>0</v>
      </c>
      <c r="N45" s="252">
        <v>0</v>
      </c>
      <c r="O45" s="252">
        <v>0</v>
      </c>
      <c r="P45" s="252">
        <v>0</v>
      </c>
      <c r="Q45" s="252">
        <v>0</v>
      </c>
      <c r="R45" s="263">
        <v>0</v>
      </c>
      <c r="U45" s="506"/>
      <c r="V45" s="261" t="s">
        <v>38</v>
      </c>
      <c r="W45" s="252">
        <v>0</v>
      </c>
      <c r="X45" s="252">
        <v>0</v>
      </c>
      <c r="Y45" s="252">
        <v>0</v>
      </c>
      <c r="Z45" s="252">
        <v>0</v>
      </c>
      <c r="AA45" s="252">
        <v>0</v>
      </c>
      <c r="AB45" s="252">
        <v>0</v>
      </c>
      <c r="AC45" s="252">
        <v>0</v>
      </c>
      <c r="AD45" s="252">
        <v>0</v>
      </c>
      <c r="AE45" s="252">
        <v>0</v>
      </c>
      <c r="AF45" s="252">
        <v>0</v>
      </c>
      <c r="AG45" s="252">
        <v>0</v>
      </c>
      <c r="AH45" s="252">
        <v>0</v>
      </c>
      <c r="AI45" s="252">
        <v>0</v>
      </c>
      <c r="AJ45" s="252">
        <v>0</v>
      </c>
      <c r="AK45" s="252">
        <v>0</v>
      </c>
      <c r="AL45" s="263">
        <v>0</v>
      </c>
    </row>
    <row r="46" spans="1:38">
      <c r="A46" s="506"/>
      <c r="B46" s="261" t="s">
        <v>39</v>
      </c>
      <c r="C46" s="252">
        <v>0</v>
      </c>
      <c r="D46" s="252">
        <v>0</v>
      </c>
      <c r="E46" s="252">
        <v>0</v>
      </c>
      <c r="F46" s="252">
        <v>0</v>
      </c>
      <c r="G46" s="252">
        <v>0</v>
      </c>
      <c r="H46" s="252">
        <v>0</v>
      </c>
      <c r="I46" s="252">
        <v>0</v>
      </c>
      <c r="J46" s="252">
        <v>0</v>
      </c>
      <c r="K46" s="252">
        <v>0</v>
      </c>
      <c r="L46" s="252">
        <v>0</v>
      </c>
      <c r="M46" s="252">
        <v>0</v>
      </c>
      <c r="N46" s="252">
        <v>0</v>
      </c>
      <c r="O46" s="252">
        <v>0.56200000000000117</v>
      </c>
      <c r="P46" s="252">
        <v>0</v>
      </c>
      <c r="Q46" s="252">
        <v>0</v>
      </c>
      <c r="R46" s="263">
        <v>0.56200000000000117</v>
      </c>
      <c r="U46" s="506"/>
      <c r="V46" s="261" t="s">
        <v>39</v>
      </c>
      <c r="W46" s="252">
        <v>0</v>
      </c>
      <c r="X46" s="252">
        <v>0</v>
      </c>
      <c r="Y46" s="252">
        <v>0</v>
      </c>
      <c r="Z46" s="252">
        <v>0</v>
      </c>
      <c r="AA46" s="252">
        <v>0</v>
      </c>
      <c r="AB46" s="252">
        <v>0</v>
      </c>
      <c r="AC46" s="252">
        <v>0</v>
      </c>
      <c r="AD46" s="252">
        <v>0</v>
      </c>
      <c r="AE46" s="252">
        <v>0</v>
      </c>
      <c r="AF46" s="252">
        <v>0</v>
      </c>
      <c r="AG46" s="252">
        <v>0</v>
      </c>
      <c r="AH46" s="252">
        <v>0</v>
      </c>
      <c r="AI46" s="252">
        <v>0.56200000000000117</v>
      </c>
      <c r="AJ46" s="252">
        <v>0</v>
      </c>
      <c r="AK46" s="252">
        <v>0</v>
      </c>
      <c r="AL46" s="263">
        <v>0.56200000000000117</v>
      </c>
    </row>
    <row r="47" spans="1:38">
      <c r="A47" s="506"/>
      <c r="B47" s="256" t="s">
        <v>40</v>
      </c>
      <c r="C47" s="257">
        <v>0</v>
      </c>
      <c r="D47" s="257">
        <v>3.2179259504107556E-2</v>
      </c>
      <c r="E47" s="257">
        <v>53.214500000000001</v>
      </c>
      <c r="F47" s="257">
        <v>0</v>
      </c>
      <c r="G47" s="257">
        <v>0</v>
      </c>
      <c r="H47" s="257">
        <v>2.1595894901144632</v>
      </c>
      <c r="I47" s="257">
        <v>0</v>
      </c>
      <c r="J47" s="257">
        <v>0</v>
      </c>
      <c r="K47" s="257">
        <v>0</v>
      </c>
      <c r="L47" s="257">
        <v>0</v>
      </c>
      <c r="M47" s="257">
        <v>0</v>
      </c>
      <c r="N47" s="257">
        <v>0</v>
      </c>
      <c r="O47" s="257">
        <v>-20.183</v>
      </c>
      <c r="P47" s="257">
        <v>0</v>
      </c>
      <c r="Q47" s="257">
        <v>0</v>
      </c>
      <c r="R47" s="257">
        <v>35.223268749618569</v>
      </c>
      <c r="U47" s="506"/>
      <c r="V47" s="256" t="s">
        <v>40</v>
      </c>
      <c r="W47" s="257">
        <v>0</v>
      </c>
      <c r="X47" s="257">
        <v>3.2179259504107556E-2</v>
      </c>
      <c r="Y47" s="257">
        <v>53.214500000000001</v>
      </c>
      <c r="Z47" s="257">
        <v>0</v>
      </c>
      <c r="AA47" s="257">
        <v>0</v>
      </c>
      <c r="AB47" s="257">
        <v>2.1595894901144632</v>
      </c>
      <c r="AC47" s="257">
        <v>0</v>
      </c>
      <c r="AD47" s="257">
        <v>0</v>
      </c>
      <c r="AE47" s="257">
        <v>0</v>
      </c>
      <c r="AF47" s="257">
        <v>0</v>
      </c>
      <c r="AG47" s="257">
        <v>0</v>
      </c>
      <c r="AH47" s="257">
        <v>0</v>
      </c>
      <c r="AI47" s="257">
        <v>-20.183</v>
      </c>
      <c r="AJ47" s="257">
        <v>0</v>
      </c>
      <c r="AK47" s="257">
        <v>0</v>
      </c>
      <c r="AL47" s="257">
        <v>35.223268749618569</v>
      </c>
    </row>
    <row r="48" spans="1:38">
      <c r="A48" s="506"/>
      <c r="B48" s="258"/>
      <c r="C48" s="259"/>
      <c r="D48" s="259"/>
      <c r="E48" s="266"/>
      <c r="F48" s="259"/>
      <c r="G48" s="259"/>
      <c r="H48" s="259"/>
      <c r="I48" s="266"/>
      <c r="J48" s="259"/>
      <c r="K48" s="259"/>
      <c r="L48" s="259"/>
      <c r="M48" s="267"/>
      <c r="N48" s="259"/>
      <c r="O48" s="259"/>
      <c r="P48" s="259"/>
      <c r="Q48" s="259"/>
      <c r="R48" s="259"/>
      <c r="U48" s="506"/>
      <c r="V48" s="258"/>
      <c r="W48" s="259"/>
      <c r="X48" s="259"/>
      <c r="Y48" s="266"/>
      <c r="Z48" s="259"/>
      <c r="AA48" s="259"/>
      <c r="AB48" s="259"/>
      <c r="AC48" s="266"/>
      <c r="AD48" s="259"/>
      <c r="AE48" s="259"/>
      <c r="AF48" s="259"/>
      <c r="AG48" s="267"/>
      <c r="AH48" s="259"/>
      <c r="AI48" s="259"/>
      <c r="AJ48" s="259"/>
      <c r="AK48" s="259"/>
      <c r="AL48" s="259"/>
    </row>
    <row r="49" spans="1:38">
      <c r="A49" s="506"/>
      <c r="B49" s="261" t="s">
        <v>41</v>
      </c>
      <c r="C49" s="252">
        <v>0</v>
      </c>
      <c r="D49" s="252">
        <v>0</v>
      </c>
      <c r="E49" s="252">
        <v>0</v>
      </c>
      <c r="F49" s="252">
        <v>0</v>
      </c>
      <c r="G49" s="252">
        <v>0</v>
      </c>
      <c r="H49" s="252">
        <v>0</v>
      </c>
      <c r="I49" s="252">
        <v>0</v>
      </c>
      <c r="J49" s="252">
        <v>0</v>
      </c>
      <c r="K49" s="252">
        <v>0</v>
      </c>
      <c r="L49" s="252">
        <v>0</v>
      </c>
      <c r="M49" s="252">
        <v>0</v>
      </c>
      <c r="N49" s="252">
        <v>0</v>
      </c>
      <c r="O49" s="252">
        <v>1.2941754169729727</v>
      </c>
      <c r="P49" s="252">
        <v>0</v>
      </c>
      <c r="Q49" s="252">
        <v>0</v>
      </c>
      <c r="R49" s="263">
        <v>1.2941754169729727</v>
      </c>
      <c r="U49" s="506"/>
      <c r="V49" s="261" t="s">
        <v>41</v>
      </c>
      <c r="W49" s="252">
        <v>0</v>
      </c>
      <c r="X49" s="252">
        <v>0</v>
      </c>
      <c r="Y49" s="252">
        <v>0</v>
      </c>
      <c r="Z49" s="252">
        <v>0</v>
      </c>
      <c r="AA49" s="252">
        <v>0</v>
      </c>
      <c r="AB49" s="252">
        <v>0</v>
      </c>
      <c r="AC49" s="252">
        <v>0</v>
      </c>
      <c r="AD49" s="252">
        <v>0</v>
      </c>
      <c r="AE49" s="252">
        <v>0</v>
      </c>
      <c r="AF49" s="252">
        <v>0</v>
      </c>
      <c r="AG49" s="252">
        <v>0</v>
      </c>
      <c r="AH49" s="252">
        <v>0</v>
      </c>
      <c r="AI49" s="252">
        <v>1.2941754169729727</v>
      </c>
      <c r="AJ49" s="252">
        <v>0</v>
      </c>
      <c r="AK49" s="252">
        <v>0</v>
      </c>
      <c r="AL49" s="263">
        <v>1.2941754169729727</v>
      </c>
    </row>
    <row r="50" spans="1:38">
      <c r="A50" s="506"/>
      <c r="B50" s="261" t="s">
        <v>42</v>
      </c>
      <c r="C50" s="252">
        <v>0</v>
      </c>
      <c r="D50" s="252">
        <v>0</v>
      </c>
      <c r="E50" s="252">
        <v>53.186944444444443</v>
      </c>
      <c r="F50" s="252">
        <v>0</v>
      </c>
      <c r="G50" s="252">
        <v>0</v>
      </c>
      <c r="H50" s="252">
        <v>0</v>
      </c>
      <c r="I50" s="252">
        <v>0</v>
      </c>
      <c r="J50" s="252">
        <v>0</v>
      </c>
      <c r="K50" s="252">
        <v>0</v>
      </c>
      <c r="L50" s="252">
        <v>0</v>
      </c>
      <c r="M50" s="252">
        <v>0</v>
      </c>
      <c r="N50" s="252">
        <v>0</v>
      </c>
      <c r="O50" s="252">
        <v>0</v>
      </c>
      <c r="P50" s="252">
        <v>0</v>
      </c>
      <c r="Q50" s="252">
        <v>0</v>
      </c>
      <c r="R50" s="263">
        <v>53.186944444444443</v>
      </c>
      <c r="U50" s="506"/>
      <c r="V50" s="261" t="s">
        <v>42</v>
      </c>
      <c r="W50" s="252">
        <v>0</v>
      </c>
      <c r="X50" s="252">
        <v>0</v>
      </c>
      <c r="Y50" s="252">
        <v>53.186944444444443</v>
      </c>
      <c r="Z50" s="252">
        <v>0</v>
      </c>
      <c r="AA50" s="252">
        <v>0</v>
      </c>
      <c r="AB50" s="252">
        <v>0</v>
      </c>
      <c r="AC50" s="252">
        <v>0</v>
      </c>
      <c r="AD50" s="252">
        <v>0</v>
      </c>
      <c r="AE50" s="252">
        <v>0</v>
      </c>
      <c r="AF50" s="252">
        <v>0</v>
      </c>
      <c r="AG50" s="252">
        <v>0</v>
      </c>
      <c r="AH50" s="252">
        <v>0</v>
      </c>
      <c r="AI50" s="252">
        <v>0</v>
      </c>
      <c r="AJ50" s="252">
        <v>0</v>
      </c>
      <c r="AK50" s="252">
        <v>0</v>
      </c>
      <c r="AL50" s="263">
        <v>53.186944444444443</v>
      </c>
    </row>
    <row r="51" spans="1:38">
      <c r="A51" s="506"/>
      <c r="B51" s="261" t="s">
        <v>43</v>
      </c>
      <c r="C51" s="252">
        <v>0</v>
      </c>
      <c r="D51" s="252">
        <v>0</v>
      </c>
      <c r="E51" s="252">
        <v>1.9550000000000001</v>
      </c>
      <c r="F51" s="252">
        <v>0</v>
      </c>
      <c r="G51" s="252">
        <v>0</v>
      </c>
      <c r="H51" s="252">
        <v>0</v>
      </c>
      <c r="I51" s="252">
        <v>0</v>
      </c>
      <c r="J51" s="252">
        <v>0</v>
      </c>
      <c r="K51" s="252">
        <v>0</v>
      </c>
      <c r="L51" s="252">
        <v>0</v>
      </c>
      <c r="M51" s="252">
        <v>0</v>
      </c>
      <c r="N51" s="252">
        <v>0</v>
      </c>
      <c r="O51" s="252">
        <v>8.1025089889189186</v>
      </c>
      <c r="P51" s="252">
        <v>0</v>
      </c>
      <c r="Q51" s="252">
        <v>0</v>
      </c>
      <c r="R51" s="263">
        <v>10.057508988918919</v>
      </c>
      <c r="U51" s="506"/>
      <c r="V51" s="261" t="s">
        <v>43</v>
      </c>
      <c r="W51" s="252">
        <v>0</v>
      </c>
      <c r="X51" s="252">
        <v>0</v>
      </c>
      <c r="Y51" s="252">
        <v>1.9550000000000001</v>
      </c>
      <c r="Z51" s="252">
        <v>0</v>
      </c>
      <c r="AA51" s="252">
        <v>0</v>
      </c>
      <c r="AB51" s="252">
        <v>0</v>
      </c>
      <c r="AC51" s="252">
        <v>0</v>
      </c>
      <c r="AD51" s="252">
        <v>0</v>
      </c>
      <c r="AE51" s="252">
        <v>0</v>
      </c>
      <c r="AF51" s="252">
        <v>0</v>
      </c>
      <c r="AG51" s="252">
        <v>0</v>
      </c>
      <c r="AH51" s="252">
        <v>0</v>
      </c>
      <c r="AI51" s="252">
        <v>8.1025089889189186</v>
      </c>
      <c r="AJ51" s="252">
        <v>0</v>
      </c>
      <c r="AK51" s="252">
        <v>0</v>
      </c>
      <c r="AL51" s="263">
        <v>10.057508988918919</v>
      </c>
    </row>
    <row r="52" spans="1:38">
      <c r="A52" s="506"/>
      <c r="B52" s="261" t="s">
        <v>44</v>
      </c>
      <c r="C52" s="252">
        <v>0</v>
      </c>
      <c r="D52" s="252">
        <v>0</v>
      </c>
      <c r="E52" s="252">
        <v>0.98388888888888892</v>
      </c>
      <c r="F52" s="252">
        <v>0</v>
      </c>
      <c r="G52" s="252">
        <v>0</v>
      </c>
      <c r="H52" s="252">
        <v>0</v>
      </c>
      <c r="I52" s="252">
        <v>0</v>
      </c>
      <c r="J52" s="252">
        <v>0</v>
      </c>
      <c r="K52" s="252">
        <v>0</v>
      </c>
      <c r="L52" s="252">
        <v>0</v>
      </c>
      <c r="M52" s="252">
        <v>0</v>
      </c>
      <c r="N52" s="252">
        <v>0</v>
      </c>
      <c r="O52" s="252">
        <v>10.786315594108109</v>
      </c>
      <c r="P52" s="252">
        <v>0</v>
      </c>
      <c r="Q52" s="252">
        <v>0</v>
      </c>
      <c r="R52" s="263">
        <v>11.770204482996997</v>
      </c>
      <c r="U52" s="506"/>
      <c r="V52" s="261" t="s">
        <v>44</v>
      </c>
      <c r="W52" s="252">
        <v>0</v>
      </c>
      <c r="X52" s="252">
        <v>0</v>
      </c>
      <c r="Y52" s="252">
        <v>0.98388888888888892</v>
      </c>
      <c r="Z52" s="252">
        <v>0</v>
      </c>
      <c r="AA52" s="252">
        <v>0</v>
      </c>
      <c r="AB52" s="252">
        <v>0</v>
      </c>
      <c r="AC52" s="252">
        <v>0</v>
      </c>
      <c r="AD52" s="252">
        <v>0</v>
      </c>
      <c r="AE52" s="252">
        <v>0</v>
      </c>
      <c r="AF52" s="252">
        <v>0</v>
      </c>
      <c r="AG52" s="252">
        <v>0</v>
      </c>
      <c r="AH52" s="252">
        <v>0</v>
      </c>
      <c r="AI52" s="252">
        <v>10.786315594108109</v>
      </c>
      <c r="AJ52" s="252">
        <v>0</v>
      </c>
      <c r="AK52" s="252">
        <v>0</v>
      </c>
      <c r="AL52" s="263">
        <v>11.770204482996997</v>
      </c>
    </row>
    <row r="53" spans="1:38">
      <c r="A53" s="506"/>
      <c r="B53" s="261" t="s">
        <v>4</v>
      </c>
      <c r="C53" s="252">
        <v>0</v>
      </c>
      <c r="D53" s="252">
        <v>0</v>
      </c>
      <c r="E53" s="252">
        <v>0.3322222222222222</v>
      </c>
      <c r="F53" s="252">
        <v>0</v>
      </c>
      <c r="G53" s="252">
        <v>0</v>
      </c>
      <c r="H53" s="252">
        <v>0</v>
      </c>
      <c r="I53" s="252">
        <v>0</v>
      </c>
      <c r="J53" s="252">
        <v>0</v>
      </c>
      <c r="K53" s="252">
        <v>0</v>
      </c>
      <c r="L53" s="252">
        <v>0</v>
      </c>
      <c r="M53" s="252">
        <v>0</v>
      </c>
      <c r="N53" s="252">
        <v>0</v>
      </c>
      <c r="O53" s="252">
        <v>0</v>
      </c>
      <c r="P53" s="252">
        <v>0</v>
      </c>
      <c r="Q53" s="252">
        <v>0</v>
      </c>
      <c r="R53" s="263">
        <v>0.3322222222222222</v>
      </c>
      <c r="U53" s="506"/>
      <c r="V53" s="261" t="s">
        <v>4</v>
      </c>
      <c r="W53" s="252">
        <v>0</v>
      </c>
      <c r="X53" s="252">
        <v>0</v>
      </c>
      <c r="Y53" s="252">
        <v>0.3322222222222222</v>
      </c>
      <c r="Z53" s="252">
        <v>0</v>
      </c>
      <c r="AA53" s="252">
        <v>0</v>
      </c>
      <c r="AB53" s="252">
        <v>0</v>
      </c>
      <c r="AC53" s="252">
        <v>0</v>
      </c>
      <c r="AD53" s="252">
        <v>0</v>
      </c>
      <c r="AE53" s="252">
        <v>0</v>
      </c>
      <c r="AF53" s="252">
        <v>0</v>
      </c>
      <c r="AG53" s="252">
        <v>0</v>
      </c>
      <c r="AH53" s="252">
        <v>0</v>
      </c>
      <c r="AI53" s="252">
        <v>0</v>
      </c>
      <c r="AJ53" s="252">
        <v>0</v>
      </c>
      <c r="AK53" s="252">
        <v>0</v>
      </c>
      <c r="AL53" s="263">
        <v>0.3322222222222222</v>
      </c>
    </row>
    <row r="54" spans="1:38">
      <c r="A54" s="506"/>
      <c r="B54" s="261" t="s">
        <v>397</v>
      </c>
      <c r="C54" s="252">
        <v>0</v>
      </c>
      <c r="D54" s="252">
        <v>0</v>
      </c>
      <c r="E54" s="252">
        <v>0</v>
      </c>
      <c r="F54" s="252">
        <v>0</v>
      </c>
      <c r="G54" s="252">
        <v>0</v>
      </c>
      <c r="H54" s="252">
        <v>0</v>
      </c>
      <c r="I54" s="252">
        <v>0</v>
      </c>
      <c r="J54" s="252">
        <v>0</v>
      </c>
      <c r="K54" s="252">
        <v>0</v>
      </c>
      <c r="L54" s="252">
        <v>0</v>
      </c>
      <c r="M54" s="252">
        <v>0</v>
      </c>
      <c r="N54" s="252">
        <v>0</v>
      </c>
      <c r="O54" s="252">
        <v>0</v>
      </c>
      <c r="P54" s="252">
        <v>0</v>
      </c>
      <c r="Q54" s="252">
        <v>0</v>
      </c>
      <c r="R54" s="263">
        <v>0</v>
      </c>
      <c r="U54" s="506"/>
      <c r="V54" s="261" t="s">
        <v>397</v>
      </c>
      <c r="W54" s="252">
        <v>0</v>
      </c>
      <c r="X54" s="252">
        <v>0</v>
      </c>
      <c r="Y54" s="252">
        <v>0</v>
      </c>
      <c r="Z54" s="252">
        <v>0</v>
      </c>
      <c r="AA54" s="252">
        <v>0</v>
      </c>
      <c r="AB54" s="252">
        <v>0</v>
      </c>
      <c r="AC54" s="252">
        <v>0</v>
      </c>
      <c r="AD54" s="252">
        <v>0</v>
      </c>
      <c r="AE54" s="252">
        <v>0</v>
      </c>
      <c r="AF54" s="252">
        <v>0</v>
      </c>
      <c r="AG54" s="252">
        <v>0</v>
      </c>
      <c r="AH54" s="252">
        <v>0</v>
      </c>
      <c r="AI54" s="252">
        <v>0</v>
      </c>
      <c r="AJ54" s="252">
        <v>0</v>
      </c>
      <c r="AK54" s="252">
        <v>0</v>
      </c>
      <c r="AL54" s="263">
        <v>0</v>
      </c>
    </row>
    <row r="55" spans="1:38">
      <c r="A55" s="506"/>
      <c r="B55" s="256" t="s">
        <v>45</v>
      </c>
      <c r="C55" s="257">
        <v>0</v>
      </c>
      <c r="D55" s="257">
        <v>0</v>
      </c>
      <c r="E55" s="257">
        <v>56.458055555555553</v>
      </c>
      <c r="F55" s="257">
        <v>0</v>
      </c>
      <c r="G55" s="257">
        <v>0</v>
      </c>
      <c r="H55" s="257">
        <v>0</v>
      </c>
      <c r="I55" s="257">
        <v>0</v>
      </c>
      <c r="J55" s="257">
        <v>0</v>
      </c>
      <c r="K55" s="257">
        <v>0</v>
      </c>
      <c r="L55" s="257">
        <v>0</v>
      </c>
      <c r="M55" s="257">
        <v>0</v>
      </c>
      <c r="N55" s="257">
        <v>0</v>
      </c>
      <c r="O55" s="257">
        <v>20.183</v>
      </c>
      <c r="P55" s="257">
        <v>0</v>
      </c>
      <c r="Q55" s="257">
        <v>0</v>
      </c>
      <c r="R55" s="257">
        <v>76.641055555555553</v>
      </c>
      <c r="U55" s="506"/>
      <c r="V55" s="256" t="s">
        <v>45</v>
      </c>
      <c r="W55" s="257">
        <v>0</v>
      </c>
      <c r="X55" s="257">
        <v>0</v>
      </c>
      <c r="Y55" s="257">
        <v>56.458055555555553</v>
      </c>
      <c r="Z55" s="257">
        <v>0</v>
      </c>
      <c r="AA55" s="257">
        <v>0</v>
      </c>
      <c r="AB55" s="257">
        <v>0</v>
      </c>
      <c r="AC55" s="257">
        <v>0</v>
      </c>
      <c r="AD55" s="257">
        <v>0</v>
      </c>
      <c r="AE55" s="257">
        <v>0</v>
      </c>
      <c r="AF55" s="257">
        <v>0</v>
      </c>
      <c r="AG55" s="257">
        <v>0</v>
      </c>
      <c r="AH55" s="257">
        <v>0</v>
      </c>
      <c r="AI55" s="257">
        <v>20.183</v>
      </c>
      <c r="AJ55" s="257">
        <v>0</v>
      </c>
      <c r="AK55" s="257">
        <v>0</v>
      </c>
      <c r="AL55" s="257">
        <v>76.641055555555553</v>
      </c>
    </row>
    <row r="56" spans="1:38">
      <c r="A56" s="506"/>
      <c r="B56" s="251" t="s">
        <v>46</v>
      </c>
      <c r="C56" s="252">
        <v>0</v>
      </c>
      <c r="D56" s="252">
        <v>0</v>
      </c>
      <c r="E56" s="252">
        <v>0</v>
      </c>
      <c r="F56" s="252">
        <v>0</v>
      </c>
      <c r="G56" s="252">
        <v>0</v>
      </c>
      <c r="H56" s="252">
        <v>0</v>
      </c>
      <c r="I56" s="252">
        <v>0</v>
      </c>
      <c r="J56" s="252">
        <v>0</v>
      </c>
      <c r="K56" s="252">
        <v>0</v>
      </c>
      <c r="L56" s="252">
        <v>0</v>
      </c>
      <c r="M56" s="252">
        <v>0</v>
      </c>
      <c r="N56" s="252">
        <v>0</v>
      </c>
      <c r="O56" s="252">
        <v>0</v>
      </c>
      <c r="P56" s="252">
        <v>0</v>
      </c>
      <c r="Q56" s="252">
        <v>0</v>
      </c>
      <c r="R56" s="263">
        <v>0</v>
      </c>
      <c r="U56" s="506"/>
      <c r="V56" s="251" t="s">
        <v>46</v>
      </c>
      <c r="W56" s="252">
        <v>0</v>
      </c>
      <c r="X56" s="252">
        <v>0</v>
      </c>
      <c r="Y56" s="252">
        <v>0</v>
      </c>
      <c r="Z56" s="252">
        <v>0</v>
      </c>
      <c r="AA56" s="252">
        <v>0</v>
      </c>
      <c r="AB56" s="252">
        <v>0</v>
      </c>
      <c r="AC56" s="252">
        <v>0</v>
      </c>
      <c r="AD56" s="252">
        <v>0</v>
      </c>
      <c r="AE56" s="252">
        <v>0</v>
      </c>
      <c r="AF56" s="252">
        <v>0</v>
      </c>
      <c r="AG56" s="252">
        <v>0</v>
      </c>
      <c r="AH56" s="252">
        <v>0</v>
      </c>
      <c r="AI56" s="252">
        <v>0</v>
      </c>
      <c r="AJ56" s="252">
        <v>0</v>
      </c>
      <c r="AK56" s="252">
        <v>0</v>
      </c>
      <c r="AL56" s="263">
        <v>0</v>
      </c>
    </row>
    <row r="57" spans="1:38">
      <c r="A57" s="506"/>
      <c r="B57" s="256" t="s">
        <v>47</v>
      </c>
      <c r="C57" s="257">
        <v>0</v>
      </c>
      <c r="D57" s="257">
        <v>0</v>
      </c>
      <c r="E57" s="257">
        <v>56.458055555555553</v>
      </c>
      <c r="F57" s="257">
        <v>0</v>
      </c>
      <c r="G57" s="257">
        <v>0</v>
      </c>
      <c r="H57" s="257">
        <v>0</v>
      </c>
      <c r="I57" s="257">
        <v>0</v>
      </c>
      <c r="J57" s="257">
        <v>0</v>
      </c>
      <c r="K57" s="257">
        <v>0</v>
      </c>
      <c r="L57" s="257">
        <v>0</v>
      </c>
      <c r="M57" s="257">
        <v>0</v>
      </c>
      <c r="N57" s="257">
        <v>0</v>
      </c>
      <c r="O57" s="257">
        <v>20.183</v>
      </c>
      <c r="P57" s="257">
        <v>0</v>
      </c>
      <c r="Q57" s="257">
        <v>0</v>
      </c>
      <c r="R57" s="257">
        <v>76.641055555555553</v>
      </c>
      <c r="U57" s="506"/>
      <c r="V57" s="256" t="s">
        <v>47</v>
      </c>
      <c r="W57" s="257">
        <v>0</v>
      </c>
      <c r="X57" s="257">
        <v>0</v>
      </c>
      <c r="Y57" s="257">
        <v>56.458055555555553</v>
      </c>
      <c r="Z57" s="257">
        <v>0</v>
      </c>
      <c r="AA57" s="257">
        <v>0</v>
      </c>
      <c r="AB57" s="257">
        <v>0</v>
      </c>
      <c r="AC57" s="257">
        <v>0</v>
      </c>
      <c r="AD57" s="257">
        <v>0</v>
      </c>
      <c r="AE57" s="257">
        <v>0</v>
      </c>
      <c r="AF57" s="257">
        <v>0</v>
      </c>
      <c r="AG57" s="257">
        <v>0</v>
      </c>
      <c r="AH57" s="257">
        <v>0</v>
      </c>
      <c r="AI57" s="257">
        <v>20.183</v>
      </c>
      <c r="AJ57" s="257">
        <v>0</v>
      </c>
      <c r="AK57" s="257">
        <v>0</v>
      </c>
      <c r="AL57" s="257">
        <v>76.641055555555553</v>
      </c>
    </row>
    <row r="61" spans="1:38">
      <c r="K61" s="268"/>
    </row>
    <row r="62" spans="1:38">
      <c r="L62" s="268"/>
    </row>
    <row r="64" spans="1:38">
      <c r="I64" s="268"/>
      <c r="AC64" s="268"/>
    </row>
    <row r="66" spans="1:38" ht="14.4" customHeight="1">
      <c r="A66" s="506">
        <v>2025</v>
      </c>
      <c r="B66" s="510" t="s">
        <v>12</v>
      </c>
      <c r="C66" s="509" t="s">
        <v>14</v>
      </c>
      <c r="D66" s="509" t="s">
        <v>15</v>
      </c>
      <c r="E66" s="509" t="s">
        <v>16</v>
      </c>
      <c r="F66" s="509" t="s">
        <v>17</v>
      </c>
      <c r="G66" s="509" t="s">
        <v>382</v>
      </c>
      <c r="H66" s="509" t="s">
        <v>18</v>
      </c>
      <c r="I66" s="509" t="s">
        <v>19</v>
      </c>
      <c r="J66" s="509"/>
      <c r="K66" s="509"/>
      <c r="L66" s="509"/>
      <c r="M66" s="509"/>
      <c r="N66" s="509"/>
      <c r="O66" s="501" t="s">
        <v>383</v>
      </c>
      <c r="P66" s="501" t="s">
        <v>21</v>
      </c>
      <c r="Q66" s="501" t="s">
        <v>384</v>
      </c>
      <c r="R66" s="501" t="s">
        <v>23</v>
      </c>
      <c r="U66" s="506">
        <v>2025</v>
      </c>
      <c r="V66" s="507" t="s">
        <v>12</v>
      </c>
      <c r="W66" s="501" t="s">
        <v>14</v>
      </c>
      <c r="X66" s="501" t="s">
        <v>15</v>
      </c>
      <c r="Y66" s="501" t="s">
        <v>16</v>
      </c>
      <c r="Z66" s="501" t="s">
        <v>17</v>
      </c>
      <c r="AA66" s="501" t="s">
        <v>382</v>
      </c>
      <c r="AB66" s="501" t="s">
        <v>18</v>
      </c>
      <c r="AC66" s="503" t="s">
        <v>19</v>
      </c>
      <c r="AD66" s="504"/>
      <c r="AE66" s="504"/>
      <c r="AF66" s="504"/>
      <c r="AG66" s="504"/>
      <c r="AH66" s="505"/>
      <c r="AI66" s="501" t="s">
        <v>383</v>
      </c>
      <c r="AJ66" s="501" t="s">
        <v>21</v>
      </c>
      <c r="AK66" s="501" t="s">
        <v>384</v>
      </c>
      <c r="AL66" s="501" t="s">
        <v>23</v>
      </c>
    </row>
    <row r="67" spans="1:38" ht="45.6">
      <c r="A67" s="506"/>
      <c r="B67" s="510"/>
      <c r="C67" s="509"/>
      <c r="D67" s="509"/>
      <c r="E67" s="509"/>
      <c r="F67" s="509"/>
      <c r="G67" s="509"/>
      <c r="H67" s="509"/>
      <c r="I67" s="249" t="s">
        <v>371</v>
      </c>
      <c r="J67" s="249" t="s">
        <v>7</v>
      </c>
      <c r="K67" s="249" t="s">
        <v>372</v>
      </c>
      <c r="L67" s="249" t="s">
        <v>385</v>
      </c>
      <c r="M67" s="250" t="s">
        <v>386</v>
      </c>
      <c r="N67" s="249" t="s">
        <v>387</v>
      </c>
      <c r="O67" s="501"/>
      <c r="P67" s="501"/>
      <c r="Q67" s="501"/>
      <c r="R67" s="501"/>
      <c r="U67" s="506"/>
      <c r="V67" s="508"/>
      <c r="W67" s="502"/>
      <c r="X67" s="502"/>
      <c r="Y67" s="502"/>
      <c r="Z67" s="502"/>
      <c r="AA67" s="502"/>
      <c r="AB67" s="502"/>
      <c r="AC67" s="249" t="s">
        <v>371</v>
      </c>
      <c r="AD67" s="249" t="s">
        <v>7</v>
      </c>
      <c r="AE67" s="249" t="s">
        <v>372</v>
      </c>
      <c r="AF67" s="249" t="s">
        <v>385</v>
      </c>
      <c r="AG67" s="250" t="s">
        <v>386</v>
      </c>
      <c r="AH67" s="249" t="s">
        <v>387</v>
      </c>
      <c r="AI67" s="502"/>
      <c r="AJ67" s="502"/>
      <c r="AK67" s="502"/>
      <c r="AL67" s="502"/>
    </row>
    <row r="68" spans="1:38" ht="14.4" customHeight="1">
      <c r="A68" s="506"/>
      <c r="B68" s="251" t="s">
        <v>24</v>
      </c>
      <c r="C68" s="252">
        <v>0</v>
      </c>
      <c r="D68" s="253">
        <v>0</v>
      </c>
      <c r="E68" s="253">
        <v>0</v>
      </c>
      <c r="F68" s="252">
        <v>0</v>
      </c>
      <c r="G68" s="253">
        <v>0</v>
      </c>
      <c r="H68" s="253">
        <f>H74</f>
        <v>8.2750000000000004</v>
      </c>
      <c r="I68" s="253">
        <f>$I$27</f>
        <v>0</v>
      </c>
      <c r="J68" s="253">
        <f>J74</f>
        <v>0</v>
      </c>
      <c r="K68" s="253">
        <v>0</v>
      </c>
      <c r="L68" s="253">
        <f>L74</f>
        <v>1.3333333333333337</v>
      </c>
      <c r="M68" s="253">
        <v>0</v>
      </c>
      <c r="N68" s="253">
        <f>N74</f>
        <v>0</v>
      </c>
      <c r="O68" s="254">
        <v>0</v>
      </c>
      <c r="P68" s="253">
        <v>0</v>
      </c>
      <c r="Q68" s="253">
        <v>0</v>
      </c>
      <c r="R68" s="255">
        <f>SUM(C68:Q68)</f>
        <v>9.6083333333333343</v>
      </c>
      <c r="U68" s="506"/>
      <c r="V68" s="251" t="s">
        <v>24</v>
      </c>
      <c r="W68" s="252">
        <v>0</v>
      </c>
      <c r="X68" s="253">
        <v>0</v>
      </c>
      <c r="Y68" s="253">
        <v>0</v>
      </c>
      <c r="Z68" s="252">
        <v>0</v>
      </c>
      <c r="AA68" s="253">
        <v>0</v>
      </c>
      <c r="AB68" s="253">
        <f>AB74</f>
        <v>5.7426549515901142</v>
      </c>
      <c r="AC68" s="253">
        <f>IF((AC74-$AC$27)&gt;0,$AC$27+(AC74-$AC$27)*0.5,AC74)</f>
        <v>3.4698821459758999</v>
      </c>
      <c r="AD68" s="253">
        <f>AD74</f>
        <v>0</v>
      </c>
      <c r="AE68" s="253">
        <f>IF((AE74-$AE$27)&gt;0,$AE$27+(AE74-AE71-AE72-$AE$27)*0.5,AE74-AE71-AE$72)</f>
        <v>4.4960363828712054E-2</v>
      </c>
      <c r="AF68" s="253">
        <f>AF74</f>
        <v>0.9253019055935735</v>
      </c>
      <c r="AG68" s="253">
        <v>0</v>
      </c>
      <c r="AH68" s="253">
        <f>AH74</f>
        <v>0.60147624520754006</v>
      </c>
      <c r="AI68" s="254">
        <v>0</v>
      </c>
      <c r="AJ68" s="253">
        <v>0</v>
      </c>
      <c r="AK68" s="253">
        <v>0</v>
      </c>
      <c r="AL68" s="255">
        <f>SUM(W68:AK68)</f>
        <v>10.784275612195838</v>
      </c>
    </row>
    <row r="69" spans="1:38" ht="14.4" customHeight="1">
      <c r="A69" s="506"/>
      <c r="B69" s="251" t="s">
        <v>28</v>
      </c>
      <c r="C69" s="252">
        <f>C74</f>
        <v>0</v>
      </c>
      <c r="D69" s="253">
        <f>D74</f>
        <v>0</v>
      </c>
      <c r="E69" s="253">
        <f>E74-E72</f>
        <v>71.777160862720322</v>
      </c>
      <c r="F69" s="252">
        <v>0</v>
      </c>
      <c r="G69" s="253">
        <v>0</v>
      </c>
      <c r="H69" s="253">
        <v>0</v>
      </c>
      <c r="I69" s="253">
        <f>I74-$I$27</f>
        <v>10</v>
      </c>
      <c r="J69" s="253">
        <v>0</v>
      </c>
      <c r="K69" s="253">
        <f>K74</f>
        <v>0</v>
      </c>
      <c r="L69" s="253">
        <v>0</v>
      </c>
      <c r="M69" s="253">
        <v>0</v>
      </c>
      <c r="N69" s="253">
        <v>0</v>
      </c>
      <c r="O69" s="254">
        <v>0</v>
      </c>
      <c r="P69" s="253">
        <v>0</v>
      </c>
      <c r="Q69" s="253">
        <v>0</v>
      </c>
      <c r="R69" s="255">
        <f t="shared" ref="R69:R74" si="2">SUM(C69:Q69)</f>
        <v>81.777160862720322</v>
      </c>
      <c r="U69" s="506"/>
      <c r="V69" s="251" t="s">
        <v>28</v>
      </c>
      <c r="W69" s="252">
        <f>W74</f>
        <v>0</v>
      </c>
      <c r="X69" s="253">
        <f>X74</f>
        <v>0</v>
      </c>
      <c r="Y69" s="253">
        <f>Y74-Y71-Y72</f>
        <v>63.575051172236847</v>
      </c>
      <c r="Z69" s="252">
        <v>0</v>
      </c>
      <c r="AA69" s="253">
        <v>0</v>
      </c>
      <c r="AB69" s="253">
        <v>0</v>
      </c>
      <c r="AC69" s="253">
        <f>IF((AC74-$AC$27)&gt;0,(AC74-$AC$27)*0.5,0)</f>
        <v>3.4698821459758999</v>
      </c>
      <c r="AD69" s="253">
        <v>0</v>
      </c>
      <c r="AE69" s="253">
        <f>IF((AE74-AE71-AE72-$AE$27)&gt;0,(AE74-AE71-AE72-$AE$27)*0.5,0)</f>
        <v>4.4960363828712054E-2</v>
      </c>
      <c r="AF69" s="253">
        <v>0</v>
      </c>
      <c r="AG69" s="253">
        <v>0</v>
      </c>
      <c r="AH69" s="253">
        <v>0</v>
      </c>
      <c r="AI69" s="254">
        <v>0</v>
      </c>
      <c r="AJ69" s="253">
        <v>0</v>
      </c>
      <c r="AK69" s="253">
        <v>0</v>
      </c>
      <c r="AL69" s="255">
        <f t="shared" ref="AL69:AL74" si="3">SUM(W69:AK69)</f>
        <v>67.089893682041449</v>
      </c>
    </row>
    <row r="70" spans="1:38" ht="14.4" customHeight="1">
      <c r="A70" s="506"/>
      <c r="B70" s="251" t="s">
        <v>29</v>
      </c>
      <c r="C70" s="252">
        <v>0</v>
      </c>
      <c r="D70" s="253">
        <v>0</v>
      </c>
      <c r="E70" s="253">
        <v>0</v>
      </c>
      <c r="F70" s="252">
        <v>0</v>
      </c>
      <c r="G70" s="253">
        <v>0</v>
      </c>
      <c r="H70" s="253">
        <v>0</v>
      </c>
      <c r="I70" s="253">
        <v>0</v>
      </c>
      <c r="J70" s="253">
        <v>0</v>
      </c>
      <c r="K70" s="253">
        <v>0</v>
      </c>
      <c r="L70" s="253">
        <v>0</v>
      </c>
      <c r="M70" s="253">
        <v>0</v>
      </c>
      <c r="N70" s="253">
        <v>0</v>
      </c>
      <c r="O70" s="254">
        <v>0</v>
      </c>
      <c r="P70" s="253">
        <v>0</v>
      </c>
      <c r="Q70" s="253">
        <v>0</v>
      </c>
      <c r="R70" s="255">
        <f t="shared" si="2"/>
        <v>0</v>
      </c>
      <c r="U70" s="506"/>
      <c r="V70" s="251" t="s">
        <v>29</v>
      </c>
      <c r="W70" s="252">
        <v>0</v>
      </c>
      <c r="X70" s="253">
        <v>0</v>
      </c>
      <c r="Y70" s="253">
        <v>0</v>
      </c>
      <c r="Z70" s="252">
        <v>0</v>
      </c>
      <c r="AA70" s="253">
        <v>0</v>
      </c>
      <c r="AB70" s="253">
        <v>0</v>
      </c>
      <c r="AC70" s="253">
        <v>0</v>
      </c>
      <c r="AD70" s="253">
        <v>0</v>
      </c>
      <c r="AE70" s="253">
        <v>0</v>
      </c>
      <c r="AF70" s="253">
        <v>0</v>
      </c>
      <c r="AG70" s="253">
        <v>0</v>
      </c>
      <c r="AH70" s="253">
        <v>0</v>
      </c>
      <c r="AI70" s="254">
        <v>0</v>
      </c>
      <c r="AJ70" s="253">
        <v>0</v>
      </c>
      <c r="AK70" s="253">
        <v>0</v>
      </c>
      <c r="AL70" s="255">
        <f t="shared" si="3"/>
        <v>0</v>
      </c>
    </row>
    <row r="71" spans="1:38" ht="14.4" customHeight="1">
      <c r="A71" s="506"/>
      <c r="B71" s="251" t="s">
        <v>30</v>
      </c>
      <c r="C71" s="252">
        <v>0</v>
      </c>
      <c r="D71" s="253">
        <v>0</v>
      </c>
      <c r="E71" s="253">
        <v>0</v>
      </c>
      <c r="F71" s="252">
        <v>0</v>
      </c>
      <c r="G71" s="253">
        <v>0</v>
      </c>
      <c r="H71" s="253">
        <v>0</v>
      </c>
      <c r="I71" s="253">
        <v>0</v>
      </c>
      <c r="J71" s="253">
        <v>0</v>
      </c>
      <c r="K71" s="253">
        <v>0</v>
      </c>
      <c r="L71" s="253">
        <v>0</v>
      </c>
      <c r="M71" s="253">
        <v>0</v>
      </c>
      <c r="N71" s="253">
        <v>0</v>
      </c>
      <c r="O71" s="254">
        <v>0</v>
      </c>
      <c r="P71" s="253">
        <v>0</v>
      </c>
      <c r="Q71" s="253">
        <v>0</v>
      </c>
      <c r="R71" s="255">
        <f t="shared" si="2"/>
        <v>0</v>
      </c>
      <c r="U71" s="506"/>
      <c r="V71" s="251" t="s">
        <v>30</v>
      </c>
      <c r="W71" s="252">
        <v>0</v>
      </c>
      <c r="X71" s="253">
        <v>0</v>
      </c>
      <c r="Y71" s="253">
        <f>-Transports!$D$172-Transports!$D$171</f>
        <v>0</v>
      </c>
      <c r="Z71" s="252">
        <v>0</v>
      </c>
      <c r="AA71" s="253">
        <v>0</v>
      </c>
      <c r="AB71" s="253">
        <v>0</v>
      </c>
      <c r="AC71" s="253">
        <v>0</v>
      </c>
      <c r="AD71" s="253">
        <v>0</v>
      </c>
      <c r="AE71" s="253">
        <f>-Transports!$D$170</f>
        <v>0</v>
      </c>
      <c r="AF71" s="253">
        <v>0</v>
      </c>
      <c r="AG71" s="253">
        <v>0</v>
      </c>
      <c r="AH71" s="253">
        <v>0</v>
      </c>
      <c r="AI71" s="254">
        <v>0</v>
      </c>
      <c r="AJ71" s="253">
        <v>0</v>
      </c>
      <c r="AK71" s="253">
        <v>0</v>
      </c>
      <c r="AL71" s="255">
        <f t="shared" si="3"/>
        <v>0</v>
      </c>
    </row>
    <row r="72" spans="1:38" ht="14.4" customHeight="1">
      <c r="A72" s="506"/>
      <c r="B72" s="251" t="s">
        <v>31</v>
      </c>
      <c r="C72" s="252">
        <v>0</v>
      </c>
      <c r="D72" s="253">
        <v>0</v>
      </c>
      <c r="E72" s="253">
        <f>-Transports!$D$202</f>
        <v>-1.5177046882858707</v>
      </c>
      <c r="F72" s="252">
        <v>0</v>
      </c>
      <c r="G72" s="253">
        <v>0</v>
      </c>
      <c r="H72" s="253">
        <v>0</v>
      </c>
      <c r="I72" s="253">
        <v>0</v>
      </c>
      <c r="J72" s="253">
        <v>0</v>
      </c>
      <c r="K72" s="253">
        <v>0</v>
      </c>
      <c r="L72" s="253">
        <v>0</v>
      </c>
      <c r="M72" s="253">
        <v>0</v>
      </c>
      <c r="N72" s="253">
        <v>0</v>
      </c>
      <c r="O72" s="254">
        <v>0</v>
      </c>
      <c r="P72" s="253">
        <v>0</v>
      </c>
      <c r="Q72" s="253">
        <v>0</v>
      </c>
      <c r="R72" s="255">
        <f t="shared" si="2"/>
        <v>-1.5177046882858707</v>
      </c>
      <c r="U72" s="506"/>
      <c r="V72" s="251" t="s">
        <v>31</v>
      </c>
      <c r="W72" s="252">
        <v>0</v>
      </c>
      <c r="X72" s="253">
        <v>0</v>
      </c>
      <c r="Y72" s="253">
        <f>-Transports!$D$234</f>
        <v>-1.4711895261815231</v>
      </c>
      <c r="Z72" s="252">
        <v>0</v>
      </c>
      <c r="AA72" s="253">
        <v>0</v>
      </c>
      <c r="AB72" s="253">
        <v>0</v>
      </c>
      <c r="AC72" s="253">
        <v>0</v>
      </c>
      <c r="AD72" s="253">
        <v>0</v>
      </c>
      <c r="AE72" s="253">
        <f>-Transports!$D$233-Transports!$D$232</f>
        <v>-3.0024276044520889E-2</v>
      </c>
      <c r="AF72" s="253">
        <v>0</v>
      </c>
      <c r="AG72" s="253">
        <v>0</v>
      </c>
      <c r="AH72" s="253">
        <v>0</v>
      </c>
      <c r="AI72" s="254">
        <v>0</v>
      </c>
      <c r="AJ72" s="253">
        <v>0</v>
      </c>
      <c r="AK72" s="253">
        <v>0</v>
      </c>
      <c r="AL72" s="255">
        <f t="shared" si="3"/>
        <v>-1.5012138022260439</v>
      </c>
    </row>
    <row r="73" spans="1:38" ht="14.4" customHeight="1">
      <c r="A73" s="506"/>
      <c r="B73" s="251" t="s">
        <v>32</v>
      </c>
      <c r="C73" s="252">
        <v>0</v>
      </c>
      <c r="D73" s="253">
        <v>0</v>
      </c>
      <c r="E73" s="253">
        <v>0</v>
      </c>
      <c r="F73" s="252">
        <v>0</v>
      </c>
      <c r="G73" s="253">
        <v>0</v>
      </c>
      <c r="H73" s="253">
        <v>0</v>
      </c>
      <c r="I73" s="253">
        <v>0</v>
      </c>
      <c r="J73" s="253">
        <v>0</v>
      </c>
      <c r="K73" s="253">
        <v>0</v>
      </c>
      <c r="L73" s="253">
        <v>0</v>
      </c>
      <c r="M73" s="253">
        <v>0</v>
      </c>
      <c r="N73" s="253">
        <v>0</v>
      </c>
      <c r="O73" s="254">
        <v>0</v>
      </c>
      <c r="P73" s="253">
        <v>0</v>
      </c>
      <c r="Q73" s="253">
        <v>0</v>
      </c>
      <c r="R73" s="255">
        <f t="shared" si="2"/>
        <v>0</v>
      </c>
      <c r="U73" s="506"/>
      <c r="V73" s="251" t="s">
        <v>32</v>
      </c>
      <c r="W73" s="252">
        <v>0</v>
      </c>
      <c r="X73" s="253">
        <v>0</v>
      </c>
      <c r="Y73" s="253">
        <v>0</v>
      </c>
      <c r="Z73" s="252">
        <v>0</v>
      </c>
      <c r="AA73" s="253">
        <v>0</v>
      </c>
      <c r="AB73" s="253">
        <v>0</v>
      </c>
      <c r="AC73" s="253">
        <v>0</v>
      </c>
      <c r="AD73" s="253">
        <v>0</v>
      </c>
      <c r="AE73" s="253">
        <v>0</v>
      </c>
      <c r="AF73" s="253">
        <v>0</v>
      </c>
      <c r="AG73" s="253">
        <v>0</v>
      </c>
      <c r="AH73" s="253">
        <v>0</v>
      </c>
      <c r="AI73" s="254">
        <v>0</v>
      </c>
      <c r="AJ73" s="253">
        <v>0</v>
      </c>
      <c r="AK73" s="253">
        <v>0</v>
      </c>
      <c r="AL73" s="255">
        <f t="shared" si="3"/>
        <v>0</v>
      </c>
    </row>
    <row r="74" spans="1:38" ht="14.4" customHeight="1">
      <c r="A74" s="506"/>
      <c r="B74" s="256" t="s">
        <v>388</v>
      </c>
      <c r="C74" s="257">
        <f>C98+C96</f>
        <v>0</v>
      </c>
      <c r="D74" s="257">
        <f>D88+D98</f>
        <v>0</v>
      </c>
      <c r="E74" s="257">
        <f>E88+E98</f>
        <v>70.259456174434447</v>
      </c>
      <c r="F74" s="257">
        <f t="shared" ref="F74:Q74" si="4">SUM(F68:F73)</f>
        <v>0</v>
      </c>
      <c r="G74" s="257">
        <f t="shared" si="4"/>
        <v>0</v>
      </c>
      <c r="H74" s="257">
        <f>H88</f>
        <v>8.2750000000000004</v>
      </c>
      <c r="I74" s="257">
        <f>I88+I96</f>
        <v>10</v>
      </c>
      <c r="J74" s="257">
        <f>J88+J98</f>
        <v>0</v>
      </c>
      <c r="K74" s="257">
        <f>K88+K98</f>
        <v>0</v>
      </c>
      <c r="L74" s="257">
        <f>L88+L98</f>
        <v>1.3333333333333337</v>
      </c>
      <c r="M74" s="257">
        <f t="shared" si="4"/>
        <v>0</v>
      </c>
      <c r="N74" s="257">
        <f>N88+N98</f>
        <v>0</v>
      </c>
      <c r="O74" s="257">
        <f t="shared" si="4"/>
        <v>0</v>
      </c>
      <c r="P74" s="257">
        <f t="shared" si="4"/>
        <v>0</v>
      </c>
      <c r="Q74" s="257">
        <f t="shared" si="4"/>
        <v>0</v>
      </c>
      <c r="R74" s="257">
        <f t="shared" si="2"/>
        <v>89.867789507767782</v>
      </c>
      <c r="U74" s="506"/>
      <c r="V74" s="256" t="s">
        <v>388</v>
      </c>
      <c r="W74" s="257">
        <f>W98+W96</f>
        <v>0</v>
      </c>
      <c r="X74" s="257">
        <f>X88+X98</f>
        <v>0</v>
      </c>
      <c r="Y74" s="257">
        <f>Y88+Y98</f>
        <v>62.103861646055321</v>
      </c>
      <c r="Z74" s="257">
        <f>SUM(Z68:Z73)</f>
        <v>0</v>
      </c>
      <c r="AA74" s="257">
        <f>SUM(AA68:AA73)</f>
        <v>0</v>
      </c>
      <c r="AB74" s="257">
        <f>AB88</f>
        <v>5.7426549515901142</v>
      </c>
      <c r="AC74" s="257">
        <f>AC88+AC96</f>
        <v>6.9397642919517999</v>
      </c>
      <c r="AD74" s="257">
        <f>AD88+AD98</f>
        <v>0</v>
      </c>
      <c r="AE74" s="257">
        <f>AE88+AE98</f>
        <v>5.9896451612903218E-2</v>
      </c>
      <c r="AF74" s="257">
        <f>AF88+AF98</f>
        <v>0.9253019055935735</v>
      </c>
      <c r="AG74" s="257">
        <f>SUM(AG68:AG73)</f>
        <v>0</v>
      </c>
      <c r="AH74" s="257">
        <f>AH88+AH98</f>
        <v>0.60147624520754006</v>
      </c>
      <c r="AI74" s="257">
        <f>SUM(AI68:AI73)</f>
        <v>0</v>
      </c>
      <c r="AJ74" s="257">
        <f>SUM(AJ68:AJ73)</f>
        <v>0</v>
      </c>
      <c r="AK74" s="257">
        <f>SUM(AK68:AK73)</f>
        <v>0</v>
      </c>
      <c r="AL74" s="257">
        <f t="shared" si="3"/>
        <v>76.372955492011243</v>
      </c>
    </row>
    <row r="75" spans="1:38" ht="14.4" customHeight="1">
      <c r="A75" s="506"/>
      <c r="B75" s="258"/>
      <c r="C75" s="259"/>
      <c r="D75" s="227"/>
      <c r="E75" s="260"/>
      <c r="F75" s="259"/>
      <c r="G75" s="259"/>
      <c r="H75" s="259"/>
      <c r="I75" s="259"/>
      <c r="J75" s="259"/>
      <c r="K75" s="259"/>
      <c r="L75" s="259"/>
      <c r="M75" s="259"/>
      <c r="N75" s="259"/>
      <c r="O75" s="268"/>
      <c r="P75" s="259"/>
      <c r="Q75" s="259"/>
      <c r="R75" s="259"/>
      <c r="U75" s="506"/>
      <c r="V75" s="258"/>
      <c r="W75" s="259"/>
      <c r="X75" s="227"/>
      <c r="Y75" s="260"/>
      <c r="Z75" s="259"/>
      <c r="AA75" s="259"/>
      <c r="AB75" s="259"/>
      <c r="AC75" s="259"/>
      <c r="AD75" s="259"/>
      <c r="AE75" s="259"/>
      <c r="AF75" s="259"/>
      <c r="AG75" s="259"/>
      <c r="AH75" s="259"/>
      <c r="AI75" s="268"/>
      <c r="AJ75" s="259"/>
      <c r="AK75" s="259"/>
      <c r="AL75" s="259"/>
    </row>
    <row r="76" spans="1:38" ht="14.4" customHeight="1">
      <c r="A76" s="506"/>
      <c r="B76" s="261" t="s">
        <v>389</v>
      </c>
      <c r="C76" s="252">
        <v>0</v>
      </c>
      <c r="D76" s="262">
        <v>0</v>
      </c>
      <c r="E76" s="262">
        <v>0</v>
      </c>
      <c r="F76" s="252">
        <v>0</v>
      </c>
      <c r="G76" s="252">
        <v>0</v>
      </c>
      <c r="H76" s="252">
        <v>0</v>
      </c>
      <c r="I76" s="252">
        <v>0</v>
      </c>
      <c r="J76" s="252">
        <v>0</v>
      </c>
      <c r="K76" s="252">
        <v>0</v>
      </c>
      <c r="L76" s="252">
        <v>0</v>
      </c>
      <c r="M76" s="252">
        <v>0</v>
      </c>
      <c r="N76" s="252">
        <v>0</v>
      </c>
      <c r="O76" s="252">
        <v>0</v>
      </c>
      <c r="P76" s="252">
        <v>0</v>
      </c>
      <c r="Q76" s="252">
        <v>0</v>
      </c>
      <c r="R76" s="263">
        <f>SUM(C76:Q76)</f>
        <v>0</v>
      </c>
      <c r="U76" s="506"/>
      <c r="V76" s="261" t="s">
        <v>389</v>
      </c>
      <c r="W76" s="252">
        <v>0</v>
      </c>
      <c r="X76" s="262">
        <v>0</v>
      </c>
      <c r="Y76" s="262">
        <v>0</v>
      </c>
      <c r="Z76" s="252">
        <v>0</v>
      </c>
      <c r="AA76" s="252">
        <v>0</v>
      </c>
      <c r="AB76" s="252">
        <v>0</v>
      </c>
      <c r="AC76" s="252">
        <v>0</v>
      </c>
      <c r="AD76" s="252">
        <v>0</v>
      </c>
      <c r="AE76" s="252">
        <v>0</v>
      </c>
      <c r="AF76" s="252">
        <v>0</v>
      </c>
      <c r="AG76" s="252">
        <v>0</v>
      </c>
      <c r="AH76" s="252">
        <v>0</v>
      </c>
      <c r="AI76" s="252">
        <v>0</v>
      </c>
      <c r="AJ76" s="252">
        <v>0</v>
      </c>
      <c r="AK76" s="252">
        <v>0</v>
      </c>
      <c r="AL76" s="263">
        <f>SUM(W76:AK76)</f>
        <v>0</v>
      </c>
    </row>
    <row r="77" spans="1:38" ht="14.4" customHeight="1">
      <c r="A77" s="506"/>
      <c r="B77" s="261" t="s">
        <v>390</v>
      </c>
      <c r="C77" s="252">
        <f>$O$77*'Prod Energie'!$D$32/(-$J$13)</f>
        <v>0</v>
      </c>
      <c r="D77" s="252">
        <v>0</v>
      </c>
      <c r="E77" s="252">
        <f>O77*'Prod Energie'!$D$33/(-$K$13)</f>
        <v>17.66759993325611</v>
      </c>
      <c r="F77" s="252">
        <v>0</v>
      </c>
      <c r="G77" s="252">
        <v>0</v>
      </c>
      <c r="H77" s="252">
        <f>(O77)*('Prod Energie'!$D$34+'Prod Energie'!$D$39+'Prod Energie'!$D$40)/(-$L$13)</f>
        <v>8.2750000000000004</v>
      </c>
      <c r="I77" s="264">
        <f>(O77)*('Prod Energie'!$D$38)/(-$M$13)</f>
        <v>10</v>
      </c>
      <c r="J77" s="264">
        <f>(O77)*('Prod Energie'!$D$36)/(-$N$13)</f>
        <v>0</v>
      </c>
      <c r="K77" s="264">
        <f>(O77)*('Prod Energie'!$D$37)/(-$O$13)</f>
        <v>0</v>
      </c>
      <c r="L77" s="264">
        <f>(O77)*('Prod Energie'!$D$41)/(-$P$13)</f>
        <v>1.3333333333333337</v>
      </c>
      <c r="M77" s="264">
        <v>0</v>
      </c>
      <c r="N77" s="264">
        <f>(O77)*('Prod Energie'!$D$35)/(-$Q$13)</f>
        <v>0</v>
      </c>
      <c r="O77" s="252">
        <f>O88/(1+$F$17+$F$18)</f>
        <v>-20.84874397063269</v>
      </c>
      <c r="P77" s="252">
        <v>0</v>
      </c>
      <c r="Q77" s="252">
        <v>0</v>
      </c>
      <c r="R77" s="263">
        <f t="shared" ref="R77:R88" si="5">SUM(C77:Q77)</f>
        <v>16.427189295956758</v>
      </c>
      <c r="U77" s="506"/>
      <c r="V77" s="261" t="s">
        <v>390</v>
      </c>
      <c r="W77" s="252">
        <f>AI77*'Prod Energie'!$D$53/(-$J$13)</f>
        <v>0</v>
      </c>
      <c r="X77" s="252">
        <v>0</v>
      </c>
      <c r="Y77" s="252">
        <f>AI77*'Prod Energie'!$D$54/(-$K$13)</f>
        <v>12.260897914130075</v>
      </c>
      <c r="Z77" s="252">
        <v>0</v>
      </c>
      <c r="AA77" s="252">
        <v>0</v>
      </c>
      <c r="AB77" s="252">
        <f>(AI77)*('Prod Energie'!$D$55+'Prod Energie'!$D$60+'Prod Energie'!$D$61)/(-$L$13)</f>
        <v>5.7426549515901142</v>
      </c>
      <c r="AC77" s="264">
        <f>(AI77)*'Prod Energie'!$D$59/(-$M$13)</f>
        <v>6.9397642919517999</v>
      </c>
      <c r="AD77" s="264">
        <f>(AI77)*('Prod Energie'!$D$57)/(-$N$13)</f>
        <v>0</v>
      </c>
      <c r="AE77" s="264">
        <f>(AI77)*('Prod Energie'!$D$58)/(-$O$13)</f>
        <v>0</v>
      </c>
      <c r="AF77" s="264">
        <f>(AI77)*('Prod Energie'!$D$62)/(-$P$13)</f>
        <v>0.9253019055935735</v>
      </c>
      <c r="AG77" s="264">
        <v>0</v>
      </c>
      <c r="AH77" s="264">
        <f>(AI77)*'Prod Energie'!$D$56/(-$Q$13)</f>
        <v>0</v>
      </c>
      <c r="AI77" s="252">
        <f>AI88/(1+$F$17+$F$18)</f>
        <v>-14.468536893944213</v>
      </c>
      <c r="AJ77" s="252">
        <v>0</v>
      </c>
      <c r="AK77" s="252">
        <v>0</v>
      </c>
      <c r="AL77" s="263">
        <f t="shared" ref="AL77:AL88" si="6">SUM(W77:AK77)</f>
        <v>11.400082169321349</v>
      </c>
    </row>
    <row r="78" spans="1:38" ht="14.4" customHeight="1">
      <c r="A78" s="506"/>
      <c r="B78" s="261" t="s">
        <v>391</v>
      </c>
      <c r="C78" s="252">
        <v>0</v>
      </c>
      <c r="D78" s="252">
        <v>0</v>
      </c>
      <c r="E78" s="252">
        <v>0</v>
      </c>
      <c r="F78" s="252">
        <v>0</v>
      </c>
      <c r="G78" s="252">
        <v>0</v>
      </c>
      <c r="H78" s="252">
        <v>0</v>
      </c>
      <c r="I78" s="264">
        <f t="shared" ref="I78:N78" si="7">$P$78*$L$18*V$17</f>
        <v>0</v>
      </c>
      <c r="J78" s="264">
        <f t="shared" si="7"/>
        <v>0</v>
      </c>
      <c r="K78" s="264">
        <f t="shared" si="7"/>
        <v>0</v>
      </c>
      <c r="L78" s="264">
        <f t="shared" si="7"/>
        <v>0</v>
      </c>
      <c r="M78" s="264">
        <f t="shared" si="7"/>
        <v>0</v>
      </c>
      <c r="N78" s="264">
        <f t="shared" si="7"/>
        <v>0</v>
      </c>
      <c r="O78" s="252">
        <v>0</v>
      </c>
      <c r="P78" s="252">
        <f>P88/(1+$R$18)</f>
        <v>0</v>
      </c>
      <c r="Q78" s="252">
        <v>0</v>
      </c>
      <c r="R78" s="263">
        <f t="shared" si="5"/>
        <v>0</v>
      </c>
      <c r="U78" s="506"/>
      <c r="V78" s="261" t="s">
        <v>391</v>
      </c>
      <c r="W78" s="252">
        <v>0</v>
      </c>
      <c r="X78" s="252">
        <v>0</v>
      </c>
      <c r="Y78" s="252">
        <v>0</v>
      </c>
      <c r="Z78" s="252">
        <v>0</v>
      </c>
      <c r="AA78" s="252">
        <v>0</v>
      </c>
      <c r="AB78" s="252">
        <v>0</v>
      </c>
      <c r="AC78" s="264">
        <f t="shared" ref="AC78:AH78" si="8">$AJ$78*$L$18*V$17</f>
        <v>0</v>
      </c>
      <c r="AD78" s="264">
        <f t="shared" si="8"/>
        <v>0</v>
      </c>
      <c r="AE78" s="264">
        <f t="shared" si="8"/>
        <v>0</v>
      </c>
      <c r="AF78" s="264">
        <f t="shared" si="8"/>
        <v>0</v>
      </c>
      <c r="AG78" s="264">
        <f t="shared" si="8"/>
        <v>0</v>
      </c>
      <c r="AH78" s="264">
        <f t="shared" si="8"/>
        <v>0</v>
      </c>
      <c r="AI78" s="252">
        <v>0</v>
      </c>
      <c r="AJ78" s="252">
        <f>AJ88/(1+$R$18)</f>
        <v>0</v>
      </c>
      <c r="AK78" s="252">
        <v>0</v>
      </c>
      <c r="AL78" s="263">
        <f t="shared" si="6"/>
        <v>0</v>
      </c>
    </row>
    <row r="79" spans="1:38" ht="14.4" customHeight="1">
      <c r="A79" s="506"/>
      <c r="B79" s="261" t="s">
        <v>392</v>
      </c>
      <c r="C79" s="252">
        <v>0</v>
      </c>
      <c r="D79" s="252">
        <v>0</v>
      </c>
      <c r="E79" s="252">
        <v>0</v>
      </c>
      <c r="F79" s="252">
        <v>0</v>
      </c>
      <c r="G79" s="252">
        <v>0</v>
      </c>
      <c r="H79" s="252">
        <v>0</v>
      </c>
      <c r="I79" s="265">
        <v>0</v>
      </c>
      <c r="J79" s="265">
        <v>0</v>
      </c>
      <c r="K79" s="265">
        <v>0</v>
      </c>
      <c r="L79" s="265">
        <v>0</v>
      </c>
      <c r="M79" s="265">
        <v>0</v>
      </c>
      <c r="N79" s="265">
        <v>0</v>
      </c>
      <c r="O79" s="252">
        <v>0</v>
      </c>
      <c r="P79" s="252">
        <v>0</v>
      </c>
      <c r="Q79" s="252">
        <v>0</v>
      </c>
      <c r="R79" s="263">
        <f t="shared" si="5"/>
        <v>0</v>
      </c>
      <c r="U79" s="506"/>
      <c r="V79" s="261" t="s">
        <v>392</v>
      </c>
      <c r="W79" s="252">
        <v>0</v>
      </c>
      <c r="X79" s="252">
        <v>0</v>
      </c>
      <c r="Y79" s="252">
        <v>0</v>
      </c>
      <c r="Z79" s="252">
        <v>0</v>
      </c>
      <c r="AA79" s="252">
        <v>0</v>
      </c>
      <c r="AB79" s="252">
        <v>0</v>
      </c>
      <c r="AC79" s="265">
        <v>0</v>
      </c>
      <c r="AD79" s="265">
        <v>0</v>
      </c>
      <c r="AE79" s="265">
        <v>0</v>
      </c>
      <c r="AF79" s="265">
        <v>0</v>
      </c>
      <c r="AG79" s="265">
        <v>0</v>
      </c>
      <c r="AH79" s="265">
        <v>0</v>
      </c>
      <c r="AI79" s="252">
        <v>0</v>
      </c>
      <c r="AJ79" s="252">
        <v>0</v>
      </c>
      <c r="AK79" s="252">
        <v>0</v>
      </c>
      <c r="AL79" s="263">
        <f t="shared" si="6"/>
        <v>0</v>
      </c>
    </row>
    <row r="80" spans="1:38" ht="14.4" customHeight="1">
      <c r="A80" s="506"/>
      <c r="B80" s="261" t="s">
        <v>393</v>
      </c>
      <c r="C80" s="252">
        <v>0</v>
      </c>
      <c r="D80" s="252">
        <v>0</v>
      </c>
      <c r="E80" s="252">
        <v>0</v>
      </c>
      <c r="F80" s="252">
        <v>0</v>
      </c>
      <c r="G80" s="252">
        <v>0</v>
      </c>
      <c r="H80" s="252">
        <v>0</v>
      </c>
      <c r="I80" s="252">
        <v>0</v>
      </c>
      <c r="J80" s="252">
        <v>0</v>
      </c>
      <c r="K80" s="252">
        <v>0</v>
      </c>
      <c r="L80" s="252">
        <v>0</v>
      </c>
      <c r="M80" s="252">
        <v>0</v>
      </c>
      <c r="N80" s="252">
        <v>0</v>
      </c>
      <c r="O80" s="252">
        <v>0</v>
      </c>
      <c r="P80" s="252">
        <v>0</v>
      </c>
      <c r="Q80" s="252">
        <v>0</v>
      </c>
      <c r="R80" s="263">
        <f t="shared" si="5"/>
        <v>0</v>
      </c>
      <c r="U80" s="506"/>
      <c r="V80" s="261" t="s">
        <v>393</v>
      </c>
      <c r="W80" s="252">
        <v>0</v>
      </c>
      <c r="X80" s="252">
        <v>0</v>
      </c>
      <c r="Y80" s="252">
        <v>0</v>
      </c>
      <c r="Z80" s="252">
        <v>0</v>
      </c>
      <c r="AA80" s="252">
        <v>0</v>
      </c>
      <c r="AB80" s="252">
        <v>0</v>
      </c>
      <c r="AC80" s="252">
        <v>0</v>
      </c>
      <c r="AD80" s="252">
        <v>0</v>
      </c>
      <c r="AE80" s="252">
        <v>0</v>
      </c>
      <c r="AF80" s="252">
        <v>0</v>
      </c>
      <c r="AG80" s="252">
        <v>0</v>
      </c>
      <c r="AH80" s="252">
        <v>0</v>
      </c>
      <c r="AI80" s="252">
        <v>0</v>
      </c>
      <c r="AJ80" s="252">
        <v>0</v>
      </c>
      <c r="AK80" s="252">
        <v>0</v>
      </c>
      <c r="AL80" s="263">
        <f t="shared" si="6"/>
        <v>0</v>
      </c>
    </row>
    <row r="81" spans="1:38" ht="14.4" customHeight="1">
      <c r="A81" s="506"/>
      <c r="B81" s="261" t="s">
        <v>36</v>
      </c>
      <c r="C81" s="252">
        <v>0</v>
      </c>
      <c r="D81" s="252">
        <v>0</v>
      </c>
      <c r="E81" s="252">
        <v>0</v>
      </c>
      <c r="F81" s="252">
        <v>0</v>
      </c>
      <c r="G81" s="252">
        <v>0</v>
      </c>
      <c r="H81" s="252">
        <v>0</v>
      </c>
      <c r="I81" s="252">
        <v>0</v>
      </c>
      <c r="J81" s="252">
        <v>0</v>
      </c>
      <c r="K81" s="252">
        <v>0</v>
      </c>
      <c r="L81" s="252">
        <v>0</v>
      </c>
      <c r="M81" s="252">
        <v>0</v>
      </c>
      <c r="N81" s="252">
        <v>0</v>
      </c>
      <c r="O81" s="252">
        <v>0</v>
      </c>
      <c r="P81" s="252">
        <v>0</v>
      </c>
      <c r="Q81" s="252">
        <v>0</v>
      </c>
      <c r="R81" s="263">
        <f t="shared" si="5"/>
        <v>0</v>
      </c>
      <c r="U81" s="506"/>
      <c r="V81" s="261" t="s">
        <v>36</v>
      </c>
      <c r="W81" s="252">
        <v>0</v>
      </c>
      <c r="X81" s="252">
        <v>0</v>
      </c>
      <c r="Y81" s="252">
        <v>0</v>
      </c>
      <c r="Z81" s="252">
        <v>0</v>
      </c>
      <c r="AA81" s="252">
        <v>0</v>
      </c>
      <c r="AB81" s="252">
        <v>0</v>
      </c>
      <c r="AC81" s="252">
        <v>0</v>
      </c>
      <c r="AD81" s="252">
        <v>0</v>
      </c>
      <c r="AE81" s="252">
        <v>0</v>
      </c>
      <c r="AF81" s="252">
        <v>0</v>
      </c>
      <c r="AG81" s="252">
        <v>0</v>
      </c>
      <c r="AH81" s="252">
        <v>0</v>
      </c>
      <c r="AI81" s="252">
        <v>0</v>
      </c>
      <c r="AJ81" s="252">
        <v>0</v>
      </c>
      <c r="AK81" s="252">
        <v>0</v>
      </c>
      <c r="AL81" s="263">
        <f t="shared" si="6"/>
        <v>0</v>
      </c>
    </row>
    <row r="82" spans="1:38" ht="14.4" customHeight="1">
      <c r="A82" s="506"/>
      <c r="B82" s="261" t="s">
        <v>394</v>
      </c>
      <c r="C82" s="252">
        <v>0</v>
      </c>
      <c r="D82" s="252">
        <v>0</v>
      </c>
      <c r="E82" s="252">
        <v>0</v>
      </c>
      <c r="F82" s="252">
        <v>0</v>
      </c>
      <c r="G82" s="252">
        <v>0</v>
      </c>
      <c r="H82" s="252">
        <v>0</v>
      </c>
      <c r="I82" s="252">
        <v>0</v>
      </c>
      <c r="J82" s="252">
        <v>0</v>
      </c>
      <c r="K82" s="252">
        <v>0</v>
      </c>
      <c r="L82" s="252">
        <v>0</v>
      </c>
      <c r="M82" s="252">
        <v>0</v>
      </c>
      <c r="N82" s="252">
        <v>0</v>
      </c>
      <c r="O82" s="252">
        <v>0</v>
      </c>
      <c r="P82" s="252">
        <v>0</v>
      </c>
      <c r="Q82" s="252">
        <v>0</v>
      </c>
      <c r="R82" s="263">
        <f t="shared" si="5"/>
        <v>0</v>
      </c>
      <c r="U82" s="506"/>
      <c r="V82" s="261" t="s">
        <v>394</v>
      </c>
      <c r="W82" s="252">
        <v>0</v>
      </c>
      <c r="X82" s="252">
        <v>0</v>
      </c>
      <c r="Y82" s="252">
        <v>0</v>
      </c>
      <c r="Z82" s="252">
        <v>0</v>
      </c>
      <c r="AA82" s="252">
        <v>0</v>
      </c>
      <c r="AB82" s="252">
        <v>0</v>
      </c>
      <c r="AC82" s="252">
        <v>0</v>
      </c>
      <c r="AD82" s="252">
        <v>0</v>
      </c>
      <c r="AE82" s="252">
        <v>0</v>
      </c>
      <c r="AF82" s="252">
        <v>0</v>
      </c>
      <c r="AG82" s="252">
        <v>0</v>
      </c>
      <c r="AH82" s="252">
        <v>0</v>
      </c>
      <c r="AI82" s="252">
        <v>0</v>
      </c>
      <c r="AJ82" s="252">
        <v>0</v>
      </c>
      <c r="AK82" s="252">
        <v>0</v>
      </c>
      <c r="AL82" s="263">
        <f t="shared" si="6"/>
        <v>0</v>
      </c>
    </row>
    <row r="83" spans="1:38" ht="14.4" customHeight="1">
      <c r="A83" s="506"/>
      <c r="B83" s="261" t="s">
        <v>395</v>
      </c>
      <c r="C83" s="252">
        <v>0</v>
      </c>
      <c r="D83" s="252">
        <v>0</v>
      </c>
      <c r="E83" s="252">
        <v>0</v>
      </c>
      <c r="F83" s="252">
        <v>0</v>
      </c>
      <c r="G83" s="252">
        <v>0</v>
      </c>
      <c r="H83" s="252">
        <v>0</v>
      </c>
      <c r="I83" s="252">
        <v>0</v>
      </c>
      <c r="J83" s="252">
        <v>0</v>
      </c>
      <c r="K83" s="252">
        <v>0</v>
      </c>
      <c r="L83" s="252">
        <v>0</v>
      </c>
      <c r="M83" s="252">
        <v>0</v>
      </c>
      <c r="N83" s="252">
        <v>0</v>
      </c>
      <c r="O83" s="252">
        <v>0</v>
      </c>
      <c r="P83" s="252">
        <v>0</v>
      </c>
      <c r="Q83" s="252">
        <v>0</v>
      </c>
      <c r="R83" s="263">
        <f t="shared" si="5"/>
        <v>0</v>
      </c>
      <c r="U83" s="506"/>
      <c r="V83" s="261" t="s">
        <v>395</v>
      </c>
      <c r="W83" s="252">
        <v>0</v>
      </c>
      <c r="X83" s="252">
        <v>0</v>
      </c>
      <c r="Y83" s="252">
        <v>0</v>
      </c>
      <c r="Z83" s="252">
        <v>0</v>
      </c>
      <c r="AA83" s="252">
        <v>0</v>
      </c>
      <c r="AB83" s="252">
        <v>0</v>
      </c>
      <c r="AC83" s="252">
        <v>0</v>
      </c>
      <c r="AD83" s="252">
        <v>0</v>
      </c>
      <c r="AE83" s="252">
        <v>0</v>
      </c>
      <c r="AF83" s="252">
        <v>0</v>
      </c>
      <c r="AG83" s="252">
        <v>0</v>
      </c>
      <c r="AH83" s="252">
        <v>0</v>
      </c>
      <c r="AI83" s="252">
        <v>0</v>
      </c>
      <c r="AJ83" s="252">
        <v>0</v>
      </c>
      <c r="AK83" s="252">
        <v>0</v>
      </c>
      <c r="AL83" s="263">
        <f t="shared" si="6"/>
        <v>0</v>
      </c>
    </row>
    <row r="84" spans="1:38" ht="14.4" customHeight="1">
      <c r="A84" s="506"/>
      <c r="B84" s="261" t="s">
        <v>396</v>
      </c>
      <c r="C84" s="252">
        <v>0</v>
      </c>
      <c r="D84" s="252">
        <v>0</v>
      </c>
      <c r="E84" s="252">
        <v>0</v>
      </c>
      <c r="F84" s="252">
        <v>0</v>
      </c>
      <c r="G84" s="252">
        <v>0</v>
      </c>
      <c r="H84" s="252">
        <v>0</v>
      </c>
      <c r="I84" s="252">
        <v>0</v>
      </c>
      <c r="J84" s="252">
        <v>0</v>
      </c>
      <c r="K84" s="252">
        <v>0</v>
      </c>
      <c r="L84" s="252">
        <v>0</v>
      </c>
      <c r="M84" s="252">
        <v>0</v>
      </c>
      <c r="N84" s="252">
        <v>0</v>
      </c>
      <c r="O84" s="252">
        <v>0</v>
      </c>
      <c r="P84" s="252">
        <v>0</v>
      </c>
      <c r="Q84" s="252">
        <v>0</v>
      </c>
      <c r="R84" s="263">
        <f t="shared" si="5"/>
        <v>0</v>
      </c>
      <c r="U84" s="506"/>
      <c r="V84" s="261" t="s">
        <v>396</v>
      </c>
      <c r="W84" s="252">
        <v>0</v>
      </c>
      <c r="X84" s="252">
        <v>0</v>
      </c>
      <c r="Y84" s="252">
        <v>0</v>
      </c>
      <c r="Z84" s="252">
        <v>0</v>
      </c>
      <c r="AA84" s="252">
        <v>0</v>
      </c>
      <c r="AB84" s="252">
        <v>0</v>
      </c>
      <c r="AC84" s="252">
        <v>0</v>
      </c>
      <c r="AD84" s="252">
        <v>0</v>
      </c>
      <c r="AE84" s="252">
        <v>0</v>
      </c>
      <c r="AF84" s="252">
        <v>0</v>
      </c>
      <c r="AG84" s="252">
        <v>0</v>
      </c>
      <c r="AH84" s="252">
        <v>0</v>
      </c>
      <c r="AI84" s="252">
        <v>0</v>
      </c>
      <c r="AJ84" s="252">
        <v>0</v>
      </c>
      <c r="AK84" s="252">
        <v>0</v>
      </c>
      <c r="AL84" s="263">
        <f t="shared" si="6"/>
        <v>0</v>
      </c>
    </row>
    <row r="85" spans="1:38" ht="14.4" customHeight="1">
      <c r="A85" s="506"/>
      <c r="B85" s="261" t="s">
        <v>37</v>
      </c>
      <c r="C85" s="252">
        <v>0</v>
      </c>
      <c r="D85" s="252">
        <v>0</v>
      </c>
      <c r="E85" s="252">
        <v>0</v>
      </c>
      <c r="F85" s="252">
        <v>0</v>
      </c>
      <c r="G85" s="252">
        <v>0</v>
      </c>
      <c r="H85" s="252">
        <v>0</v>
      </c>
      <c r="I85" s="252">
        <v>0</v>
      </c>
      <c r="J85" s="252">
        <v>0</v>
      </c>
      <c r="K85" s="252">
        <v>0</v>
      </c>
      <c r="L85" s="252">
        <v>0</v>
      </c>
      <c r="M85" s="252">
        <v>0</v>
      </c>
      <c r="N85" s="252">
        <v>0</v>
      </c>
      <c r="O85" s="252">
        <v>0</v>
      </c>
      <c r="P85" s="252">
        <v>0</v>
      </c>
      <c r="Q85" s="252">
        <v>0</v>
      </c>
      <c r="R85" s="263">
        <f t="shared" si="5"/>
        <v>0</v>
      </c>
      <c r="U85" s="506"/>
      <c r="V85" s="261" t="s">
        <v>37</v>
      </c>
      <c r="W85" s="252">
        <v>0</v>
      </c>
      <c r="X85" s="252">
        <v>0</v>
      </c>
      <c r="Y85" s="252">
        <v>0</v>
      </c>
      <c r="Z85" s="252">
        <v>0</v>
      </c>
      <c r="AA85" s="252">
        <v>0</v>
      </c>
      <c r="AB85" s="252">
        <v>0</v>
      </c>
      <c r="AC85" s="252">
        <v>0</v>
      </c>
      <c r="AD85" s="252">
        <v>0</v>
      </c>
      <c r="AE85" s="252">
        <v>0</v>
      </c>
      <c r="AF85" s="252">
        <v>0</v>
      </c>
      <c r="AG85" s="252">
        <v>0</v>
      </c>
      <c r="AH85" s="252">
        <v>0</v>
      </c>
      <c r="AI85" s="252">
        <v>0</v>
      </c>
      <c r="AJ85" s="252">
        <v>0</v>
      </c>
      <c r="AK85" s="252">
        <v>0</v>
      </c>
      <c r="AL85" s="263">
        <f t="shared" si="6"/>
        <v>0</v>
      </c>
    </row>
    <row r="86" spans="1:38" ht="14.4" customHeight="1">
      <c r="A86" s="506"/>
      <c r="B86" s="261" t="s">
        <v>38</v>
      </c>
      <c r="C86" s="252">
        <v>0</v>
      </c>
      <c r="D86" s="252">
        <v>0</v>
      </c>
      <c r="E86" s="252">
        <v>0</v>
      </c>
      <c r="F86" s="252">
        <v>0</v>
      </c>
      <c r="G86" s="252">
        <v>0</v>
      </c>
      <c r="H86" s="252">
        <v>0</v>
      </c>
      <c r="I86" s="252">
        <v>0</v>
      </c>
      <c r="J86" s="252">
        <v>0</v>
      </c>
      <c r="K86" s="252">
        <v>0</v>
      </c>
      <c r="L86" s="252">
        <v>0</v>
      </c>
      <c r="M86" s="252">
        <v>0</v>
      </c>
      <c r="N86" s="252">
        <v>0</v>
      </c>
      <c r="O86" s="252">
        <f>O77*$F$17</f>
        <v>0.13419128772306754</v>
      </c>
      <c r="P86" s="252">
        <v>0</v>
      </c>
      <c r="Q86" s="252">
        <v>0</v>
      </c>
      <c r="R86" s="263">
        <f t="shared" si="5"/>
        <v>0.13419128772306754</v>
      </c>
      <c r="U86" s="506"/>
      <c r="V86" s="261" t="s">
        <v>38</v>
      </c>
      <c r="W86" s="252">
        <v>0</v>
      </c>
      <c r="X86" s="252">
        <v>0</v>
      </c>
      <c r="Y86" s="252">
        <v>0</v>
      </c>
      <c r="Z86" s="252">
        <v>0</v>
      </c>
      <c r="AA86" s="252">
        <v>0</v>
      </c>
      <c r="AB86" s="252">
        <v>0</v>
      </c>
      <c r="AC86" s="252">
        <v>0</v>
      </c>
      <c r="AD86" s="252">
        <v>0</v>
      </c>
      <c r="AE86" s="252">
        <v>0</v>
      </c>
      <c r="AF86" s="252">
        <v>0</v>
      </c>
      <c r="AG86" s="252">
        <v>0</v>
      </c>
      <c r="AH86" s="252">
        <v>0</v>
      </c>
      <c r="AI86" s="252">
        <f>AI77*$F$17</f>
        <v>9.3125590683157414E-2</v>
      </c>
      <c r="AJ86" s="252">
        <v>0</v>
      </c>
      <c r="AK86" s="252">
        <v>0</v>
      </c>
      <c r="AL86" s="263">
        <f t="shared" si="6"/>
        <v>9.3125590683157414E-2</v>
      </c>
    </row>
    <row r="87" spans="1:38" ht="14.4" customHeight="1">
      <c r="A87" s="506"/>
      <c r="B87" s="261" t="s">
        <v>39</v>
      </c>
      <c r="C87" s="252">
        <v>0</v>
      </c>
      <c r="D87" s="252">
        <v>0</v>
      </c>
      <c r="E87" s="252">
        <v>0</v>
      </c>
      <c r="F87" s="252">
        <v>0</v>
      </c>
      <c r="G87" s="252">
        <v>0</v>
      </c>
      <c r="H87" s="252">
        <v>0</v>
      </c>
      <c r="I87" s="252">
        <v>0</v>
      </c>
      <c r="J87" s="252">
        <v>0</v>
      </c>
      <c r="K87" s="252">
        <v>0</v>
      </c>
      <c r="L87" s="252">
        <v>0</v>
      </c>
      <c r="M87" s="252">
        <v>0</v>
      </c>
      <c r="N87" s="252">
        <v>0</v>
      </c>
      <c r="O87" s="252">
        <f>O77*$F$18</f>
        <v>0.94681577910646941</v>
      </c>
      <c r="P87" s="252">
        <f>P78*$R$18</f>
        <v>0</v>
      </c>
      <c r="Q87" s="252">
        <v>0</v>
      </c>
      <c r="R87" s="263">
        <f t="shared" si="5"/>
        <v>0.94681577910646941</v>
      </c>
      <c r="S87" s="268"/>
      <c r="U87" s="506"/>
      <c r="V87" s="261" t="s">
        <v>39</v>
      </c>
      <c r="W87" s="252">
        <v>0</v>
      </c>
      <c r="X87" s="252">
        <v>0</v>
      </c>
      <c r="Y87" s="252">
        <v>0</v>
      </c>
      <c r="Z87" s="252">
        <v>0</v>
      </c>
      <c r="AA87" s="252">
        <v>0</v>
      </c>
      <c r="AB87" s="252">
        <v>0</v>
      </c>
      <c r="AC87" s="252">
        <v>0</v>
      </c>
      <c r="AD87" s="252">
        <v>0</v>
      </c>
      <c r="AE87" s="252">
        <v>0</v>
      </c>
      <c r="AF87" s="252">
        <v>0</v>
      </c>
      <c r="AG87" s="252">
        <v>0</v>
      </c>
      <c r="AH87" s="252">
        <v>0</v>
      </c>
      <c r="AI87" s="252">
        <f>AI77*$F$18</f>
        <v>0.65706783348996001</v>
      </c>
      <c r="AJ87" s="252">
        <f>AJ78*$R$18</f>
        <v>0</v>
      </c>
      <c r="AK87" s="252">
        <v>0</v>
      </c>
      <c r="AL87" s="263">
        <f t="shared" si="6"/>
        <v>0.65706783348996001</v>
      </c>
    </row>
    <row r="88" spans="1:38" ht="14.4" customHeight="1">
      <c r="A88" s="506"/>
      <c r="B88" s="256" t="s">
        <v>40</v>
      </c>
      <c r="C88" s="257">
        <f>SUM(C76:C87)</f>
        <v>0</v>
      </c>
      <c r="D88" s="257">
        <f t="shared" ref="D88:Q88" si="9">SUM(D76:D87)</f>
        <v>0</v>
      </c>
      <c r="E88" s="257">
        <f t="shared" si="9"/>
        <v>17.66759993325611</v>
      </c>
      <c r="F88" s="257">
        <f t="shared" si="9"/>
        <v>0</v>
      </c>
      <c r="G88" s="257">
        <f t="shared" si="9"/>
        <v>0</v>
      </c>
      <c r="H88" s="257">
        <f t="shared" si="9"/>
        <v>8.2750000000000004</v>
      </c>
      <c r="I88" s="257">
        <f t="shared" si="9"/>
        <v>10</v>
      </c>
      <c r="J88" s="257">
        <f t="shared" si="9"/>
        <v>0</v>
      </c>
      <c r="K88" s="257">
        <f t="shared" si="9"/>
        <v>0</v>
      </c>
      <c r="L88" s="257">
        <f t="shared" si="9"/>
        <v>1.3333333333333337</v>
      </c>
      <c r="M88" s="257">
        <f t="shared" si="9"/>
        <v>0</v>
      </c>
      <c r="N88" s="257">
        <f t="shared" si="9"/>
        <v>0</v>
      </c>
      <c r="O88" s="257">
        <f>-O98</f>
        <v>-19.767736903803151</v>
      </c>
      <c r="P88" s="257">
        <f>-P90</f>
        <v>0</v>
      </c>
      <c r="Q88" s="257">
        <f t="shared" si="9"/>
        <v>0</v>
      </c>
      <c r="R88" s="257">
        <f t="shared" si="5"/>
        <v>17.508196362786297</v>
      </c>
      <c r="U88" s="506"/>
      <c r="V88" s="256" t="s">
        <v>40</v>
      </c>
      <c r="W88" s="257">
        <f t="shared" ref="W88:AH88" si="10">SUM(W76:W87)</f>
        <v>0</v>
      </c>
      <c r="X88" s="257">
        <f t="shared" si="10"/>
        <v>0</v>
      </c>
      <c r="Y88" s="257">
        <f t="shared" si="10"/>
        <v>12.260897914130075</v>
      </c>
      <c r="Z88" s="257">
        <f t="shared" si="10"/>
        <v>0</v>
      </c>
      <c r="AA88" s="257">
        <f t="shared" si="10"/>
        <v>0</v>
      </c>
      <c r="AB88" s="257">
        <f t="shared" si="10"/>
        <v>5.7426549515901142</v>
      </c>
      <c r="AC88" s="257">
        <f t="shared" si="10"/>
        <v>6.9397642919517999</v>
      </c>
      <c r="AD88" s="257">
        <f t="shared" si="10"/>
        <v>0</v>
      </c>
      <c r="AE88" s="257">
        <f t="shared" si="10"/>
        <v>0</v>
      </c>
      <c r="AF88" s="257">
        <f t="shared" si="10"/>
        <v>0.9253019055935735</v>
      </c>
      <c r="AG88" s="257">
        <f t="shared" si="10"/>
        <v>0</v>
      </c>
      <c r="AH88" s="257">
        <f t="shared" si="10"/>
        <v>0</v>
      </c>
      <c r="AI88" s="257">
        <f>-AI98</f>
        <v>-13.718343469771096</v>
      </c>
      <c r="AJ88" s="257">
        <f>-AJ90</f>
        <v>0</v>
      </c>
      <c r="AK88" s="257">
        <f>SUM(AK76:AK87)</f>
        <v>0</v>
      </c>
      <c r="AL88" s="257">
        <f t="shared" si="6"/>
        <v>12.150275593494467</v>
      </c>
    </row>
    <row r="89" spans="1:38" ht="14.4" customHeight="1">
      <c r="A89" s="506"/>
      <c r="B89" s="258"/>
      <c r="C89" s="259"/>
      <c r="D89" s="259"/>
      <c r="E89" s="266"/>
      <c r="F89" s="259"/>
      <c r="G89" s="259"/>
      <c r="H89" s="259"/>
      <c r="I89" s="266"/>
      <c r="J89" s="259"/>
      <c r="K89" s="259"/>
      <c r="L89" s="259"/>
      <c r="M89" s="267"/>
      <c r="N89" s="259"/>
      <c r="O89" s="259"/>
      <c r="P89" s="259"/>
      <c r="Q89" s="259"/>
      <c r="R89" s="259"/>
      <c r="U89" s="506"/>
      <c r="V89" s="258"/>
      <c r="W89" s="259"/>
      <c r="X89" s="259"/>
      <c r="Y89" s="266"/>
      <c r="Z89" s="259"/>
      <c r="AA89" s="259"/>
      <c r="AB89" s="259"/>
      <c r="AC89" s="266"/>
      <c r="AD89" s="259"/>
      <c r="AE89" s="259"/>
      <c r="AF89" s="259"/>
      <c r="AG89" s="267"/>
      <c r="AH89" s="259"/>
      <c r="AI89" s="259"/>
      <c r="AJ89" s="259"/>
      <c r="AK89" s="259"/>
      <c r="AL89" s="259"/>
    </row>
    <row r="90" spans="1:38" ht="14.4" customHeight="1">
      <c r="A90" s="506"/>
      <c r="B90" s="261" t="s">
        <v>41</v>
      </c>
      <c r="C90" s="252">
        <v>0</v>
      </c>
      <c r="D90" s="252">
        <v>0</v>
      </c>
      <c r="E90" s="252">
        <f>Industrie!$D$35</f>
        <v>0</v>
      </c>
      <c r="F90" s="252">
        <v>0</v>
      </c>
      <c r="G90" s="252">
        <v>0</v>
      </c>
      <c r="H90" s="252">
        <v>0</v>
      </c>
      <c r="I90" s="252">
        <v>0</v>
      </c>
      <c r="J90" s="252">
        <v>0</v>
      </c>
      <c r="K90" s="252">
        <v>0</v>
      </c>
      <c r="L90" s="252">
        <v>0</v>
      </c>
      <c r="M90" s="252">
        <v>0</v>
      </c>
      <c r="N90" s="252">
        <v>0</v>
      </c>
      <c r="O90" s="252">
        <f>Industrie!$D$36</f>
        <v>1.3181923848649233</v>
      </c>
      <c r="P90" s="252">
        <f>Industrie!$D$39</f>
        <v>0</v>
      </c>
      <c r="Q90" s="252">
        <v>0</v>
      </c>
      <c r="R90" s="263">
        <f>SUM(C90:Q90)</f>
        <v>1.3181923848649233</v>
      </c>
      <c r="U90" s="506"/>
      <c r="V90" s="261" t="s">
        <v>41</v>
      </c>
      <c r="W90" s="252">
        <v>0</v>
      </c>
      <c r="X90" s="252">
        <v>0</v>
      </c>
      <c r="Y90" s="252">
        <f>Industrie!$D$56</f>
        <v>0</v>
      </c>
      <c r="Z90" s="252">
        <v>0</v>
      </c>
      <c r="AA90" s="252">
        <v>0</v>
      </c>
      <c r="AB90" s="252">
        <v>0</v>
      </c>
      <c r="AC90" s="252">
        <f>Industrie!$D$62*$V$13/SUM($V$13:$AA$13)</f>
        <v>0</v>
      </c>
      <c r="AD90" s="252">
        <f>Industrie!$D$62*$W$13/SUM($V$13:$AA$13)</f>
        <v>0</v>
      </c>
      <c r="AE90" s="252">
        <f>Industrie!$D$62*$X$13/SUM($V$13:$AA$13)</f>
        <v>0</v>
      </c>
      <c r="AF90" s="252">
        <f>Industrie!$D$62*$Y$13/SUM($V$13:$AA$13)</f>
        <v>0</v>
      </c>
      <c r="AG90" s="252">
        <f>Industrie!$D$62*$Z$13/SUM($V$13:$AA$13)</f>
        <v>0</v>
      </c>
      <c r="AH90" s="252">
        <f>Industrie!$D$62*$AA$13/SUM($V$13:$AA$13)</f>
        <v>0</v>
      </c>
      <c r="AI90" s="252">
        <f>Industrie!$D$57</f>
        <v>1.2193279560000541</v>
      </c>
      <c r="AJ90" s="252">
        <f>Industrie!$D$63</f>
        <v>0</v>
      </c>
      <c r="AK90" s="252">
        <v>0</v>
      </c>
      <c r="AL90" s="263">
        <f>SUM(W90:AK90)</f>
        <v>1.2193279560000541</v>
      </c>
    </row>
    <row r="91" spans="1:38" ht="14.4" customHeight="1">
      <c r="A91" s="506"/>
      <c r="B91" s="261" t="s">
        <v>42</v>
      </c>
      <c r="C91" s="252">
        <v>0</v>
      </c>
      <c r="D91" s="252">
        <v>0</v>
      </c>
      <c r="E91" s="252">
        <f>Transports!$F$49+Transports!$D$203+Transports!$D$105</f>
        <v>49.37053411778691</v>
      </c>
      <c r="F91" s="252">
        <v>0</v>
      </c>
      <c r="G91" s="252">
        <v>0</v>
      </c>
      <c r="H91" s="252">
        <v>0</v>
      </c>
      <c r="I91" s="252">
        <v>0</v>
      </c>
      <c r="J91" s="252">
        <v>0</v>
      </c>
      <c r="K91" s="252">
        <v>0</v>
      </c>
      <c r="L91" s="252">
        <v>0</v>
      </c>
      <c r="M91" s="252">
        <v>0</v>
      </c>
      <c r="N91" s="252">
        <v>0</v>
      </c>
      <c r="O91" s="252">
        <f>Transports!$F$50+Transports!D106</f>
        <v>0.14969409304749795</v>
      </c>
      <c r="P91" s="252">
        <v>0</v>
      </c>
      <c r="Q91" s="252">
        <v>0</v>
      </c>
      <c r="R91" s="263">
        <f t="shared" ref="R91:R98" si="11">SUM(C91:Q91)</f>
        <v>49.520228210834411</v>
      </c>
      <c r="U91" s="506"/>
      <c r="V91" s="261" t="s">
        <v>42</v>
      </c>
      <c r="W91" s="252">
        <v>0</v>
      </c>
      <c r="X91" s="252">
        <v>0</v>
      </c>
      <c r="Y91" s="252">
        <f>Transports!$F$76+Transports!$D$150+Transports!$D$238</f>
        <v>47.125968510897764</v>
      </c>
      <c r="Z91" s="252">
        <v>0</v>
      </c>
      <c r="AA91" s="252">
        <v>0</v>
      </c>
      <c r="AB91" s="252">
        <v>0</v>
      </c>
      <c r="AC91" s="252">
        <v>0</v>
      </c>
      <c r="AD91" s="252">
        <v>0</v>
      </c>
      <c r="AE91" s="252">
        <f>Transports!$D$236+Transports!$D$237</f>
        <v>0</v>
      </c>
      <c r="AF91" s="252">
        <v>0</v>
      </c>
      <c r="AG91" s="252">
        <v>0</v>
      </c>
      <c r="AH91" s="252">
        <v>0</v>
      </c>
      <c r="AI91" s="252">
        <f>Transports!$F$77+Transports!$D$151</f>
        <v>0.7081550578799396</v>
      </c>
      <c r="AJ91" s="252">
        <v>0</v>
      </c>
      <c r="AK91" s="252">
        <v>0</v>
      </c>
      <c r="AL91" s="263">
        <f t="shared" ref="AL91:AL98" si="12">SUM(W91:AK91)</f>
        <v>47.834123568777706</v>
      </c>
    </row>
    <row r="92" spans="1:38" ht="14.4" customHeight="1">
      <c r="A92" s="506"/>
      <c r="B92" s="261" t="s">
        <v>43</v>
      </c>
      <c r="C92" s="252">
        <v>0</v>
      </c>
      <c r="D92" s="252">
        <v>0</v>
      </c>
      <c r="E92" s="252">
        <f>'Résidentiel-tertiaire'!$D$172</f>
        <v>1.9564578944738906</v>
      </c>
      <c r="F92" s="252">
        <v>0</v>
      </c>
      <c r="G92" s="252">
        <v>0</v>
      </c>
      <c r="H92" s="252">
        <v>0</v>
      </c>
      <c r="I92" s="252">
        <v>0</v>
      </c>
      <c r="J92" s="252">
        <v>0</v>
      </c>
      <c r="K92" s="252">
        <v>0</v>
      </c>
      <c r="L92" s="252">
        <v>0</v>
      </c>
      <c r="M92" s="252">
        <v>0</v>
      </c>
      <c r="N92" s="252">
        <v>0</v>
      </c>
      <c r="O92" s="252">
        <f>'Résidentiel-tertiaire'!$D$174</f>
        <v>8.1085512411335436</v>
      </c>
      <c r="P92" s="252">
        <v>0</v>
      </c>
      <c r="Q92" s="252">
        <v>0</v>
      </c>
      <c r="R92" s="263">
        <f t="shared" si="11"/>
        <v>10.065009135607434</v>
      </c>
      <c r="S92" s="268">
        <f>R88+R98</f>
        <v>89.867789507767782</v>
      </c>
      <c r="U92" s="506"/>
      <c r="V92" s="261" t="s">
        <v>43</v>
      </c>
      <c r="W92" s="252">
        <v>0</v>
      </c>
      <c r="X92" s="252">
        <v>0</v>
      </c>
      <c r="Y92" s="252">
        <f>'Résidentiel-tertiaire'!$D$187</f>
        <v>1.6291666666666667</v>
      </c>
      <c r="Z92" s="252">
        <v>0</v>
      </c>
      <c r="AA92" s="252">
        <v>0</v>
      </c>
      <c r="AB92" s="252">
        <v>0</v>
      </c>
      <c r="AC92" s="252">
        <f>'Résidentiel-tertiaire'!$D$188*$V$14/SUM($V$14:$AA$14)</f>
        <v>0</v>
      </c>
      <c r="AD92" s="252">
        <f>'Résidentiel-tertiaire'!$D$188*$W$14/SUM($V$14:$AA$14)</f>
        <v>0</v>
      </c>
      <c r="AE92" s="252">
        <f>'Résidentiel-tertiaire'!$D$188*$X$14/SUM($V$14:$AA$14)</f>
        <v>0</v>
      </c>
      <c r="AF92" s="252">
        <f>'Résidentiel-tertiaire'!$D$188*$Y$14/SUM($V$14:$AA$14)</f>
        <v>0</v>
      </c>
      <c r="AG92" s="252">
        <f>'Résidentiel-tertiaire'!$D$188*$Z$14/SUM($V$14:$AA$14)</f>
        <v>0</v>
      </c>
      <c r="AH92" s="252">
        <f>'Résidentiel-tertiaire'!$D$188*$AA$14/SUM($V$14:$AA$14)</f>
        <v>0.60147624520754006</v>
      </c>
      <c r="AI92" s="252">
        <f>'Résidentiel-tertiaire'!$D$189</f>
        <v>7.0522513225954091</v>
      </c>
      <c r="AJ92" s="252">
        <v>0</v>
      </c>
      <c r="AK92" s="252">
        <v>0</v>
      </c>
      <c r="AL92" s="263">
        <f t="shared" si="12"/>
        <v>9.2828942344696159</v>
      </c>
    </row>
    <row r="93" spans="1:38" ht="14.4" customHeight="1">
      <c r="A93" s="506"/>
      <c r="B93" s="261" t="s">
        <v>44</v>
      </c>
      <c r="C93" s="252">
        <v>0</v>
      </c>
      <c r="D93" s="252">
        <v>0</v>
      </c>
      <c r="E93" s="252">
        <f>'Résidentiel-tertiaire'!$D$177</f>
        <v>0.92961363347296921</v>
      </c>
      <c r="F93" s="252">
        <v>0</v>
      </c>
      <c r="G93" s="252">
        <v>0</v>
      </c>
      <c r="H93" s="252">
        <v>0</v>
      </c>
      <c r="I93" s="252">
        <v>0</v>
      </c>
      <c r="J93" s="252">
        <v>0</v>
      </c>
      <c r="K93" s="252">
        <v>0</v>
      </c>
      <c r="L93" s="252">
        <v>0</v>
      </c>
      <c r="M93" s="252">
        <v>0</v>
      </c>
      <c r="N93" s="252">
        <v>0</v>
      </c>
      <c r="O93" s="252">
        <f>'Résidentiel-tertiaire'!$D$179</f>
        <v>10.191299184757186</v>
      </c>
      <c r="P93" s="252">
        <v>0</v>
      </c>
      <c r="Q93" s="252">
        <v>0</v>
      </c>
      <c r="R93" s="263">
        <f t="shared" si="11"/>
        <v>11.120912818230156</v>
      </c>
      <c r="U93" s="506"/>
      <c r="V93" s="261" t="s">
        <v>44</v>
      </c>
      <c r="W93" s="252">
        <v>0</v>
      </c>
      <c r="X93" s="252">
        <v>0</v>
      </c>
      <c r="Y93" s="252">
        <f>'Résidentiel-tertiaire'!$D$192</f>
        <v>0.81990740740740742</v>
      </c>
      <c r="Z93" s="252">
        <v>0</v>
      </c>
      <c r="AA93" s="252">
        <v>0</v>
      </c>
      <c r="AB93" s="252">
        <v>0</v>
      </c>
      <c r="AC93" s="252">
        <f>'Résidentiel-tertiaire'!$D$193*$V$15/SUM($V$15:$AA$15)</f>
        <v>0</v>
      </c>
      <c r="AD93" s="252">
        <f>'Résidentiel-tertiaire'!$D$193*$W$15/SUM($V$15:$AA$15)</f>
        <v>0</v>
      </c>
      <c r="AE93" s="252">
        <f>'Résidentiel-tertiaire'!$D$193*$X$15/SUM($V$15:$AA$15)</f>
        <v>0</v>
      </c>
      <c r="AF93" s="252">
        <f>'Résidentiel-tertiaire'!$D$193*$Y$15/SUM($V$15:$AA$15)</f>
        <v>0</v>
      </c>
      <c r="AG93" s="252">
        <f>'Résidentiel-tertiaire'!$D$193*$Z$15/SUM($V$15:$AA$15)</f>
        <v>0</v>
      </c>
      <c r="AH93" s="252">
        <f>'Résidentiel-tertiaire'!$D$193*$AA$15/SUM($V$15:$AA$15)</f>
        <v>0</v>
      </c>
      <c r="AI93" s="252">
        <f>'Résidentiel-tertiaire'!$D$194</f>
        <v>4.7386091332956921</v>
      </c>
      <c r="AJ93" s="252">
        <v>0</v>
      </c>
      <c r="AK93" s="252">
        <v>0</v>
      </c>
      <c r="AL93" s="263">
        <f t="shared" si="12"/>
        <v>5.5585165407030992</v>
      </c>
    </row>
    <row r="94" spans="1:38" ht="14.4" customHeight="1">
      <c r="A94" s="506"/>
      <c r="B94" s="261" t="s">
        <v>4</v>
      </c>
      <c r="C94" s="252">
        <v>0</v>
      </c>
      <c r="D94" s="252">
        <v>0</v>
      </c>
      <c r="E94" s="252">
        <f>Agriculture!$J$27</f>
        <v>0.33525059544456004</v>
      </c>
      <c r="F94" s="252">
        <v>0</v>
      </c>
      <c r="G94" s="252">
        <v>0</v>
      </c>
      <c r="H94" s="252">
        <v>0</v>
      </c>
      <c r="I94" s="252">
        <v>0</v>
      </c>
      <c r="J94" s="252">
        <v>0</v>
      </c>
      <c r="K94" s="252">
        <v>0</v>
      </c>
      <c r="L94" s="252">
        <v>0</v>
      </c>
      <c r="M94" s="252">
        <v>0</v>
      </c>
      <c r="N94" s="252">
        <v>0</v>
      </c>
      <c r="O94" s="252">
        <f>Agriculture!$J$28</f>
        <v>0</v>
      </c>
      <c r="P94" s="252">
        <v>0</v>
      </c>
      <c r="Q94" s="252">
        <v>0</v>
      </c>
      <c r="R94" s="263">
        <f t="shared" si="11"/>
        <v>0.33525059544456004</v>
      </c>
      <c r="U94" s="506"/>
      <c r="V94" s="261" t="s">
        <v>4</v>
      </c>
      <c r="W94" s="252">
        <v>0</v>
      </c>
      <c r="X94" s="252">
        <v>0</v>
      </c>
      <c r="Y94" s="252">
        <f>Agriculture!$M$43</f>
        <v>0.26792114695340496</v>
      </c>
      <c r="Z94" s="252">
        <v>0</v>
      </c>
      <c r="AA94" s="252">
        <v>0</v>
      </c>
      <c r="AB94" s="252">
        <v>0</v>
      </c>
      <c r="AC94" s="252">
        <v>0</v>
      </c>
      <c r="AD94" s="252">
        <v>0</v>
      </c>
      <c r="AE94" s="252">
        <f>Agriculture!$M$45</f>
        <v>5.9896451612903218E-2</v>
      </c>
      <c r="AF94" s="252">
        <v>0</v>
      </c>
      <c r="AG94" s="252">
        <v>0</v>
      </c>
      <c r="AH94" s="252">
        <v>0</v>
      </c>
      <c r="AI94" s="252">
        <f>Agriculture!$M$44</f>
        <v>0</v>
      </c>
      <c r="AJ94" s="252">
        <v>0</v>
      </c>
      <c r="AK94" s="252">
        <v>0</v>
      </c>
      <c r="AL94" s="263">
        <f t="shared" si="12"/>
        <v>0.32781759856630821</v>
      </c>
    </row>
    <row r="95" spans="1:38" ht="14.4" customHeight="1">
      <c r="A95" s="506"/>
      <c r="B95" s="261" t="s">
        <v>397</v>
      </c>
      <c r="C95" s="252">
        <v>0</v>
      </c>
      <c r="D95" s="252">
        <v>0</v>
      </c>
      <c r="E95" s="252">
        <v>0</v>
      </c>
      <c r="F95" s="252">
        <v>0</v>
      </c>
      <c r="G95" s="252">
        <v>0</v>
      </c>
      <c r="H95" s="252">
        <v>0</v>
      </c>
      <c r="I95" s="252">
        <v>0</v>
      </c>
      <c r="J95" s="252">
        <v>0</v>
      </c>
      <c r="K95" s="252">
        <v>0</v>
      </c>
      <c r="L95" s="252">
        <v>0</v>
      </c>
      <c r="M95" s="252">
        <v>0</v>
      </c>
      <c r="N95" s="252">
        <v>0</v>
      </c>
      <c r="O95" s="252">
        <v>0</v>
      </c>
      <c r="P95" s="252">
        <v>0</v>
      </c>
      <c r="Q95" s="252">
        <v>0</v>
      </c>
      <c r="R95" s="263">
        <f t="shared" si="11"/>
        <v>0</v>
      </c>
      <c r="U95" s="506"/>
      <c r="V95" s="261" t="s">
        <v>397</v>
      </c>
      <c r="W95" s="252">
        <v>0</v>
      </c>
      <c r="X95" s="252">
        <v>0</v>
      </c>
      <c r="Y95" s="252">
        <v>0</v>
      </c>
      <c r="Z95" s="252">
        <v>0</v>
      </c>
      <c r="AA95" s="252">
        <v>0</v>
      </c>
      <c r="AB95" s="252">
        <v>0</v>
      </c>
      <c r="AC95" s="252">
        <v>0</v>
      </c>
      <c r="AD95" s="252">
        <v>0</v>
      </c>
      <c r="AE95" s="252">
        <v>0</v>
      </c>
      <c r="AF95" s="252">
        <v>0</v>
      </c>
      <c r="AG95" s="252">
        <v>0</v>
      </c>
      <c r="AH95" s="252">
        <v>0</v>
      </c>
      <c r="AI95" s="252">
        <v>0</v>
      </c>
      <c r="AJ95" s="252">
        <v>0</v>
      </c>
      <c r="AK95" s="252">
        <v>0</v>
      </c>
      <c r="AL95" s="263">
        <f t="shared" si="12"/>
        <v>0</v>
      </c>
    </row>
    <row r="96" spans="1:38" ht="14.4" customHeight="1">
      <c r="A96" s="506"/>
      <c r="B96" s="256" t="s">
        <v>45</v>
      </c>
      <c r="C96" s="257">
        <f>SUM(C90:C95)</f>
        <v>0</v>
      </c>
      <c r="D96" s="257">
        <f t="shared" ref="D96:Q96" si="13">SUM(D90:D95)</f>
        <v>0</v>
      </c>
      <c r="E96" s="257">
        <f t="shared" si="13"/>
        <v>52.591856241178334</v>
      </c>
      <c r="F96" s="257">
        <f t="shared" si="13"/>
        <v>0</v>
      </c>
      <c r="G96" s="257">
        <f t="shared" si="13"/>
        <v>0</v>
      </c>
      <c r="H96" s="257">
        <f t="shared" si="13"/>
        <v>0</v>
      </c>
      <c r="I96" s="257">
        <f t="shared" si="13"/>
        <v>0</v>
      </c>
      <c r="J96" s="257">
        <f t="shared" si="13"/>
        <v>0</v>
      </c>
      <c r="K96" s="257">
        <f t="shared" si="13"/>
        <v>0</v>
      </c>
      <c r="L96" s="257">
        <f t="shared" si="13"/>
        <v>0</v>
      </c>
      <c r="M96" s="257">
        <f t="shared" si="13"/>
        <v>0</v>
      </c>
      <c r="N96" s="257">
        <f t="shared" si="13"/>
        <v>0</v>
      </c>
      <c r="O96" s="257">
        <f t="shared" si="13"/>
        <v>19.767736903803151</v>
      </c>
      <c r="P96" s="257">
        <f t="shared" si="13"/>
        <v>0</v>
      </c>
      <c r="Q96" s="257">
        <f t="shared" si="13"/>
        <v>0</v>
      </c>
      <c r="R96" s="257">
        <f t="shared" si="11"/>
        <v>72.359593144981488</v>
      </c>
      <c r="U96" s="506"/>
      <c r="V96" s="256" t="s">
        <v>45</v>
      </c>
      <c r="W96" s="257">
        <f t="shared" ref="W96:AK96" si="14">SUM(W90:W95)</f>
        <v>0</v>
      </c>
      <c r="X96" s="257">
        <f t="shared" si="14"/>
        <v>0</v>
      </c>
      <c r="Y96" s="257">
        <f t="shared" si="14"/>
        <v>49.842963731925245</v>
      </c>
      <c r="Z96" s="257">
        <f t="shared" si="14"/>
        <v>0</v>
      </c>
      <c r="AA96" s="257">
        <f t="shared" si="14"/>
        <v>0</v>
      </c>
      <c r="AB96" s="257">
        <f t="shared" si="14"/>
        <v>0</v>
      </c>
      <c r="AC96" s="257">
        <f t="shared" si="14"/>
        <v>0</v>
      </c>
      <c r="AD96" s="257">
        <f t="shared" si="14"/>
        <v>0</v>
      </c>
      <c r="AE96" s="257">
        <f t="shared" si="14"/>
        <v>5.9896451612903218E-2</v>
      </c>
      <c r="AF96" s="257">
        <f t="shared" si="14"/>
        <v>0</v>
      </c>
      <c r="AG96" s="257">
        <f t="shared" si="14"/>
        <v>0</v>
      </c>
      <c r="AH96" s="257">
        <f t="shared" si="14"/>
        <v>0.60147624520754006</v>
      </c>
      <c r="AI96" s="257">
        <f t="shared" si="14"/>
        <v>13.718343469771096</v>
      </c>
      <c r="AJ96" s="257">
        <f t="shared" si="14"/>
        <v>0</v>
      </c>
      <c r="AK96" s="257">
        <f t="shared" si="14"/>
        <v>0</v>
      </c>
      <c r="AL96" s="257">
        <f t="shared" si="12"/>
        <v>64.222679898516787</v>
      </c>
    </row>
    <row r="97" spans="1:38" ht="14.4" customHeight="1">
      <c r="A97" s="506"/>
      <c r="B97" s="251" t="s">
        <v>46</v>
      </c>
      <c r="C97" s="252">
        <v>0</v>
      </c>
      <c r="D97" s="252">
        <v>0</v>
      </c>
      <c r="E97" s="252">
        <f>Industrie!$D$37</f>
        <v>0</v>
      </c>
      <c r="F97" s="252">
        <v>0</v>
      </c>
      <c r="G97" s="252">
        <v>0</v>
      </c>
      <c r="H97" s="252">
        <v>0</v>
      </c>
      <c r="I97" s="252">
        <v>0</v>
      </c>
      <c r="J97" s="252">
        <v>0</v>
      </c>
      <c r="K97" s="252">
        <v>0</v>
      </c>
      <c r="L97" s="252">
        <v>0</v>
      </c>
      <c r="M97" s="252">
        <v>0</v>
      </c>
      <c r="N97" s="252">
        <v>0</v>
      </c>
      <c r="O97" s="252">
        <v>0</v>
      </c>
      <c r="P97" s="252">
        <v>0</v>
      </c>
      <c r="Q97" s="252">
        <v>0</v>
      </c>
      <c r="R97" s="263">
        <f t="shared" si="11"/>
        <v>0</v>
      </c>
      <c r="U97" s="506"/>
      <c r="V97" s="251" t="s">
        <v>46</v>
      </c>
      <c r="W97" s="252">
        <v>0</v>
      </c>
      <c r="X97" s="252">
        <v>0</v>
      </c>
      <c r="Y97" s="252">
        <f>Industrie!$D$59</f>
        <v>0</v>
      </c>
      <c r="Z97" s="252">
        <v>0</v>
      </c>
      <c r="AA97" s="252">
        <v>0</v>
      </c>
      <c r="AB97" s="252">
        <v>0</v>
      </c>
      <c r="AC97" s="252">
        <v>0</v>
      </c>
      <c r="AD97" s="252">
        <v>0</v>
      </c>
      <c r="AE97" s="252">
        <v>0</v>
      </c>
      <c r="AF97" s="252">
        <v>0</v>
      </c>
      <c r="AG97" s="252">
        <v>0</v>
      </c>
      <c r="AH97" s="252">
        <v>0</v>
      </c>
      <c r="AI97" s="252">
        <v>0</v>
      </c>
      <c r="AJ97" s="252">
        <v>0</v>
      </c>
      <c r="AK97" s="252">
        <v>0</v>
      </c>
      <c r="AL97" s="263">
        <f t="shared" si="12"/>
        <v>0</v>
      </c>
    </row>
    <row r="98" spans="1:38" ht="14.4" customHeight="1">
      <c r="A98" s="506"/>
      <c r="B98" s="256" t="s">
        <v>47</v>
      </c>
      <c r="C98" s="257">
        <f>C97+C96</f>
        <v>0</v>
      </c>
      <c r="D98" s="257">
        <f t="shared" ref="D98:Q98" si="15">D97+D96</f>
        <v>0</v>
      </c>
      <c r="E98" s="257">
        <f t="shared" si="15"/>
        <v>52.591856241178334</v>
      </c>
      <c r="F98" s="257">
        <f t="shared" si="15"/>
        <v>0</v>
      </c>
      <c r="G98" s="257">
        <f t="shared" si="15"/>
        <v>0</v>
      </c>
      <c r="H98" s="257">
        <f t="shared" si="15"/>
        <v>0</v>
      </c>
      <c r="I98" s="257">
        <f t="shared" si="15"/>
        <v>0</v>
      </c>
      <c r="J98" s="257">
        <f t="shared" si="15"/>
        <v>0</v>
      </c>
      <c r="K98" s="257">
        <f t="shared" si="15"/>
        <v>0</v>
      </c>
      <c r="L98" s="257">
        <f t="shared" si="15"/>
        <v>0</v>
      </c>
      <c r="M98" s="257">
        <f t="shared" si="15"/>
        <v>0</v>
      </c>
      <c r="N98" s="257">
        <f t="shared" si="15"/>
        <v>0</v>
      </c>
      <c r="O98" s="257">
        <f t="shared" si="15"/>
        <v>19.767736903803151</v>
      </c>
      <c r="P98" s="257">
        <f t="shared" si="15"/>
        <v>0</v>
      </c>
      <c r="Q98" s="257">
        <f t="shared" si="15"/>
        <v>0</v>
      </c>
      <c r="R98" s="257">
        <f t="shared" si="11"/>
        <v>72.359593144981488</v>
      </c>
      <c r="U98" s="506"/>
      <c r="V98" s="256" t="s">
        <v>47</v>
      </c>
      <c r="W98" s="257">
        <f t="shared" ref="W98:AK98" si="16">W97+W96</f>
        <v>0</v>
      </c>
      <c r="X98" s="257">
        <f t="shared" si="16"/>
        <v>0</v>
      </c>
      <c r="Y98" s="257">
        <f t="shared" si="16"/>
        <v>49.842963731925245</v>
      </c>
      <c r="Z98" s="257">
        <f t="shared" si="16"/>
        <v>0</v>
      </c>
      <c r="AA98" s="257">
        <f t="shared" si="16"/>
        <v>0</v>
      </c>
      <c r="AB98" s="257">
        <f t="shared" si="16"/>
        <v>0</v>
      </c>
      <c r="AC98" s="257">
        <f t="shared" si="16"/>
        <v>0</v>
      </c>
      <c r="AD98" s="257">
        <f t="shared" si="16"/>
        <v>0</v>
      </c>
      <c r="AE98" s="257">
        <f t="shared" si="16"/>
        <v>5.9896451612903218E-2</v>
      </c>
      <c r="AF98" s="257">
        <f t="shared" si="16"/>
        <v>0</v>
      </c>
      <c r="AG98" s="257">
        <f t="shared" si="16"/>
        <v>0</v>
      </c>
      <c r="AH98" s="257">
        <f t="shared" si="16"/>
        <v>0.60147624520754006</v>
      </c>
      <c r="AI98" s="257">
        <f t="shared" si="16"/>
        <v>13.718343469771096</v>
      </c>
      <c r="AJ98" s="257">
        <f t="shared" si="16"/>
        <v>0</v>
      </c>
      <c r="AK98" s="257">
        <f t="shared" si="16"/>
        <v>0</v>
      </c>
      <c r="AL98" s="257">
        <f t="shared" si="12"/>
        <v>64.222679898516787</v>
      </c>
    </row>
    <row r="107" spans="1:38" ht="14.4" customHeight="1">
      <c r="A107" s="506">
        <v>2030</v>
      </c>
      <c r="B107" s="510" t="s">
        <v>12</v>
      </c>
      <c r="C107" s="509" t="s">
        <v>14</v>
      </c>
      <c r="D107" s="509" t="s">
        <v>15</v>
      </c>
      <c r="E107" s="509" t="s">
        <v>16</v>
      </c>
      <c r="F107" s="509" t="s">
        <v>17</v>
      </c>
      <c r="G107" s="509" t="s">
        <v>382</v>
      </c>
      <c r="H107" s="509" t="s">
        <v>18</v>
      </c>
      <c r="I107" s="509" t="s">
        <v>19</v>
      </c>
      <c r="J107" s="509"/>
      <c r="K107" s="509"/>
      <c r="L107" s="509"/>
      <c r="M107" s="509"/>
      <c r="N107" s="509"/>
      <c r="O107" s="501" t="s">
        <v>383</v>
      </c>
      <c r="P107" s="501" t="s">
        <v>21</v>
      </c>
      <c r="Q107" s="501" t="s">
        <v>384</v>
      </c>
      <c r="R107" s="501" t="s">
        <v>23</v>
      </c>
      <c r="U107" s="506">
        <v>2030</v>
      </c>
      <c r="V107" s="507" t="s">
        <v>12</v>
      </c>
      <c r="W107" s="501" t="s">
        <v>14</v>
      </c>
      <c r="X107" s="501" t="s">
        <v>15</v>
      </c>
      <c r="Y107" s="501" t="s">
        <v>16</v>
      </c>
      <c r="Z107" s="501" t="s">
        <v>17</v>
      </c>
      <c r="AA107" s="501" t="s">
        <v>382</v>
      </c>
      <c r="AB107" s="501" t="s">
        <v>18</v>
      </c>
      <c r="AC107" s="503" t="s">
        <v>19</v>
      </c>
      <c r="AD107" s="504"/>
      <c r="AE107" s="504"/>
      <c r="AF107" s="504"/>
      <c r="AG107" s="504"/>
      <c r="AH107" s="505"/>
      <c r="AI107" s="501" t="s">
        <v>383</v>
      </c>
      <c r="AJ107" s="501" t="s">
        <v>21</v>
      </c>
      <c r="AK107" s="501" t="s">
        <v>384</v>
      </c>
      <c r="AL107" s="501" t="s">
        <v>23</v>
      </c>
    </row>
    <row r="108" spans="1:38" ht="45.6">
      <c r="A108" s="506"/>
      <c r="B108" s="510"/>
      <c r="C108" s="509"/>
      <c r="D108" s="509"/>
      <c r="E108" s="509"/>
      <c r="F108" s="509"/>
      <c r="G108" s="509"/>
      <c r="H108" s="509"/>
      <c r="I108" s="249" t="s">
        <v>371</v>
      </c>
      <c r="J108" s="249" t="s">
        <v>7</v>
      </c>
      <c r="K108" s="249" t="s">
        <v>372</v>
      </c>
      <c r="L108" s="249" t="s">
        <v>385</v>
      </c>
      <c r="M108" s="250" t="s">
        <v>386</v>
      </c>
      <c r="N108" s="249" t="s">
        <v>387</v>
      </c>
      <c r="O108" s="501"/>
      <c r="P108" s="501"/>
      <c r="Q108" s="501"/>
      <c r="R108" s="501"/>
      <c r="U108" s="506"/>
      <c r="V108" s="508"/>
      <c r="W108" s="502"/>
      <c r="X108" s="502"/>
      <c r="Y108" s="502"/>
      <c r="Z108" s="502"/>
      <c r="AA108" s="502"/>
      <c r="AB108" s="502"/>
      <c r="AC108" s="249" t="s">
        <v>371</v>
      </c>
      <c r="AD108" s="249" t="s">
        <v>7</v>
      </c>
      <c r="AE108" s="249" t="s">
        <v>372</v>
      </c>
      <c r="AF108" s="249" t="s">
        <v>385</v>
      </c>
      <c r="AG108" s="250" t="s">
        <v>386</v>
      </c>
      <c r="AH108" s="249" t="s">
        <v>387</v>
      </c>
      <c r="AI108" s="502"/>
      <c r="AJ108" s="502"/>
      <c r="AK108" s="502"/>
      <c r="AL108" s="502"/>
    </row>
    <row r="109" spans="1:38" ht="14.4" customHeight="1">
      <c r="A109" s="506"/>
      <c r="B109" s="251" t="s">
        <v>24</v>
      </c>
      <c r="C109" s="252">
        <v>0</v>
      </c>
      <c r="D109" s="253">
        <v>0</v>
      </c>
      <c r="E109" s="253">
        <v>0</v>
      </c>
      <c r="F109" s="252">
        <v>0</v>
      </c>
      <c r="G109" s="253">
        <v>0</v>
      </c>
      <c r="H109" s="253">
        <f>H115</f>
        <v>8.2750000000000004</v>
      </c>
      <c r="I109" s="253">
        <f>$I$27</f>
        <v>0</v>
      </c>
      <c r="J109" s="253">
        <f>J115</f>
        <v>0</v>
      </c>
      <c r="K109" s="253">
        <v>0</v>
      </c>
      <c r="L109" s="253">
        <f>L115</f>
        <v>1.3333333333333337</v>
      </c>
      <c r="M109" s="253">
        <v>0</v>
      </c>
      <c r="N109" s="253">
        <f>N115</f>
        <v>0</v>
      </c>
      <c r="O109" s="254">
        <v>0</v>
      </c>
      <c r="P109" s="253">
        <v>0</v>
      </c>
      <c r="Q109" s="253">
        <v>0</v>
      </c>
      <c r="R109" s="255">
        <f>SUM(C109:Q109)</f>
        <v>9.6083333333333343</v>
      </c>
      <c r="U109" s="506"/>
      <c r="V109" s="251" t="s">
        <v>24</v>
      </c>
      <c r="W109" s="252">
        <v>0</v>
      </c>
      <c r="X109" s="253">
        <v>0</v>
      </c>
      <c r="Y109" s="253">
        <v>0</v>
      </c>
      <c r="Z109" s="252">
        <v>0</v>
      </c>
      <c r="AA109" s="253">
        <v>0</v>
      </c>
      <c r="AB109" s="253">
        <f>AB115</f>
        <v>5.9897897532946063</v>
      </c>
      <c r="AC109" s="253">
        <f>IF((AC115-$AC$27)&gt;0,$AC$27+(AC115-$AC$27)*0.5,AC115)</f>
        <v>3.6192083101477981</v>
      </c>
      <c r="AD109" s="253">
        <f>AD115</f>
        <v>0</v>
      </c>
      <c r="AE109" s="253">
        <f>IF((AE115-$AE$27)&gt;0,$AE$27+(AE115-AE112-AE113-$AE$27)*0.5,AE115-AE112-AE$72)</f>
        <v>0.20545589169213146</v>
      </c>
      <c r="AF109" s="253">
        <f>AF115</f>
        <v>0.96512221603941317</v>
      </c>
      <c r="AG109" s="253">
        <v>0</v>
      </c>
      <c r="AH109" s="253">
        <f>AH115</f>
        <v>0.55965089399160117</v>
      </c>
      <c r="AI109" s="254">
        <v>0</v>
      </c>
      <c r="AJ109" s="253">
        <v>0</v>
      </c>
      <c r="AK109" s="253">
        <v>0</v>
      </c>
      <c r="AL109" s="255">
        <f>SUM(W109:AK109)</f>
        <v>11.339227065165552</v>
      </c>
    </row>
    <row r="110" spans="1:38" ht="14.4" customHeight="1">
      <c r="A110" s="506"/>
      <c r="B110" s="251" t="s">
        <v>28</v>
      </c>
      <c r="C110" s="252">
        <f>C115</f>
        <v>0</v>
      </c>
      <c r="D110" s="253">
        <f>D115</f>
        <v>0</v>
      </c>
      <c r="E110" s="253">
        <f>E115-E113</f>
        <v>67.713503384451613</v>
      </c>
      <c r="F110" s="252">
        <v>0</v>
      </c>
      <c r="G110" s="253">
        <v>0</v>
      </c>
      <c r="H110" s="253">
        <v>0</v>
      </c>
      <c r="I110" s="253">
        <f>I115-$I$27</f>
        <v>10</v>
      </c>
      <c r="J110" s="253">
        <v>0</v>
      </c>
      <c r="K110" s="253">
        <f>K115</f>
        <v>0</v>
      </c>
      <c r="L110" s="253">
        <v>0</v>
      </c>
      <c r="M110" s="253">
        <v>0</v>
      </c>
      <c r="N110" s="253">
        <v>0</v>
      </c>
      <c r="O110" s="254">
        <v>0</v>
      </c>
      <c r="P110" s="253">
        <v>0</v>
      </c>
      <c r="Q110" s="253">
        <v>0</v>
      </c>
      <c r="R110" s="255">
        <f t="shared" ref="R110:R115" si="17">SUM(C110:Q110)</f>
        <v>77.713503384451613</v>
      </c>
      <c r="U110" s="506"/>
      <c r="V110" s="251" t="s">
        <v>28</v>
      </c>
      <c r="W110" s="252">
        <f>W115</f>
        <v>0</v>
      </c>
      <c r="X110" s="253">
        <f>X115</f>
        <v>0</v>
      </c>
      <c r="Y110" s="253">
        <f>Y115-Y112-Y113</f>
        <v>57.007373981073179</v>
      </c>
      <c r="Z110" s="252">
        <v>0</v>
      </c>
      <c r="AA110" s="253">
        <v>0</v>
      </c>
      <c r="AB110" s="253">
        <v>0</v>
      </c>
      <c r="AC110" s="253">
        <f>IF((AC115-$AC$27)&gt;0,(AC115-$AC$27)*0.5,0)</f>
        <v>3.6192083101477981</v>
      </c>
      <c r="AD110" s="253">
        <v>0</v>
      </c>
      <c r="AE110" s="253">
        <f>IF((AE115-AE112-AE113-$AE$27)&gt;0,(AE115-AE112-AE113-$AE$27)*0.5,0)</f>
        <v>0.20545589169213146</v>
      </c>
      <c r="AF110" s="253">
        <v>0</v>
      </c>
      <c r="AG110" s="253">
        <v>0</v>
      </c>
      <c r="AH110" s="253">
        <v>0</v>
      </c>
      <c r="AI110" s="254">
        <v>0</v>
      </c>
      <c r="AJ110" s="253">
        <v>0</v>
      </c>
      <c r="AK110" s="253">
        <v>0</v>
      </c>
      <c r="AL110" s="255">
        <f t="shared" ref="AL110:AL115" si="18">SUM(W110:AK110)</f>
        <v>60.832038182913109</v>
      </c>
    </row>
    <row r="111" spans="1:38" ht="14.4" customHeight="1">
      <c r="A111" s="506"/>
      <c r="B111" s="251" t="s">
        <v>29</v>
      </c>
      <c r="C111" s="252">
        <v>0</v>
      </c>
      <c r="D111" s="253">
        <v>0</v>
      </c>
      <c r="E111" s="253">
        <v>0</v>
      </c>
      <c r="F111" s="252">
        <v>0</v>
      </c>
      <c r="G111" s="253">
        <v>0</v>
      </c>
      <c r="H111" s="253">
        <v>0</v>
      </c>
      <c r="I111" s="253">
        <v>0</v>
      </c>
      <c r="J111" s="253">
        <v>0</v>
      </c>
      <c r="K111" s="253">
        <v>0</v>
      </c>
      <c r="L111" s="253">
        <v>0</v>
      </c>
      <c r="M111" s="253">
        <v>0</v>
      </c>
      <c r="N111" s="253">
        <v>0</v>
      </c>
      <c r="O111" s="254">
        <v>0</v>
      </c>
      <c r="P111" s="253">
        <v>0</v>
      </c>
      <c r="Q111" s="253">
        <v>0</v>
      </c>
      <c r="R111" s="255">
        <f t="shared" si="17"/>
        <v>0</v>
      </c>
      <c r="U111" s="506"/>
      <c r="V111" s="251" t="s">
        <v>29</v>
      </c>
      <c r="W111" s="252">
        <v>0</v>
      </c>
      <c r="X111" s="253">
        <v>0</v>
      </c>
      <c r="Y111" s="253">
        <v>0</v>
      </c>
      <c r="Z111" s="252">
        <v>0</v>
      </c>
      <c r="AA111" s="253">
        <v>0</v>
      </c>
      <c r="AB111" s="253">
        <v>0</v>
      </c>
      <c r="AC111" s="253">
        <v>0</v>
      </c>
      <c r="AD111" s="253">
        <v>0</v>
      </c>
      <c r="AE111" s="253">
        <v>0</v>
      </c>
      <c r="AF111" s="253">
        <v>0</v>
      </c>
      <c r="AG111" s="253">
        <v>0</v>
      </c>
      <c r="AH111" s="253">
        <v>0</v>
      </c>
      <c r="AI111" s="254">
        <v>0</v>
      </c>
      <c r="AJ111" s="253">
        <v>0</v>
      </c>
      <c r="AK111" s="253">
        <v>0</v>
      </c>
      <c r="AL111" s="255">
        <f t="shared" si="18"/>
        <v>0</v>
      </c>
    </row>
    <row r="112" spans="1:38" ht="14.4" customHeight="1">
      <c r="A112" s="506"/>
      <c r="B112" s="251" t="s">
        <v>30</v>
      </c>
      <c r="C112" s="252">
        <v>0</v>
      </c>
      <c r="D112" s="253">
        <v>0</v>
      </c>
      <c r="E112" s="253">
        <v>0</v>
      </c>
      <c r="F112" s="252">
        <v>0</v>
      </c>
      <c r="G112" s="253">
        <v>0</v>
      </c>
      <c r="H112" s="253">
        <v>0</v>
      </c>
      <c r="I112" s="253">
        <v>0</v>
      </c>
      <c r="J112" s="253">
        <v>0</v>
      </c>
      <c r="K112" s="253">
        <v>0</v>
      </c>
      <c r="L112" s="253">
        <v>0</v>
      </c>
      <c r="M112" s="253">
        <v>0</v>
      </c>
      <c r="N112" s="253">
        <v>0</v>
      </c>
      <c r="O112" s="254">
        <v>0</v>
      </c>
      <c r="P112" s="253">
        <v>0</v>
      </c>
      <c r="Q112" s="253">
        <v>0</v>
      </c>
      <c r="R112" s="255">
        <f t="shared" si="17"/>
        <v>0</v>
      </c>
      <c r="U112" s="506"/>
      <c r="V112" s="251" t="s">
        <v>30</v>
      </c>
      <c r="W112" s="252">
        <v>0</v>
      </c>
      <c r="X112" s="253">
        <v>0</v>
      </c>
      <c r="Y112" s="253">
        <f>-Transports!$E$172-Transports!$E$171</f>
        <v>0</v>
      </c>
      <c r="Z112" s="252">
        <v>0</v>
      </c>
      <c r="AA112" s="253">
        <v>0</v>
      </c>
      <c r="AB112" s="253">
        <v>0</v>
      </c>
      <c r="AC112" s="253">
        <v>0</v>
      </c>
      <c r="AD112" s="253">
        <v>0</v>
      </c>
      <c r="AE112" s="253">
        <f>-Transports!$E$170</f>
        <v>0</v>
      </c>
      <c r="AF112" s="253">
        <v>0</v>
      </c>
      <c r="AG112" s="253">
        <v>0</v>
      </c>
      <c r="AH112" s="253">
        <v>0</v>
      </c>
      <c r="AI112" s="254">
        <v>0</v>
      </c>
      <c r="AJ112" s="253">
        <v>0</v>
      </c>
      <c r="AK112" s="253">
        <v>0</v>
      </c>
      <c r="AL112" s="255">
        <f t="shared" si="18"/>
        <v>0</v>
      </c>
    </row>
    <row r="113" spans="1:38" ht="14.4" customHeight="1">
      <c r="A113" s="506"/>
      <c r="B113" s="251" t="s">
        <v>31</v>
      </c>
      <c r="C113" s="252">
        <v>0</v>
      </c>
      <c r="D113" s="253">
        <v>0</v>
      </c>
      <c r="E113" s="253">
        <f>-Transports!$E$202</f>
        <v>-1.5408677728721911</v>
      </c>
      <c r="F113" s="252">
        <v>0</v>
      </c>
      <c r="G113" s="253">
        <v>0</v>
      </c>
      <c r="H113" s="253">
        <v>0</v>
      </c>
      <c r="I113" s="253">
        <v>0</v>
      </c>
      <c r="J113" s="253">
        <v>0</v>
      </c>
      <c r="K113" s="253">
        <v>0</v>
      </c>
      <c r="L113" s="253">
        <v>0</v>
      </c>
      <c r="M113" s="253">
        <v>0</v>
      </c>
      <c r="N113" s="253">
        <v>0</v>
      </c>
      <c r="O113" s="254">
        <v>0</v>
      </c>
      <c r="P113" s="253">
        <v>0</v>
      </c>
      <c r="Q113" s="253">
        <v>0</v>
      </c>
      <c r="R113" s="255">
        <f t="shared" si="17"/>
        <v>-1.5408677728721911</v>
      </c>
      <c r="U113" s="506"/>
      <c r="V113" s="251" t="s">
        <v>31</v>
      </c>
      <c r="W113" s="252">
        <v>0</v>
      </c>
      <c r="X113" s="253">
        <v>0</v>
      </c>
      <c r="Y113" s="253">
        <f>-Transports!$E$234</f>
        <v>-1.4173718488406675</v>
      </c>
      <c r="Z113" s="252">
        <v>0</v>
      </c>
      <c r="AA113" s="253">
        <v>0</v>
      </c>
      <c r="AB113" s="253">
        <v>0</v>
      </c>
      <c r="AC113" s="253">
        <v>0</v>
      </c>
      <c r="AD113" s="253">
        <v>0</v>
      </c>
      <c r="AE113" s="253">
        <f>-Transports!$E$233-Transports!$E$232</f>
        <v>-7.4598518360035143E-2</v>
      </c>
      <c r="AF113" s="253">
        <v>0</v>
      </c>
      <c r="AG113" s="253">
        <v>0</v>
      </c>
      <c r="AH113" s="253">
        <v>0</v>
      </c>
      <c r="AI113" s="254">
        <v>0</v>
      </c>
      <c r="AJ113" s="253">
        <v>0</v>
      </c>
      <c r="AK113" s="253">
        <v>0</v>
      </c>
      <c r="AL113" s="255">
        <f t="shared" si="18"/>
        <v>-1.4919703672007025</v>
      </c>
    </row>
    <row r="114" spans="1:38" ht="14.4" customHeight="1">
      <c r="A114" s="506"/>
      <c r="B114" s="251" t="s">
        <v>32</v>
      </c>
      <c r="C114" s="252">
        <v>0</v>
      </c>
      <c r="D114" s="253">
        <v>0</v>
      </c>
      <c r="E114" s="253">
        <v>0</v>
      </c>
      <c r="F114" s="252">
        <v>0</v>
      </c>
      <c r="G114" s="253">
        <v>0</v>
      </c>
      <c r="H114" s="253">
        <v>0</v>
      </c>
      <c r="I114" s="253">
        <v>0</v>
      </c>
      <c r="J114" s="253">
        <v>0</v>
      </c>
      <c r="K114" s="253">
        <v>0</v>
      </c>
      <c r="L114" s="253">
        <v>0</v>
      </c>
      <c r="M114" s="253">
        <v>0</v>
      </c>
      <c r="N114" s="253">
        <v>0</v>
      </c>
      <c r="O114" s="254">
        <v>0</v>
      </c>
      <c r="P114" s="253">
        <v>0</v>
      </c>
      <c r="Q114" s="253">
        <v>0</v>
      </c>
      <c r="R114" s="255">
        <f t="shared" si="17"/>
        <v>0</v>
      </c>
      <c r="U114" s="506"/>
      <c r="V114" s="251" t="s">
        <v>32</v>
      </c>
      <c r="W114" s="252">
        <v>0</v>
      </c>
      <c r="X114" s="253">
        <v>0</v>
      </c>
      <c r="Y114" s="253">
        <v>0</v>
      </c>
      <c r="Z114" s="252">
        <v>0</v>
      </c>
      <c r="AA114" s="253">
        <v>0</v>
      </c>
      <c r="AB114" s="253">
        <v>0</v>
      </c>
      <c r="AC114" s="253">
        <v>0</v>
      </c>
      <c r="AD114" s="253">
        <v>0</v>
      </c>
      <c r="AE114" s="253">
        <v>0</v>
      </c>
      <c r="AF114" s="253">
        <v>0</v>
      </c>
      <c r="AG114" s="253">
        <v>0</v>
      </c>
      <c r="AH114" s="253">
        <v>0</v>
      </c>
      <c r="AI114" s="254">
        <v>0</v>
      </c>
      <c r="AJ114" s="253">
        <v>0</v>
      </c>
      <c r="AK114" s="253">
        <v>0</v>
      </c>
      <c r="AL114" s="255">
        <f t="shared" si="18"/>
        <v>0</v>
      </c>
    </row>
    <row r="115" spans="1:38" ht="14.4" customHeight="1">
      <c r="A115" s="506"/>
      <c r="B115" s="256" t="s">
        <v>388</v>
      </c>
      <c r="C115" s="257">
        <f>C139+C137</f>
        <v>0</v>
      </c>
      <c r="D115" s="257">
        <f>D129+D139</f>
        <v>0</v>
      </c>
      <c r="E115" s="257">
        <f>E129+E139</f>
        <v>66.172635611579423</v>
      </c>
      <c r="F115" s="257">
        <f>SUM(F109:F114)</f>
        <v>0</v>
      </c>
      <c r="G115" s="257">
        <f>SUM(G109:G114)</f>
        <v>0</v>
      </c>
      <c r="H115" s="257">
        <f>H129</f>
        <v>8.2750000000000004</v>
      </c>
      <c r="I115" s="257">
        <f>I129+I137</f>
        <v>10</v>
      </c>
      <c r="J115" s="257">
        <f>J129+J139</f>
        <v>0</v>
      </c>
      <c r="K115" s="257">
        <f>K129+K139</f>
        <v>0</v>
      </c>
      <c r="L115" s="257">
        <f>L129+L139</f>
        <v>1.3333333333333337</v>
      </c>
      <c r="M115" s="257">
        <f>SUM(M109:M114)</f>
        <v>0</v>
      </c>
      <c r="N115" s="257">
        <f>N129+N139</f>
        <v>0</v>
      </c>
      <c r="O115" s="257">
        <f>SUM(O109:O114)</f>
        <v>0</v>
      </c>
      <c r="P115" s="257">
        <f>SUM(P109:P114)</f>
        <v>0</v>
      </c>
      <c r="Q115" s="257">
        <f>SUM(Q109:Q114)</f>
        <v>0</v>
      </c>
      <c r="R115" s="257">
        <f t="shared" si="17"/>
        <v>85.780968944912757</v>
      </c>
      <c r="U115" s="506"/>
      <c r="V115" s="256" t="s">
        <v>388</v>
      </c>
      <c r="W115" s="257">
        <f>W139+W137</f>
        <v>0</v>
      </c>
      <c r="X115" s="257">
        <f>X129+X139</f>
        <v>0</v>
      </c>
      <c r="Y115" s="257">
        <f>Y129+Y139</f>
        <v>55.590002132232513</v>
      </c>
      <c r="Z115" s="257">
        <f>SUM(Z109:Z114)</f>
        <v>0</v>
      </c>
      <c r="AA115" s="257">
        <f>SUM(AA109:AA114)</f>
        <v>0</v>
      </c>
      <c r="AB115" s="257">
        <f>AB129</f>
        <v>5.9897897532946063</v>
      </c>
      <c r="AC115" s="257">
        <f>AC129+AC137</f>
        <v>7.2384166202955962</v>
      </c>
      <c r="AD115" s="257">
        <f>AD129+AD139</f>
        <v>0</v>
      </c>
      <c r="AE115" s="257">
        <f>AE129+AE139</f>
        <v>0.33631326502422781</v>
      </c>
      <c r="AF115" s="257">
        <f>AF129+AF139</f>
        <v>0.96512221603941317</v>
      </c>
      <c r="AG115" s="257">
        <f>SUM(AG109:AG114)</f>
        <v>0</v>
      </c>
      <c r="AH115" s="257">
        <f>AH129+AH139</f>
        <v>0.55965089399160117</v>
      </c>
      <c r="AI115" s="257">
        <f>SUM(AI109:AI114)</f>
        <v>0</v>
      </c>
      <c r="AJ115" s="257">
        <f>SUM(AJ109:AJ114)</f>
        <v>0</v>
      </c>
      <c r="AK115" s="257">
        <f>SUM(AK109:AK114)</f>
        <v>0</v>
      </c>
      <c r="AL115" s="257">
        <f t="shared" si="18"/>
        <v>70.679294880877976</v>
      </c>
    </row>
    <row r="116" spans="1:38" ht="14.4" customHeight="1">
      <c r="A116" s="506"/>
      <c r="B116" s="258"/>
      <c r="C116" s="259"/>
      <c r="D116" s="227"/>
      <c r="E116" s="260"/>
      <c r="F116" s="259"/>
      <c r="G116" s="259"/>
      <c r="H116" s="259"/>
      <c r="I116" s="259"/>
      <c r="J116" s="259"/>
      <c r="K116" s="259"/>
      <c r="L116" s="259"/>
      <c r="M116" s="259"/>
      <c r="N116" s="259"/>
      <c r="O116" s="268"/>
      <c r="P116" s="259"/>
      <c r="Q116" s="259"/>
      <c r="R116" s="259"/>
      <c r="U116" s="506"/>
      <c r="V116" s="258"/>
      <c r="W116" s="259"/>
      <c r="X116" s="227"/>
      <c r="Y116" s="260"/>
      <c r="Z116" s="259"/>
      <c r="AA116" s="259"/>
      <c r="AB116" s="259"/>
      <c r="AC116" s="259"/>
      <c r="AD116" s="259"/>
      <c r="AE116" s="259"/>
      <c r="AF116" s="259"/>
      <c r="AG116" s="259"/>
      <c r="AH116" s="259"/>
      <c r="AI116" s="268"/>
      <c r="AJ116" s="259"/>
      <c r="AK116" s="259"/>
      <c r="AL116" s="259"/>
    </row>
    <row r="117" spans="1:38" ht="14.4" customHeight="1">
      <c r="A117" s="506"/>
      <c r="B117" s="261" t="s">
        <v>389</v>
      </c>
      <c r="C117" s="252">
        <v>0</v>
      </c>
      <c r="D117" s="262">
        <v>0</v>
      </c>
      <c r="E117" s="262">
        <v>0</v>
      </c>
      <c r="F117" s="252">
        <v>0</v>
      </c>
      <c r="G117" s="252">
        <v>0</v>
      </c>
      <c r="H117" s="252">
        <v>0</v>
      </c>
      <c r="I117" s="252">
        <v>0</v>
      </c>
      <c r="J117" s="252">
        <v>0</v>
      </c>
      <c r="K117" s="252">
        <v>0</v>
      </c>
      <c r="L117" s="252">
        <v>0</v>
      </c>
      <c r="M117" s="252">
        <v>0</v>
      </c>
      <c r="N117" s="252">
        <v>0</v>
      </c>
      <c r="O117" s="252">
        <v>0</v>
      </c>
      <c r="P117" s="252">
        <v>0</v>
      </c>
      <c r="Q117" s="252">
        <v>0</v>
      </c>
      <c r="R117" s="263">
        <f>SUM(C117:Q117)</f>
        <v>0</v>
      </c>
      <c r="U117" s="506"/>
      <c r="V117" s="261" t="s">
        <v>389</v>
      </c>
      <c r="W117" s="252">
        <v>0</v>
      </c>
      <c r="X117" s="262">
        <v>0</v>
      </c>
      <c r="Y117" s="262">
        <v>0</v>
      </c>
      <c r="Z117" s="252">
        <v>0</v>
      </c>
      <c r="AA117" s="252">
        <v>0</v>
      </c>
      <c r="AB117" s="252">
        <v>0</v>
      </c>
      <c r="AC117" s="252">
        <v>0</v>
      </c>
      <c r="AD117" s="252">
        <v>0</v>
      </c>
      <c r="AE117" s="252">
        <v>0</v>
      </c>
      <c r="AF117" s="252">
        <v>0</v>
      </c>
      <c r="AG117" s="252">
        <v>0</v>
      </c>
      <c r="AH117" s="252">
        <v>0</v>
      </c>
      <c r="AI117" s="252">
        <v>0</v>
      </c>
      <c r="AJ117" s="252">
        <v>0</v>
      </c>
      <c r="AK117" s="252">
        <v>0</v>
      </c>
      <c r="AL117" s="263">
        <f>SUM(W117:AK117)</f>
        <v>0</v>
      </c>
    </row>
    <row r="118" spans="1:38" ht="14.4" customHeight="1">
      <c r="A118" s="506"/>
      <c r="B118" s="261" t="s">
        <v>390</v>
      </c>
      <c r="C118" s="252">
        <f>$O$118*'Prod Energie'!$E$32/(-$J$13)</f>
        <v>0</v>
      </c>
      <c r="D118" s="252">
        <v>0</v>
      </c>
      <c r="E118" s="252">
        <f>O118*'Prod Energie'!$E$33/(-$K$13)</f>
        <v>16.888664753466347</v>
      </c>
      <c r="F118" s="252">
        <v>0</v>
      </c>
      <c r="G118" s="252">
        <v>0</v>
      </c>
      <c r="H118" s="252">
        <f>(O118)*('Prod Energie'!$E$34+'Prod Energie'!$E$39+'Prod Energie'!$E$40)/(-$L$13)</f>
        <v>8.2750000000000004</v>
      </c>
      <c r="I118" s="264">
        <f>(O118)*('Prod Energie'!$E$38)/(-$M$13)</f>
        <v>10</v>
      </c>
      <c r="J118" s="264">
        <f>(O118)*('Prod Energie'!$E$36)/(-$N$13)</f>
        <v>0</v>
      </c>
      <c r="K118" s="264">
        <f>(O118)*('Prod Energie'!$E$37)/(-$O$13)</f>
        <v>0</v>
      </c>
      <c r="L118" s="264">
        <f>(O118)*('Prod Energie'!$E$41)/(-P13)</f>
        <v>1.3333333333333337</v>
      </c>
      <c r="M118" s="264">
        <v>0</v>
      </c>
      <c r="N118" s="264">
        <f>(O118)*('Prod Energie'!$E$35)/(-$Q$13)</f>
        <v>0</v>
      </c>
      <c r="O118" s="252">
        <f>O129/(1+$F$17+$F$18)</f>
        <v>-20.50601249152519</v>
      </c>
      <c r="P118" s="252">
        <v>0</v>
      </c>
      <c r="Q118" s="252">
        <v>0</v>
      </c>
      <c r="R118" s="263">
        <f t="shared" ref="R118:R129" si="19">SUM(C118:Q118)</f>
        <v>15.990985595274495</v>
      </c>
      <c r="U118" s="506"/>
      <c r="V118" s="261" t="s">
        <v>390</v>
      </c>
      <c r="W118" s="252">
        <f>AI118*'Prod Energie'!$E$53/(-$J$13)</f>
        <v>0</v>
      </c>
      <c r="X118" s="252">
        <v>0</v>
      </c>
      <c r="Y118" s="252">
        <f>AI118*'Prod Energie'!$E$54/(-$K$13)</f>
        <v>12.224719164609125</v>
      </c>
      <c r="Z118" s="252">
        <v>0</v>
      </c>
      <c r="AA118" s="252">
        <v>0</v>
      </c>
      <c r="AB118" s="252">
        <f>(AI118)*('Prod Energie'!$E$55+'Prod Energie'!$E$60+'Prod Energie'!$E$61)/(-$L$13)</f>
        <v>5.9897897532946063</v>
      </c>
      <c r="AC118" s="264">
        <f>(AI118)*'Prod Energie'!$E$59/(-$M$13)</f>
        <v>7.2384166202955962</v>
      </c>
      <c r="AD118" s="264">
        <f>(AI118)*('Prod Energie'!$E$57)/(-$N$13)</f>
        <v>0</v>
      </c>
      <c r="AE118" s="264">
        <f>(AI118)*('Prod Energie'!$E$58)/(-$O$13)</f>
        <v>0</v>
      </c>
      <c r="AF118" s="264">
        <f>(AI118)*('Prod Energie'!$E$62)/(-$P$13)</f>
        <v>0.96512221603941317</v>
      </c>
      <c r="AG118" s="264">
        <v>0</v>
      </c>
      <c r="AH118" s="264">
        <f>(AI118)*'Prod Energie'!$E$56/(-$Q$13)</f>
        <v>0</v>
      </c>
      <c r="AI118" s="252">
        <f>AI129/(1+$F$17+$F$18)</f>
        <v>-14.843106163464507</v>
      </c>
      <c r="AJ118" s="252">
        <v>0</v>
      </c>
      <c r="AK118" s="252">
        <v>0</v>
      </c>
      <c r="AL118" s="263">
        <f t="shared" ref="AL118:AL129" si="20">SUM(W118:AK118)</f>
        <v>11.574941590774236</v>
      </c>
    </row>
    <row r="119" spans="1:38" ht="14.4" customHeight="1">
      <c r="A119" s="506"/>
      <c r="B119" s="261" t="s">
        <v>391</v>
      </c>
      <c r="C119" s="252">
        <v>0</v>
      </c>
      <c r="D119" s="252">
        <v>0</v>
      </c>
      <c r="E119" s="252">
        <v>0</v>
      </c>
      <c r="F119" s="252">
        <v>0</v>
      </c>
      <c r="G119" s="252">
        <v>0</v>
      </c>
      <c r="H119" s="252">
        <v>0</v>
      </c>
      <c r="I119" s="264">
        <f t="shared" ref="I119:N119" si="21">$P$119*$L$18*V$17</f>
        <v>0</v>
      </c>
      <c r="J119" s="264">
        <f t="shared" si="21"/>
        <v>0</v>
      </c>
      <c r="K119" s="264">
        <f t="shared" si="21"/>
        <v>0</v>
      </c>
      <c r="L119" s="264">
        <f t="shared" si="21"/>
        <v>0</v>
      </c>
      <c r="M119" s="264">
        <f t="shared" si="21"/>
        <v>0</v>
      </c>
      <c r="N119" s="264">
        <f t="shared" si="21"/>
        <v>0</v>
      </c>
      <c r="O119" s="252">
        <v>0</v>
      </c>
      <c r="P119" s="252">
        <f>P129/(1+$R$18)</f>
        <v>0</v>
      </c>
      <c r="Q119" s="252">
        <v>0</v>
      </c>
      <c r="R119" s="263">
        <f t="shared" si="19"/>
        <v>0</v>
      </c>
      <c r="U119" s="506"/>
      <c r="V119" s="261" t="s">
        <v>391</v>
      </c>
      <c r="W119" s="252">
        <v>0</v>
      </c>
      <c r="X119" s="252">
        <v>0</v>
      </c>
      <c r="Y119" s="252">
        <v>0</v>
      </c>
      <c r="Z119" s="252">
        <v>0</v>
      </c>
      <c r="AA119" s="252">
        <v>0</v>
      </c>
      <c r="AB119" s="252">
        <v>0</v>
      </c>
      <c r="AC119" s="264">
        <f t="shared" ref="AC119:AH119" si="22">$AJ$119*$L$18*V$17</f>
        <v>0</v>
      </c>
      <c r="AD119" s="264">
        <f t="shared" si="22"/>
        <v>0</v>
      </c>
      <c r="AE119" s="264">
        <f t="shared" si="22"/>
        <v>0</v>
      </c>
      <c r="AF119" s="264">
        <f t="shared" si="22"/>
        <v>0</v>
      </c>
      <c r="AG119" s="264">
        <f t="shared" si="22"/>
        <v>0</v>
      </c>
      <c r="AH119" s="264">
        <f t="shared" si="22"/>
        <v>0</v>
      </c>
      <c r="AI119" s="252">
        <v>0</v>
      </c>
      <c r="AJ119" s="252">
        <f>AJ129/(1+$R$18)</f>
        <v>0</v>
      </c>
      <c r="AK119" s="252">
        <v>0</v>
      </c>
      <c r="AL119" s="263">
        <f t="shared" si="20"/>
        <v>0</v>
      </c>
    </row>
    <row r="120" spans="1:38" ht="14.4" customHeight="1">
      <c r="A120" s="506"/>
      <c r="B120" s="261" t="s">
        <v>392</v>
      </c>
      <c r="C120" s="252">
        <v>0</v>
      </c>
      <c r="D120" s="252">
        <v>0</v>
      </c>
      <c r="E120" s="252">
        <v>0</v>
      </c>
      <c r="F120" s="252">
        <v>0</v>
      </c>
      <c r="G120" s="252">
        <v>0</v>
      </c>
      <c r="H120" s="252">
        <v>0</v>
      </c>
      <c r="I120" s="265">
        <v>0</v>
      </c>
      <c r="J120" s="265">
        <v>0</v>
      </c>
      <c r="K120" s="265">
        <v>0</v>
      </c>
      <c r="L120" s="265">
        <v>0</v>
      </c>
      <c r="M120" s="265">
        <v>0</v>
      </c>
      <c r="N120" s="265">
        <v>0</v>
      </c>
      <c r="O120" s="252">
        <v>0</v>
      </c>
      <c r="P120" s="252">
        <v>0</v>
      </c>
      <c r="Q120" s="252">
        <v>0</v>
      </c>
      <c r="R120" s="263">
        <f t="shared" si="19"/>
        <v>0</v>
      </c>
      <c r="U120" s="506"/>
      <c r="V120" s="261" t="s">
        <v>392</v>
      </c>
      <c r="W120" s="252">
        <v>0</v>
      </c>
      <c r="X120" s="252">
        <v>0</v>
      </c>
      <c r="Y120" s="252">
        <v>0</v>
      </c>
      <c r="Z120" s="252">
        <v>0</v>
      </c>
      <c r="AA120" s="252">
        <v>0</v>
      </c>
      <c r="AB120" s="252">
        <v>0</v>
      </c>
      <c r="AC120" s="265">
        <v>0</v>
      </c>
      <c r="AD120" s="265">
        <v>0</v>
      </c>
      <c r="AE120" s="265">
        <v>0</v>
      </c>
      <c r="AF120" s="265">
        <v>0</v>
      </c>
      <c r="AG120" s="265">
        <v>0</v>
      </c>
      <c r="AH120" s="265">
        <v>0</v>
      </c>
      <c r="AI120" s="252">
        <v>0</v>
      </c>
      <c r="AJ120" s="252">
        <v>0</v>
      </c>
      <c r="AK120" s="252">
        <v>0</v>
      </c>
      <c r="AL120" s="263">
        <f t="shared" si="20"/>
        <v>0</v>
      </c>
    </row>
    <row r="121" spans="1:38" ht="14.4" customHeight="1">
      <c r="A121" s="506"/>
      <c r="B121" s="261" t="s">
        <v>393</v>
      </c>
      <c r="C121" s="252">
        <v>0</v>
      </c>
      <c r="D121" s="252">
        <v>0</v>
      </c>
      <c r="E121" s="252">
        <v>0</v>
      </c>
      <c r="F121" s="252">
        <v>0</v>
      </c>
      <c r="G121" s="252">
        <v>0</v>
      </c>
      <c r="H121" s="252">
        <v>0</v>
      </c>
      <c r="I121" s="252">
        <v>0</v>
      </c>
      <c r="J121" s="252">
        <v>0</v>
      </c>
      <c r="K121" s="252">
        <v>0</v>
      </c>
      <c r="L121" s="252">
        <v>0</v>
      </c>
      <c r="M121" s="252">
        <v>0</v>
      </c>
      <c r="N121" s="252">
        <v>0</v>
      </c>
      <c r="O121" s="252">
        <v>0</v>
      </c>
      <c r="P121" s="252">
        <v>0</v>
      </c>
      <c r="Q121" s="252">
        <v>0</v>
      </c>
      <c r="R121" s="263">
        <f t="shared" si="19"/>
        <v>0</v>
      </c>
      <c r="U121" s="506"/>
      <c r="V121" s="261" t="s">
        <v>393</v>
      </c>
      <c r="W121" s="252">
        <v>0</v>
      </c>
      <c r="X121" s="252">
        <v>0</v>
      </c>
      <c r="Y121" s="252">
        <v>0</v>
      </c>
      <c r="Z121" s="252">
        <v>0</v>
      </c>
      <c r="AA121" s="252">
        <v>0</v>
      </c>
      <c r="AB121" s="252">
        <v>0</v>
      </c>
      <c r="AC121" s="252">
        <v>0</v>
      </c>
      <c r="AD121" s="252">
        <v>0</v>
      </c>
      <c r="AE121" s="252">
        <v>0</v>
      </c>
      <c r="AF121" s="252">
        <v>0</v>
      </c>
      <c r="AG121" s="252">
        <v>0</v>
      </c>
      <c r="AH121" s="252">
        <v>0</v>
      </c>
      <c r="AI121" s="252">
        <v>0</v>
      </c>
      <c r="AJ121" s="252">
        <v>0</v>
      </c>
      <c r="AK121" s="252">
        <v>0</v>
      </c>
      <c r="AL121" s="263">
        <f t="shared" si="20"/>
        <v>0</v>
      </c>
    </row>
    <row r="122" spans="1:38" ht="14.4" customHeight="1">
      <c r="A122" s="506"/>
      <c r="B122" s="261" t="s">
        <v>36</v>
      </c>
      <c r="C122" s="252">
        <v>0</v>
      </c>
      <c r="D122" s="252">
        <v>0</v>
      </c>
      <c r="E122" s="252">
        <v>0</v>
      </c>
      <c r="F122" s="252">
        <v>0</v>
      </c>
      <c r="G122" s="252">
        <v>0</v>
      </c>
      <c r="H122" s="252">
        <v>0</v>
      </c>
      <c r="I122" s="252">
        <v>0</v>
      </c>
      <c r="J122" s="252">
        <v>0</v>
      </c>
      <c r="K122" s="252">
        <v>0</v>
      </c>
      <c r="L122" s="252">
        <v>0</v>
      </c>
      <c r="M122" s="252">
        <v>0</v>
      </c>
      <c r="N122" s="252">
        <v>0</v>
      </c>
      <c r="O122" s="252">
        <v>0</v>
      </c>
      <c r="P122" s="252">
        <v>0</v>
      </c>
      <c r="Q122" s="252">
        <v>0</v>
      </c>
      <c r="R122" s="263">
        <f t="shared" si="19"/>
        <v>0</v>
      </c>
      <c r="U122" s="506"/>
      <c r="V122" s="261" t="s">
        <v>36</v>
      </c>
      <c r="W122" s="252">
        <v>0</v>
      </c>
      <c r="X122" s="252">
        <v>0</v>
      </c>
      <c r="Y122" s="252">
        <v>0</v>
      </c>
      <c r="Z122" s="252">
        <v>0</v>
      </c>
      <c r="AA122" s="252">
        <v>0</v>
      </c>
      <c r="AB122" s="252">
        <v>0</v>
      </c>
      <c r="AC122" s="252">
        <v>0</v>
      </c>
      <c r="AD122" s="252">
        <v>0</v>
      </c>
      <c r="AE122" s="252">
        <v>0</v>
      </c>
      <c r="AF122" s="252">
        <v>0</v>
      </c>
      <c r="AG122" s="252">
        <v>0</v>
      </c>
      <c r="AH122" s="252">
        <v>0</v>
      </c>
      <c r="AI122" s="252">
        <v>0</v>
      </c>
      <c r="AJ122" s="252">
        <v>0</v>
      </c>
      <c r="AK122" s="252">
        <v>0</v>
      </c>
      <c r="AL122" s="263">
        <f t="shared" si="20"/>
        <v>0</v>
      </c>
    </row>
    <row r="123" spans="1:38" ht="14.4" customHeight="1">
      <c r="A123" s="506"/>
      <c r="B123" s="261" t="s">
        <v>394</v>
      </c>
      <c r="C123" s="252">
        <v>0</v>
      </c>
      <c r="D123" s="252">
        <v>0</v>
      </c>
      <c r="E123" s="252">
        <v>0</v>
      </c>
      <c r="F123" s="252">
        <v>0</v>
      </c>
      <c r="G123" s="252">
        <v>0</v>
      </c>
      <c r="H123" s="252">
        <v>0</v>
      </c>
      <c r="I123" s="252">
        <v>0</v>
      </c>
      <c r="J123" s="252">
        <v>0</v>
      </c>
      <c r="K123" s="252">
        <v>0</v>
      </c>
      <c r="L123" s="252">
        <v>0</v>
      </c>
      <c r="M123" s="252">
        <v>0</v>
      </c>
      <c r="N123" s="252">
        <v>0</v>
      </c>
      <c r="O123" s="252">
        <v>0</v>
      </c>
      <c r="P123" s="252">
        <v>0</v>
      </c>
      <c r="Q123" s="252">
        <v>0</v>
      </c>
      <c r="R123" s="263">
        <f t="shared" si="19"/>
        <v>0</v>
      </c>
      <c r="U123" s="506"/>
      <c r="V123" s="261" t="s">
        <v>394</v>
      </c>
      <c r="W123" s="252">
        <v>0</v>
      </c>
      <c r="X123" s="252">
        <v>0</v>
      </c>
      <c r="Y123" s="252">
        <v>0</v>
      </c>
      <c r="Z123" s="252">
        <v>0</v>
      </c>
      <c r="AA123" s="252">
        <v>0</v>
      </c>
      <c r="AB123" s="252">
        <v>0</v>
      </c>
      <c r="AC123" s="252">
        <v>0</v>
      </c>
      <c r="AD123" s="252">
        <v>0</v>
      </c>
      <c r="AE123" s="252">
        <v>0</v>
      </c>
      <c r="AF123" s="252">
        <v>0</v>
      </c>
      <c r="AG123" s="252">
        <v>0</v>
      </c>
      <c r="AH123" s="252">
        <v>0</v>
      </c>
      <c r="AI123" s="252">
        <v>0</v>
      </c>
      <c r="AJ123" s="252">
        <v>0</v>
      </c>
      <c r="AK123" s="252">
        <v>0</v>
      </c>
      <c r="AL123" s="263">
        <f t="shared" si="20"/>
        <v>0</v>
      </c>
    </row>
    <row r="124" spans="1:38" ht="14.4" customHeight="1">
      <c r="A124" s="506"/>
      <c r="B124" s="261" t="s">
        <v>395</v>
      </c>
      <c r="C124" s="252">
        <v>0</v>
      </c>
      <c r="D124" s="252">
        <v>0</v>
      </c>
      <c r="E124" s="252">
        <v>0</v>
      </c>
      <c r="F124" s="252">
        <v>0</v>
      </c>
      <c r="G124" s="252">
        <v>0</v>
      </c>
      <c r="H124" s="252">
        <v>0</v>
      </c>
      <c r="I124" s="252">
        <v>0</v>
      </c>
      <c r="J124" s="252">
        <v>0</v>
      </c>
      <c r="K124" s="252">
        <v>0</v>
      </c>
      <c r="L124" s="252">
        <v>0</v>
      </c>
      <c r="M124" s="252">
        <v>0</v>
      </c>
      <c r="N124" s="252">
        <v>0</v>
      </c>
      <c r="O124" s="252">
        <v>0</v>
      </c>
      <c r="P124" s="252">
        <v>0</v>
      </c>
      <c r="Q124" s="252">
        <v>0</v>
      </c>
      <c r="R124" s="263">
        <f t="shared" si="19"/>
        <v>0</v>
      </c>
      <c r="U124" s="506"/>
      <c r="V124" s="261" t="s">
        <v>395</v>
      </c>
      <c r="W124" s="252">
        <v>0</v>
      </c>
      <c r="X124" s="252">
        <v>0</v>
      </c>
      <c r="Y124" s="252">
        <v>0</v>
      </c>
      <c r="Z124" s="252">
        <v>0</v>
      </c>
      <c r="AA124" s="252">
        <v>0</v>
      </c>
      <c r="AB124" s="252">
        <v>0</v>
      </c>
      <c r="AC124" s="252">
        <v>0</v>
      </c>
      <c r="AD124" s="252">
        <v>0</v>
      </c>
      <c r="AE124" s="252">
        <v>0</v>
      </c>
      <c r="AF124" s="252">
        <v>0</v>
      </c>
      <c r="AG124" s="252">
        <v>0</v>
      </c>
      <c r="AH124" s="252">
        <v>0</v>
      </c>
      <c r="AI124" s="252">
        <v>0</v>
      </c>
      <c r="AJ124" s="252">
        <v>0</v>
      </c>
      <c r="AK124" s="252">
        <v>0</v>
      </c>
      <c r="AL124" s="263">
        <f t="shared" si="20"/>
        <v>0</v>
      </c>
    </row>
    <row r="125" spans="1:38" ht="14.4" customHeight="1">
      <c r="A125" s="506"/>
      <c r="B125" s="261" t="s">
        <v>396</v>
      </c>
      <c r="C125" s="252">
        <v>0</v>
      </c>
      <c r="D125" s="252">
        <v>0</v>
      </c>
      <c r="E125" s="252">
        <v>0</v>
      </c>
      <c r="F125" s="252">
        <v>0</v>
      </c>
      <c r="G125" s="252">
        <v>0</v>
      </c>
      <c r="H125" s="252">
        <v>0</v>
      </c>
      <c r="I125" s="252">
        <v>0</v>
      </c>
      <c r="J125" s="252">
        <v>0</v>
      </c>
      <c r="K125" s="252">
        <v>0</v>
      </c>
      <c r="L125" s="252">
        <v>0</v>
      </c>
      <c r="M125" s="252">
        <v>0</v>
      </c>
      <c r="N125" s="252">
        <v>0</v>
      </c>
      <c r="O125" s="252">
        <v>0</v>
      </c>
      <c r="P125" s="252">
        <v>0</v>
      </c>
      <c r="Q125" s="252">
        <v>0</v>
      </c>
      <c r="R125" s="263">
        <f t="shared" si="19"/>
        <v>0</v>
      </c>
      <c r="U125" s="506"/>
      <c r="V125" s="261" t="s">
        <v>396</v>
      </c>
      <c r="W125" s="252">
        <v>0</v>
      </c>
      <c r="X125" s="252">
        <v>0</v>
      </c>
      <c r="Y125" s="252">
        <v>0</v>
      </c>
      <c r="Z125" s="252">
        <v>0</v>
      </c>
      <c r="AA125" s="252">
        <v>0</v>
      </c>
      <c r="AB125" s="252">
        <v>0</v>
      </c>
      <c r="AC125" s="252">
        <v>0</v>
      </c>
      <c r="AD125" s="252">
        <v>0</v>
      </c>
      <c r="AE125" s="252">
        <v>0</v>
      </c>
      <c r="AF125" s="252">
        <v>0</v>
      </c>
      <c r="AG125" s="252">
        <v>0</v>
      </c>
      <c r="AH125" s="252">
        <v>0</v>
      </c>
      <c r="AI125" s="252">
        <v>0</v>
      </c>
      <c r="AJ125" s="252">
        <v>0</v>
      </c>
      <c r="AK125" s="252">
        <v>0</v>
      </c>
      <c r="AL125" s="263">
        <f t="shared" si="20"/>
        <v>0</v>
      </c>
    </row>
    <row r="126" spans="1:38" ht="14.4" customHeight="1">
      <c r="A126" s="506"/>
      <c r="B126" s="261" t="s">
        <v>37</v>
      </c>
      <c r="C126" s="252">
        <v>0</v>
      </c>
      <c r="D126" s="252">
        <v>0</v>
      </c>
      <c r="E126" s="252">
        <v>0</v>
      </c>
      <c r="F126" s="252">
        <v>0</v>
      </c>
      <c r="G126" s="252">
        <v>0</v>
      </c>
      <c r="H126" s="252">
        <v>0</v>
      </c>
      <c r="I126" s="252">
        <v>0</v>
      </c>
      <c r="J126" s="252">
        <v>0</v>
      </c>
      <c r="K126" s="252">
        <v>0</v>
      </c>
      <c r="L126" s="252">
        <v>0</v>
      </c>
      <c r="M126" s="252">
        <v>0</v>
      </c>
      <c r="N126" s="252">
        <v>0</v>
      </c>
      <c r="O126" s="252">
        <v>0</v>
      </c>
      <c r="P126" s="252">
        <v>0</v>
      </c>
      <c r="Q126" s="252">
        <v>0</v>
      </c>
      <c r="R126" s="263">
        <f t="shared" si="19"/>
        <v>0</v>
      </c>
      <c r="U126" s="506"/>
      <c r="V126" s="261" t="s">
        <v>37</v>
      </c>
      <c r="W126" s="252">
        <v>0</v>
      </c>
      <c r="X126" s="252">
        <v>0</v>
      </c>
      <c r="Y126" s="252">
        <v>0</v>
      </c>
      <c r="Z126" s="252">
        <v>0</v>
      </c>
      <c r="AA126" s="252">
        <v>0</v>
      </c>
      <c r="AB126" s="252">
        <v>0</v>
      </c>
      <c r="AC126" s="252">
        <v>0</v>
      </c>
      <c r="AD126" s="252">
        <v>0</v>
      </c>
      <c r="AE126" s="252">
        <v>0</v>
      </c>
      <c r="AF126" s="252">
        <v>0</v>
      </c>
      <c r="AG126" s="252">
        <v>0</v>
      </c>
      <c r="AH126" s="252">
        <v>0</v>
      </c>
      <c r="AI126" s="252">
        <v>0</v>
      </c>
      <c r="AJ126" s="252">
        <v>0</v>
      </c>
      <c r="AK126" s="252">
        <v>0</v>
      </c>
      <c r="AL126" s="263">
        <f t="shared" si="20"/>
        <v>0</v>
      </c>
    </row>
    <row r="127" spans="1:38" ht="14.4" customHeight="1">
      <c r="A127" s="506"/>
      <c r="B127" s="261" t="s">
        <v>38</v>
      </c>
      <c r="C127" s="252">
        <v>0</v>
      </c>
      <c r="D127" s="252">
        <v>0</v>
      </c>
      <c r="E127" s="252">
        <v>0</v>
      </c>
      <c r="F127" s="252">
        <v>0</v>
      </c>
      <c r="G127" s="252">
        <v>0</v>
      </c>
      <c r="H127" s="252">
        <v>0</v>
      </c>
      <c r="I127" s="252">
        <v>0</v>
      </c>
      <c r="J127" s="252">
        <v>0</v>
      </c>
      <c r="K127" s="252">
        <v>0</v>
      </c>
      <c r="L127" s="252">
        <v>0</v>
      </c>
      <c r="M127" s="252">
        <v>0</v>
      </c>
      <c r="N127" s="252">
        <v>0</v>
      </c>
      <c r="O127" s="252">
        <f>O118*$F$17</f>
        <v>0.13198532372881205</v>
      </c>
      <c r="P127" s="252">
        <v>0</v>
      </c>
      <c r="Q127" s="252">
        <v>0</v>
      </c>
      <c r="R127" s="263">
        <f t="shared" si="19"/>
        <v>0.13198532372881205</v>
      </c>
      <c r="U127" s="506"/>
      <c r="V127" s="261" t="s">
        <v>38</v>
      </c>
      <c r="W127" s="252">
        <v>0</v>
      </c>
      <c r="X127" s="252">
        <v>0</v>
      </c>
      <c r="Y127" s="252">
        <v>0</v>
      </c>
      <c r="Z127" s="252">
        <v>0</v>
      </c>
      <c r="AA127" s="252">
        <v>0</v>
      </c>
      <c r="AB127" s="252">
        <v>0</v>
      </c>
      <c r="AC127" s="252">
        <v>0</v>
      </c>
      <c r="AD127" s="252">
        <v>0</v>
      </c>
      <c r="AE127" s="252">
        <v>0</v>
      </c>
      <c r="AF127" s="252">
        <v>0</v>
      </c>
      <c r="AG127" s="252">
        <v>0</v>
      </c>
      <c r="AH127" s="252">
        <v>0</v>
      </c>
      <c r="AI127" s="252">
        <f>AI118*$F$17</f>
        <v>9.5536476091372807E-2</v>
      </c>
      <c r="AJ127" s="252">
        <v>0</v>
      </c>
      <c r="AK127" s="252">
        <v>0</v>
      </c>
      <c r="AL127" s="263">
        <f t="shared" si="20"/>
        <v>9.5536476091372807E-2</v>
      </c>
    </row>
    <row r="128" spans="1:38" ht="14.4" customHeight="1">
      <c r="A128" s="506"/>
      <c r="B128" s="261" t="s">
        <v>39</v>
      </c>
      <c r="C128" s="252">
        <v>0</v>
      </c>
      <c r="D128" s="252">
        <v>0</v>
      </c>
      <c r="E128" s="252">
        <v>0</v>
      </c>
      <c r="F128" s="252">
        <v>0</v>
      </c>
      <c r="G128" s="252">
        <v>0</v>
      </c>
      <c r="H128" s="252">
        <v>0</v>
      </c>
      <c r="I128" s="252">
        <v>0</v>
      </c>
      <c r="J128" s="252">
        <v>0</v>
      </c>
      <c r="K128" s="252">
        <v>0</v>
      </c>
      <c r="L128" s="252">
        <v>0</v>
      </c>
      <c r="M128" s="252">
        <v>0</v>
      </c>
      <c r="N128" s="252">
        <v>0</v>
      </c>
      <c r="O128" s="252">
        <f>O118*$F$18</f>
        <v>0.93125112097298324</v>
      </c>
      <c r="P128" s="252">
        <f>P119*$R$18</f>
        <v>0</v>
      </c>
      <c r="Q128" s="252">
        <v>0</v>
      </c>
      <c r="R128" s="263">
        <f t="shared" si="19"/>
        <v>0.93125112097298324</v>
      </c>
      <c r="S128" s="268"/>
      <c r="U128" s="506"/>
      <c r="V128" s="261" t="s">
        <v>39</v>
      </c>
      <c r="W128" s="252">
        <v>0</v>
      </c>
      <c r="X128" s="252">
        <v>0</v>
      </c>
      <c r="Y128" s="252">
        <v>0</v>
      </c>
      <c r="Z128" s="252">
        <v>0</v>
      </c>
      <c r="AA128" s="252">
        <v>0</v>
      </c>
      <c r="AB128" s="252">
        <v>0</v>
      </c>
      <c r="AC128" s="252">
        <v>0</v>
      </c>
      <c r="AD128" s="252">
        <v>0</v>
      </c>
      <c r="AE128" s="252">
        <v>0</v>
      </c>
      <c r="AF128" s="252">
        <v>0</v>
      </c>
      <c r="AG128" s="252">
        <v>0</v>
      </c>
      <c r="AH128" s="252">
        <v>0</v>
      </c>
      <c r="AI128" s="252">
        <f>AI118*$F$18</f>
        <v>0.67407835917197467</v>
      </c>
      <c r="AJ128" s="252">
        <f>AJ119*$R$18</f>
        <v>0</v>
      </c>
      <c r="AK128" s="252">
        <v>0</v>
      </c>
      <c r="AL128" s="263">
        <f t="shared" si="20"/>
        <v>0.67407835917197467</v>
      </c>
    </row>
    <row r="129" spans="1:38" ht="14.4" customHeight="1">
      <c r="A129" s="506"/>
      <c r="B129" s="256" t="s">
        <v>40</v>
      </c>
      <c r="C129" s="257">
        <f>SUM(C117:C128)</f>
        <v>0</v>
      </c>
      <c r="D129" s="257">
        <f t="shared" ref="D129:N129" si="23">SUM(D117:D128)</f>
        <v>0</v>
      </c>
      <c r="E129" s="257">
        <f t="shared" si="23"/>
        <v>16.888664753466347</v>
      </c>
      <c r="F129" s="257">
        <f t="shared" si="23"/>
        <v>0</v>
      </c>
      <c r="G129" s="257">
        <f t="shared" si="23"/>
        <v>0</v>
      </c>
      <c r="H129" s="257">
        <f t="shared" si="23"/>
        <v>8.2750000000000004</v>
      </c>
      <c r="I129" s="257">
        <f t="shared" si="23"/>
        <v>10</v>
      </c>
      <c r="J129" s="257">
        <f t="shared" si="23"/>
        <v>0</v>
      </c>
      <c r="K129" s="257">
        <f t="shared" si="23"/>
        <v>0</v>
      </c>
      <c r="L129" s="257">
        <f t="shared" si="23"/>
        <v>1.3333333333333337</v>
      </c>
      <c r="M129" s="257">
        <f t="shared" si="23"/>
        <v>0</v>
      </c>
      <c r="N129" s="257">
        <f t="shared" si="23"/>
        <v>0</v>
      </c>
      <c r="O129" s="257">
        <f>-O139</f>
        <v>-19.442776046823393</v>
      </c>
      <c r="P129" s="257">
        <f>-P131</f>
        <v>0</v>
      </c>
      <c r="Q129" s="257">
        <f>SUM(Q117:Q128)</f>
        <v>0</v>
      </c>
      <c r="R129" s="257">
        <f t="shared" si="19"/>
        <v>17.054222039976292</v>
      </c>
      <c r="U129" s="506"/>
      <c r="V129" s="256" t="s">
        <v>40</v>
      </c>
      <c r="W129" s="257">
        <f>SUM(W117:W128)</f>
        <v>0</v>
      </c>
      <c r="X129" s="257">
        <f t="shared" ref="X129:AH129" si="24">SUM(X117:X128)</f>
        <v>0</v>
      </c>
      <c r="Y129" s="257">
        <f t="shared" si="24"/>
        <v>12.224719164609125</v>
      </c>
      <c r="Z129" s="257">
        <f t="shared" si="24"/>
        <v>0</v>
      </c>
      <c r="AA129" s="257">
        <f t="shared" si="24"/>
        <v>0</v>
      </c>
      <c r="AB129" s="257">
        <f t="shared" si="24"/>
        <v>5.9897897532946063</v>
      </c>
      <c r="AC129" s="257">
        <f t="shared" si="24"/>
        <v>7.2384166202955962</v>
      </c>
      <c r="AD129" s="257">
        <f t="shared" si="24"/>
        <v>0</v>
      </c>
      <c r="AE129" s="257">
        <f t="shared" si="24"/>
        <v>0</v>
      </c>
      <c r="AF129" s="257">
        <f t="shared" si="24"/>
        <v>0.96512221603941317</v>
      </c>
      <c r="AG129" s="257">
        <f t="shared" si="24"/>
        <v>0</v>
      </c>
      <c r="AH129" s="257">
        <f t="shared" si="24"/>
        <v>0</v>
      </c>
      <c r="AI129" s="257">
        <f>-AI139</f>
        <v>-14.073491328201158</v>
      </c>
      <c r="AJ129" s="257">
        <f>-AJ131</f>
        <v>0</v>
      </c>
      <c r="AK129" s="257">
        <f>SUM(AK117:AK128)</f>
        <v>0</v>
      </c>
      <c r="AL129" s="257">
        <f t="shared" si="20"/>
        <v>12.344556426037585</v>
      </c>
    </row>
    <row r="130" spans="1:38" ht="14.4" customHeight="1">
      <c r="A130" s="506"/>
      <c r="B130" s="258"/>
      <c r="C130" s="259"/>
      <c r="D130" s="259"/>
      <c r="E130" s="266"/>
      <c r="F130" s="259"/>
      <c r="G130" s="259"/>
      <c r="H130" s="259"/>
      <c r="I130" s="266"/>
      <c r="J130" s="259"/>
      <c r="K130" s="259"/>
      <c r="L130" s="259"/>
      <c r="M130" s="267"/>
      <c r="N130" s="259"/>
      <c r="O130" s="259"/>
      <c r="P130" s="259"/>
      <c r="Q130" s="259"/>
      <c r="R130" s="259"/>
      <c r="U130" s="506"/>
      <c r="V130" s="258"/>
      <c r="W130" s="259"/>
      <c r="X130" s="259"/>
      <c r="Y130" s="266"/>
      <c r="Z130" s="259"/>
      <c r="AA130" s="259"/>
      <c r="AB130" s="259"/>
      <c r="AC130" s="266"/>
      <c r="AD130" s="259"/>
      <c r="AE130" s="259"/>
      <c r="AF130" s="259"/>
      <c r="AG130" s="267"/>
      <c r="AH130" s="259"/>
      <c r="AI130" s="259"/>
      <c r="AJ130" s="259"/>
      <c r="AK130" s="259"/>
      <c r="AL130" s="259"/>
    </row>
    <row r="131" spans="1:38" ht="14.4" customHeight="1">
      <c r="A131" s="506"/>
      <c r="B131" s="261" t="s">
        <v>41</v>
      </c>
      <c r="C131" s="252">
        <v>0</v>
      </c>
      <c r="D131" s="252">
        <v>0</v>
      </c>
      <c r="E131" s="252">
        <f>Industrie!$E$35</f>
        <v>0</v>
      </c>
      <c r="F131" s="252">
        <v>0</v>
      </c>
      <c r="G131" s="252">
        <v>0</v>
      </c>
      <c r="H131" s="252">
        <v>0</v>
      </c>
      <c r="I131" s="252">
        <v>0</v>
      </c>
      <c r="J131" s="252">
        <v>0</v>
      </c>
      <c r="K131" s="252">
        <v>0</v>
      </c>
      <c r="L131" s="252">
        <v>0</v>
      </c>
      <c r="M131" s="252">
        <v>0</v>
      </c>
      <c r="N131" s="252">
        <v>0</v>
      </c>
      <c r="O131" s="252">
        <f>Industrie!$E$36</f>
        <v>1.3501692516274275</v>
      </c>
      <c r="P131" s="252">
        <f>Industrie!$E$39</f>
        <v>0</v>
      </c>
      <c r="Q131" s="252">
        <v>0</v>
      </c>
      <c r="R131" s="263">
        <f>SUM(C131:Q131)</f>
        <v>1.3501692516274275</v>
      </c>
      <c r="U131" s="506"/>
      <c r="V131" s="261" t="s">
        <v>41</v>
      </c>
      <c r="W131" s="252">
        <v>0</v>
      </c>
      <c r="X131" s="252">
        <v>0</v>
      </c>
      <c r="Y131" s="252">
        <f>Industrie!$E$56</f>
        <v>0</v>
      </c>
      <c r="Z131" s="252">
        <v>0</v>
      </c>
      <c r="AA131" s="252">
        <v>0</v>
      </c>
      <c r="AB131" s="252">
        <v>0</v>
      </c>
      <c r="AC131" s="252">
        <f>Industrie!$E$62*$V$13/SUM($V$13:$AA$13)</f>
        <v>0</v>
      </c>
      <c r="AD131" s="252">
        <f>Industrie!$E$62*$W$13/SUM($V$13:$AA$13)</f>
        <v>0</v>
      </c>
      <c r="AE131" s="252">
        <f>Industrie!$E$62*$X$13/SUM($V$13:$AA$13)</f>
        <v>0</v>
      </c>
      <c r="AF131" s="252">
        <f>Industrie!$E$62*$Y$13/SUM($V$13:$AA$13)</f>
        <v>0</v>
      </c>
      <c r="AG131" s="252">
        <f>Industrie!$E$62*$Z$13/SUM($V$13:$AA$13)</f>
        <v>0</v>
      </c>
      <c r="AH131" s="252">
        <f>Industrie!$E$62*$AA$13/SUM($V$13:$AA$13)</f>
        <v>0</v>
      </c>
      <c r="AI131" s="252">
        <f>Industrie!$E$57</f>
        <v>1.1614164933731588</v>
      </c>
      <c r="AJ131" s="252">
        <f>Industrie!$E$63</f>
        <v>0</v>
      </c>
      <c r="AK131" s="252">
        <v>0</v>
      </c>
      <c r="AL131" s="263">
        <f>SUM(W131:AK131)</f>
        <v>1.1614164933731588</v>
      </c>
    </row>
    <row r="132" spans="1:38" ht="14.4" customHeight="1">
      <c r="A132" s="506"/>
      <c r="B132" s="261" t="s">
        <v>42</v>
      </c>
      <c r="C132" s="252">
        <v>0</v>
      </c>
      <c r="D132" s="252">
        <v>0</v>
      </c>
      <c r="E132" s="252">
        <f>Transports!$G$49+Transports!$E$203+Transports!$E$105</f>
        <v>46.10442476420365</v>
      </c>
      <c r="F132" s="252">
        <v>0</v>
      </c>
      <c r="G132" s="252">
        <v>0</v>
      </c>
      <c r="H132" s="252">
        <v>0</v>
      </c>
      <c r="I132" s="252">
        <v>0</v>
      </c>
      <c r="J132" s="252">
        <v>0</v>
      </c>
      <c r="K132" s="252">
        <v>0</v>
      </c>
      <c r="L132" s="252">
        <v>0</v>
      </c>
      <c r="M132" s="252">
        <v>0</v>
      </c>
      <c r="N132" s="252">
        <v>0</v>
      </c>
      <c r="O132" s="252">
        <f>Transports!$G$50+Transports!$E$106</f>
        <v>0.28356816691881648</v>
      </c>
      <c r="P132" s="252">
        <v>0</v>
      </c>
      <c r="Q132" s="252">
        <v>0</v>
      </c>
      <c r="R132" s="263">
        <f t="shared" ref="R132:R139" si="25">SUM(C132:Q132)</f>
        <v>46.387992931122469</v>
      </c>
      <c r="U132" s="506"/>
      <c r="V132" s="261" t="s">
        <v>42</v>
      </c>
      <c r="W132" s="252">
        <v>0</v>
      </c>
      <c r="X132" s="252">
        <v>0</v>
      </c>
      <c r="Y132" s="252">
        <f>Transports!$G$76+Transports!$E$150+Transports!$E$238</f>
        <v>41.191686790801398</v>
      </c>
      <c r="Z132" s="252">
        <v>0</v>
      </c>
      <c r="AA132" s="252">
        <v>0</v>
      </c>
      <c r="AB132" s="252">
        <v>0</v>
      </c>
      <c r="AC132" s="252">
        <v>0</v>
      </c>
      <c r="AD132" s="252">
        <v>0</v>
      </c>
      <c r="AE132" s="252">
        <f>Transports!$E$236+Transports!$E$237</f>
        <v>0.22650310373390528</v>
      </c>
      <c r="AF132" s="252">
        <v>0</v>
      </c>
      <c r="AG132" s="252">
        <v>0</v>
      </c>
      <c r="AH132" s="252">
        <v>0</v>
      </c>
      <c r="AI132" s="252">
        <f>Transports!$G$77+Transports!$E$151</f>
        <v>1.6053262963017014</v>
      </c>
      <c r="AJ132" s="252">
        <v>0</v>
      </c>
      <c r="AK132" s="252">
        <v>0</v>
      </c>
      <c r="AL132" s="263">
        <f t="shared" ref="AL132:AL139" si="26">SUM(W132:AK132)</f>
        <v>43.023516190837007</v>
      </c>
    </row>
    <row r="133" spans="1:38" ht="14.4" customHeight="1">
      <c r="A133" s="506"/>
      <c r="B133" s="261" t="s">
        <v>43</v>
      </c>
      <c r="C133" s="252">
        <v>0</v>
      </c>
      <c r="D133" s="252">
        <v>0</v>
      </c>
      <c r="E133" s="252">
        <f>'Résidentiel-tertiaire'!$E$172</f>
        <v>1.9576728065354658</v>
      </c>
      <c r="F133" s="252">
        <v>0</v>
      </c>
      <c r="G133" s="252">
        <v>0</v>
      </c>
      <c r="H133" s="252">
        <v>0</v>
      </c>
      <c r="I133" s="252">
        <v>0</v>
      </c>
      <c r="J133" s="252">
        <v>0</v>
      </c>
      <c r="K133" s="252">
        <v>0</v>
      </c>
      <c r="L133" s="252">
        <v>0</v>
      </c>
      <c r="M133" s="252">
        <v>0</v>
      </c>
      <c r="N133" s="252">
        <v>0</v>
      </c>
      <c r="O133" s="252">
        <f>'Résidentiel-tertiaire'!$E$174</f>
        <v>8.1135864513123988</v>
      </c>
      <c r="P133" s="252">
        <v>0</v>
      </c>
      <c r="Q133" s="252">
        <v>0</v>
      </c>
      <c r="R133" s="263">
        <f t="shared" si="25"/>
        <v>10.071259257847865</v>
      </c>
      <c r="U133" s="506"/>
      <c r="V133" s="261" t="s">
        <v>43</v>
      </c>
      <c r="W133" s="252">
        <v>0</v>
      </c>
      <c r="X133" s="252">
        <v>0</v>
      </c>
      <c r="Y133" s="252">
        <f>'Résidentiel-tertiaire'!$E$187</f>
        <v>1.3033333333333332</v>
      </c>
      <c r="Z133" s="252">
        <v>0</v>
      </c>
      <c r="AA133" s="252">
        <v>0</v>
      </c>
      <c r="AB133" s="252">
        <v>0</v>
      </c>
      <c r="AC133" s="252">
        <f>'Résidentiel-tertiaire'!$E$188*$V$14/SUM($V$14:$AA$14)</f>
        <v>0</v>
      </c>
      <c r="AD133" s="252">
        <f>'Résidentiel-tertiaire'!$E$188*$W$14/SUM($V$14:$AA$14)</f>
        <v>0</v>
      </c>
      <c r="AE133" s="252">
        <f>'Résidentiel-tertiaire'!$E$188*$X$14/SUM($V$14:$AA$14)</f>
        <v>0</v>
      </c>
      <c r="AF133" s="252">
        <f>'Résidentiel-tertiaire'!$E$188*$Y$14/SUM($V$14:$AA$14)</f>
        <v>0</v>
      </c>
      <c r="AG133" s="252">
        <f>'Résidentiel-tertiaire'!$E$188*$Z$14/SUM($V$14:$AA$14)</f>
        <v>0</v>
      </c>
      <c r="AH133" s="252">
        <f>'Résidentiel-tertiaire'!$E$188*$AA$14/SUM($V$14:$AA$14)</f>
        <v>0.55965089399160117</v>
      </c>
      <c r="AI133" s="252">
        <f>'Résidentiel-tertiaire'!$E$189</f>
        <v>6.7743977117702636</v>
      </c>
      <c r="AJ133" s="252">
        <v>0</v>
      </c>
      <c r="AK133" s="252">
        <v>0</v>
      </c>
      <c r="AL133" s="263">
        <f t="shared" si="26"/>
        <v>8.6373819390951976</v>
      </c>
    </row>
    <row r="134" spans="1:38" ht="14.4" customHeight="1">
      <c r="A134" s="506"/>
      <c r="B134" s="261" t="s">
        <v>44</v>
      </c>
      <c r="C134" s="252">
        <v>0</v>
      </c>
      <c r="D134" s="252">
        <v>0</v>
      </c>
      <c r="E134" s="252">
        <f>'Résidentiel-tertiaire'!$E$177</f>
        <v>0.88438425395970266</v>
      </c>
      <c r="F134" s="252">
        <v>0</v>
      </c>
      <c r="G134" s="252">
        <v>0</v>
      </c>
      <c r="H134" s="252">
        <v>0</v>
      </c>
      <c r="I134" s="252">
        <v>0</v>
      </c>
      <c r="J134" s="252">
        <v>0</v>
      </c>
      <c r="K134" s="252">
        <v>0</v>
      </c>
      <c r="L134" s="252">
        <v>0</v>
      </c>
      <c r="M134" s="252">
        <v>0</v>
      </c>
      <c r="N134" s="252">
        <v>0</v>
      </c>
      <c r="O134" s="252">
        <f>'Résidentiel-tertiaire'!$E$179</f>
        <v>9.6954521769647499</v>
      </c>
      <c r="P134" s="252">
        <v>0</v>
      </c>
      <c r="Q134" s="252">
        <v>0</v>
      </c>
      <c r="R134" s="263">
        <f t="shared" si="25"/>
        <v>10.579836430924452</v>
      </c>
      <c r="S134" s="268">
        <f>R129+R139</f>
        <v>85.780968944912772</v>
      </c>
      <c r="U134" s="506"/>
      <c r="V134" s="261" t="s">
        <v>44</v>
      </c>
      <c r="W134" s="252">
        <v>0</v>
      </c>
      <c r="X134" s="252">
        <v>0</v>
      </c>
      <c r="Y134" s="252">
        <f>'Résidentiel-tertiaire'!$E$192</f>
        <v>0.65592592592592591</v>
      </c>
      <c r="Z134" s="252">
        <v>0</v>
      </c>
      <c r="AA134" s="252">
        <v>0</v>
      </c>
      <c r="AB134" s="252">
        <v>0</v>
      </c>
      <c r="AC134" s="252">
        <f>'Résidentiel-tertiaire'!$E$193*$V$15/SUM($V$15:$AA$15)</f>
        <v>0</v>
      </c>
      <c r="AD134" s="252">
        <f>'Résidentiel-tertiaire'!$E$193*$W$15/SUM($V$15:$AA$15)</f>
        <v>0</v>
      </c>
      <c r="AE134" s="252">
        <f>'Résidentiel-tertiaire'!$E$193*$X$15/SUM($V$15:$AA$15)</f>
        <v>0</v>
      </c>
      <c r="AF134" s="252">
        <f>'Résidentiel-tertiaire'!$E$193*$Y$15/SUM($V$15:$AA$15)</f>
        <v>0</v>
      </c>
      <c r="AG134" s="252">
        <f>'Résidentiel-tertiaire'!$E$193*$Z$15/SUM($V$15:$AA$15)</f>
        <v>0</v>
      </c>
      <c r="AH134" s="252">
        <f>'Résidentiel-tertiaire'!$E$193*$AA$15/SUM($V$15:$AA$15)</f>
        <v>0</v>
      </c>
      <c r="AI134" s="252">
        <f>'Résidentiel-tertiaire'!$E$194</f>
        <v>4.5323508267560326</v>
      </c>
      <c r="AJ134" s="252">
        <v>0</v>
      </c>
      <c r="AK134" s="252">
        <v>0</v>
      </c>
      <c r="AL134" s="263">
        <f t="shared" si="26"/>
        <v>5.1882767526819586</v>
      </c>
    </row>
    <row r="135" spans="1:38" ht="14.4" customHeight="1">
      <c r="A135" s="506"/>
      <c r="B135" s="261" t="s">
        <v>4</v>
      </c>
      <c r="C135" s="252">
        <v>0</v>
      </c>
      <c r="D135" s="252">
        <v>0</v>
      </c>
      <c r="E135" s="252">
        <f>Agriculture!$M$27</f>
        <v>0.3374890334142675</v>
      </c>
      <c r="F135" s="252">
        <v>0</v>
      </c>
      <c r="G135" s="252">
        <v>0</v>
      </c>
      <c r="H135" s="252">
        <v>0</v>
      </c>
      <c r="I135" s="252">
        <v>0</v>
      </c>
      <c r="J135" s="252">
        <v>0</v>
      </c>
      <c r="K135" s="252">
        <v>0</v>
      </c>
      <c r="L135" s="252">
        <v>0</v>
      </c>
      <c r="M135" s="252">
        <v>0</v>
      </c>
      <c r="N135" s="252">
        <v>0</v>
      </c>
      <c r="O135" s="252">
        <f>Agriculture!$M$28</f>
        <v>0</v>
      </c>
      <c r="P135" s="252">
        <v>0</v>
      </c>
      <c r="Q135" s="252">
        <v>0</v>
      </c>
      <c r="R135" s="263">
        <f t="shared" si="25"/>
        <v>0.3374890334142675</v>
      </c>
      <c r="U135" s="506"/>
      <c r="V135" s="261" t="s">
        <v>4</v>
      </c>
      <c r="W135" s="252">
        <v>0</v>
      </c>
      <c r="X135" s="252">
        <v>0</v>
      </c>
      <c r="Y135" s="252">
        <f>Agriculture!$Q$43</f>
        <v>0.21433691756272399</v>
      </c>
      <c r="Z135" s="252">
        <v>0</v>
      </c>
      <c r="AA135" s="252">
        <v>0</v>
      </c>
      <c r="AB135" s="252">
        <v>0</v>
      </c>
      <c r="AC135" s="252">
        <v>0</v>
      </c>
      <c r="AD135" s="252">
        <v>0</v>
      </c>
      <c r="AE135" s="252">
        <f>Agriculture!$Q$45</f>
        <v>0.10981016129032255</v>
      </c>
      <c r="AF135" s="252">
        <v>0</v>
      </c>
      <c r="AG135" s="252">
        <v>0</v>
      </c>
      <c r="AH135" s="252">
        <v>0</v>
      </c>
      <c r="AI135" s="252">
        <f>Agriculture!$Q$44</f>
        <v>0</v>
      </c>
      <c r="AJ135" s="252">
        <v>0</v>
      </c>
      <c r="AK135" s="252">
        <v>0</v>
      </c>
      <c r="AL135" s="263">
        <f t="shared" si="26"/>
        <v>0.32414707885304656</v>
      </c>
    </row>
    <row r="136" spans="1:38" ht="14.4" customHeight="1">
      <c r="A136" s="506"/>
      <c r="B136" s="261" t="s">
        <v>397</v>
      </c>
      <c r="C136" s="252">
        <v>0</v>
      </c>
      <c r="D136" s="252">
        <v>0</v>
      </c>
      <c r="E136" s="252">
        <v>0</v>
      </c>
      <c r="F136" s="252">
        <v>0</v>
      </c>
      <c r="G136" s="252">
        <v>0</v>
      </c>
      <c r="H136" s="252">
        <v>0</v>
      </c>
      <c r="I136" s="252">
        <v>0</v>
      </c>
      <c r="J136" s="252">
        <v>0</v>
      </c>
      <c r="K136" s="252">
        <v>0</v>
      </c>
      <c r="L136" s="252">
        <v>0</v>
      </c>
      <c r="M136" s="252">
        <v>0</v>
      </c>
      <c r="N136" s="252">
        <v>0</v>
      </c>
      <c r="O136" s="252">
        <v>0</v>
      </c>
      <c r="P136" s="252">
        <v>0</v>
      </c>
      <c r="Q136" s="252">
        <v>0</v>
      </c>
      <c r="R136" s="263">
        <f t="shared" si="25"/>
        <v>0</v>
      </c>
      <c r="U136" s="506"/>
      <c r="V136" s="261" t="s">
        <v>397</v>
      </c>
      <c r="W136" s="252">
        <v>0</v>
      </c>
      <c r="X136" s="252">
        <v>0</v>
      </c>
      <c r="Y136" s="252">
        <v>0</v>
      </c>
      <c r="Z136" s="252">
        <v>0</v>
      </c>
      <c r="AA136" s="252">
        <v>0</v>
      </c>
      <c r="AB136" s="252">
        <v>0</v>
      </c>
      <c r="AC136" s="252">
        <v>0</v>
      </c>
      <c r="AD136" s="252">
        <v>0</v>
      </c>
      <c r="AE136" s="252">
        <v>0</v>
      </c>
      <c r="AF136" s="252">
        <v>0</v>
      </c>
      <c r="AG136" s="252">
        <v>0</v>
      </c>
      <c r="AH136" s="252">
        <v>0</v>
      </c>
      <c r="AI136" s="252">
        <v>0</v>
      </c>
      <c r="AJ136" s="252">
        <v>0</v>
      </c>
      <c r="AK136" s="252">
        <v>0</v>
      </c>
      <c r="AL136" s="263">
        <f t="shared" si="26"/>
        <v>0</v>
      </c>
    </row>
    <row r="137" spans="1:38" ht="14.4" customHeight="1">
      <c r="A137" s="506"/>
      <c r="B137" s="256" t="s">
        <v>45</v>
      </c>
      <c r="C137" s="257">
        <f>SUM(C131:C136)</f>
        <v>0</v>
      </c>
      <c r="D137" s="257">
        <f t="shared" ref="D137:Q137" si="27">SUM(D131:D136)</f>
        <v>0</v>
      </c>
      <c r="E137" s="257">
        <f t="shared" si="27"/>
        <v>49.283970858113079</v>
      </c>
      <c r="F137" s="257">
        <f t="shared" si="27"/>
        <v>0</v>
      </c>
      <c r="G137" s="257">
        <f t="shared" si="27"/>
        <v>0</v>
      </c>
      <c r="H137" s="257">
        <f t="shared" si="27"/>
        <v>0</v>
      </c>
      <c r="I137" s="257">
        <f t="shared" si="27"/>
        <v>0</v>
      </c>
      <c r="J137" s="257">
        <f t="shared" si="27"/>
        <v>0</v>
      </c>
      <c r="K137" s="257">
        <f t="shared" si="27"/>
        <v>0</v>
      </c>
      <c r="L137" s="257">
        <f t="shared" si="27"/>
        <v>0</v>
      </c>
      <c r="M137" s="257">
        <f t="shared" si="27"/>
        <v>0</v>
      </c>
      <c r="N137" s="257">
        <f t="shared" si="27"/>
        <v>0</v>
      </c>
      <c r="O137" s="257">
        <f t="shared" si="27"/>
        <v>19.442776046823393</v>
      </c>
      <c r="P137" s="257">
        <f t="shared" si="27"/>
        <v>0</v>
      </c>
      <c r="Q137" s="257">
        <f t="shared" si="27"/>
        <v>0</v>
      </c>
      <c r="R137" s="257">
        <f t="shared" si="25"/>
        <v>68.726746904936476</v>
      </c>
      <c r="U137" s="506"/>
      <c r="V137" s="256" t="s">
        <v>45</v>
      </c>
      <c r="W137" s="257">
        <f>SUM(W131:W136)</f>
        <v>0</v>
      </c>
      <c r="X137" s="257">
        <f t="shared" ref="X137:AK137" si="28">SUM(X131:X136)</f>
        <v>0</v>
      </c>
      <c r="Y137" s="257">
        <f t="shared" si="28"/>
        <v>43.365282967623386</v>
      </c>
      <c r="Z137" s="257">
        <f t="shared" si="28"/>
        <v>0</v>
      </c>
      <c r="AA137" s="257">
        <f t="shared" si="28"/>
        <v>0</v>
      </c>
      <c r="AB137" s="257">
        <f t="shared" si="28"/>
        <v>0</v>
      </c>
      <c r="AC137" s="257">
        <f t="shared" si="28"/>
        <v>0</v>
      </c>
      <c r="AD137" s="257">
        <f t="shared" si="28"/>
        <v>0</v>
      </c>
      <c r="AE137" s="257">
        <f t="shared" si="28"/>
        <v>0.33631326502422781</v>
      </c>
      <c r="AF137" s="257">
        <f t="shared" si="28"/>
        <v>0</v>
      </c>
      <c r="AG137" s="257">
        <f t="shared" si="28"/>
        <v>0</v>
      </c>
      <c r="AH137" s="257">
        <f t="shared" si="28"/>
        <v>0.55965089399160117</v>
      </c>
      <c r="AI137" s="257">
        <f t="shared" si="28"/>
        <v>14.073491328201158</v>
      </c>
      <c r="AJ137" s="257">
        <f t="shared" si="28"/>
        <v>0</v>
      </c>
      <c r="AK137" s="257">
        <f t="shared" si="28"/>
        <v>0</v>
      </c>
      <c r="AL137" s="257">
        <f t="shared" si="26"/>
        <v>58.334738454840377</v>
      </c>
    </row>
    <row r="138" spans="1:38" ht="14.4" customHeight="1">
      <c r="A138" s="506"/>
      <c r="B138" s="251" t="s">
        <v>46</v>
      </c>
      <c r="C138" s="252">
        <v>0</v>
      </c>
      <c r="D138" s="252">
        <v>0</v>
      </c>
      <c r="E138" s="252">
        <f>Industrie!$E$37</f>
        <v>0</v>
      </c>
      <c r="F138" s="252">
        <v>0</v>
      </c>
      <c r="G138" s="252">
        <v>0</v>
      </c>
      <c r="H138" s="252">
        <v>0</v>
      </c>
      <c r="I138" s="252">
        <v>0</v>
      </c>
      <c r="J138" s="252">
        <v>0</v>
      </c>
      <c r="K138" s="252">
        <v>0</v>
      </c>
      <c r="L138" s="252">
        <v>0</v>
      </c>
      <c r="M138" s="252">
        <v>0</v>
      </c>
      <c r="N138" s="252">
        <v>0</v>
      </c>
      <c r="O138" s="252">
        <v>0</v>
      </c>
      <c r="P138" s="252">
        <v>0</v>
      </c>
      <c r="Q138" s="252">
        <v>0</v>
      </c>
      <c r="R138" s="263">
        <f t="shared" si="25"/>
        <v>0</v>
      </c>
      <c r="U138" s="506"/>
      <c r="V138" s="251" t="s">
        <v>46</v>
      </c>
      <c r="W138" s="252">
        <v>0</v>
      </c>
      <c r="X138" s="252">
        <v>0</v>
      </c>
      <c r="Y138" s="252">
        <f>Industrie!$E$59</f>
        <v>0</v>
      </c>
      <c r="Z138" s="252">
        <v>0</v>
      </c>
      <c r="AA138" s="252">
        <v>0</v>
      </c>
      <c r="AB138" s="252">
        <v>0</v>
      </c>
      <c r="AC138" s="252">
        <v>0</v>
      </c>
      <c r="AD138" s="252">
        <v>0</v>
      </c>
      <c r="AE138" s="252">
        <v>0</v>
      </c>
      <c r="AF138" s="252">
        <v>0</v>
      </c>
      <c r="AG138" s="252">
        <v>0</v>
      </c>
      <c r="AH138" s="252">
        <v>0</v>
      </c>
      <c r="AI138" s="252">
        <v>0</v>
      </c>
      <c r="AJ138" s="252">
        <v>0</v>
      </c>
      <c r="AK138" s="252">
        <v>0</v>
      </c>
      <c r="AL138" s="263">
        <f t="shared" si="26"/>
        <v>0</v>
      </c>
    </row>
    <row r="139" spans="1:38" ht="14.4" customHeight="1">
      <c r="A139" s="506"/>
      <c r="B139" s="256" t="s">
        <v>47</v>
      </c>
      <c r="C139" s="257">
        <f>C138+C137</f>
        <v>0</v>
      </c>
      <c r="D139" s="257">
        <f t="shared" ref="D139:Q139" si="29">D138+D137</f>
        <v>0</v>
      </c>
      <c r="E139" s="257">
        <f t="shared" si="29"/>
        <v>49.283970858113079</v>
      </c>
      <c r="F139" s="257">
        <f t="shared" si="29"/>
        <v>0</v>
      </c>
      <c r="G139" s="257">
        <f t="shared" si="29"/>
        <v>0</v>
      </c>
      <c r="H139" s="257">
        <f t="shared" si="29"/>
        <v>0</v>
      </c>
      <c r="I139" s="257">
        <f t="shared" si="29"/>
        <v>0</v>
      </c>
      <c r="J139" s="257">
        <f t="shared" si="29"/>
        <v>0</v>
      </c>
      <c r="K139" s="257">
        <f t="shared" si="29"/>
        <v>0</v>
      </c>
      <c r="L139" s="257">
        <f t="shared" si="29"/>
        <v>0</v>
      </c>
      <c r="M139" s="257">
        <f t="shared" si="29"/>
        <v>0</v>
      </c>
      <c r="N139" s="257">
        <f t="shared" si="29"/>
        <v>0</v>
      </c>
      <c r="O139" s="257">
        <f t="shared" si="29"/>
        <v>19.442776046823393</v>
      </c>
      <c r="P139" s="257">
        <f t="shared" si="29"/>
        <v>0</v>
      </c>
      <c r="Q139" s="257">
        <f t="shared" si="29"/>
        <v>0</v>
      </c>
      <c r="R139" s="257">
        <f t="shared" si="25"/>
        <v>68.726746904936476</v>
      </c>
      <c r="U139" s="506"/>
      <c r="V139" s="256" t="s">
        <v>47</v>
      </c>
      <c r="W139" s="257">
        <f>W138+W137</f>
        <v>0</v>
      </c>
      <c r="X139" s="257">
        <f t="shared" ref="X139:AK139" si="30">X138+X137</f>
        <v>0</v>
      </c>
      <c r="Y139" s="257">
        <f t="shared" si="30"/>
        <v>43.365282967623386</v>
      </c>
      <c r="Z139" s="257">
        <f t="shared" si="30"/>
        <v>0</v>
      </c>
      <c r="AA139" s="257">
        <f t="shared" si="30"/>
        <v>0</v>
      </c>
      <c r="AB139" s="257">
        <f t="shared" si="30"/>
        <v>0</v>
      </c>
      <c r="AC139" s="257">
        <f t="shared" si="30"/>
        <v>0</v>
      </c>
      <c r="AD139" s="257">
        <f t="shared" si="30"/>
        <v>0</v>
      </c>
      <c r="AE139" s="257">
        <f t="shared" si="30"/>
        <v>0.33631326502422781</v>
      </c>
      <c r="AF139" s="257">
        <f t="shared" si="30"/>
        <v>0</v>
      </c>
      <c r="AG139" s="257">
        <f t="shared" si="30"/>
        <v>0</v>
      </c>
      <c r="AH139" s="257">
        <f t="shared" si="30"/>
        <v>0.55965089399160117</v>
      </c>
      <c r="AI139" s="257">
        <f t="shared" si="30"/>
        <v>14.073491328201158</v>
      </c>
      <c r="AJ139" s="257">
        <f t="shared" si="30"/>
        <v>0</v>
      </c>
      <c r="AK139" s="257">
        <f t="shared" si="30"/>
        <v>0</v>
      </c>
      <c r="AL139" s="257">
        <f t="shared" si="26"/>
        <v>58.334738454840377</v>
      </c>
    </row>
    <row r="148" spans="1:38" ht="14.4" customHeight="1">
      <c r="A148" s="506">
        <v>2035</v>
      </c>
      <c r="B148" s="510" t="s">
        <v>12</v>
      </c>
      <c r="C148" s="509" t="s">
        <v>14</v>
      </c>
      <c r="D148" s="509" t="s">
        <v>15</v>
      </c>
      <c r="E148" s="509" t="s">
        <v>16</v>
      </c>
      <c r="F148" s="509" t="s">
        <v>17</v>
      </c>
      <c r="G148" s="509" t="s">
        <v>382</v>
      </c>
      <c r="H148" s="509" t="s">
        <v>18</v>
      </c>
      <c r="I148" s="509" t="s">
        <v>19</v>
      </c>
      <c r="J148" s="509"/>
      <c r="K148" s="509"/>
      <c r="L148" s="509"/>
      <c r="M148" s="509"/>
      <c r="N148" s="509"/>
      <c r="O148" s="501" t="s">
        <v>383</v>
      </c>
      <c r="P148" s="501" t="s">
        <v>21</v>
      </c>
      <c r="Q148" s="501" t="s">
        <v>384</v>
      </c>
      <c r="R148" s="501" t="s">
        <v>23</v>
      </c>
      <c r="U148" s="506">
        <v>2035</v>
      </c>
      <c r="V148" s="507" t="s">
        <v>12</v>
      </c>
      <c r="W148" s="501" t="s">
        <v>14</v>
      </c>
      <c r="X148" s="501" t="s">
        <v>15</v>
      </c>
      <c r="Y148" s="501" t="s">
        <v>16</v>
      </c>
      <c r="Z148" s="501" t="s">
        <v>17</v>
      </c>
      <c r="AA148" s="501" t="s">
        <v>382</v>
      </c>
      <c r="AB148" s="501" t="s">
        <v>18</v>
      </c>
      <c r="AC148" s="503" t="s">
        <v>19</v>
      </c>
      <c r="AD148" s="504"/>
      <c r="AE148" s="504"/>
      <c r="AF148" s="504"/>
      <c r="AG148" s="504"/>
      <c r="AH148" s="505"/>
      <c r="AI148" s="501" t="s">
        <v>383</v>
      </c>
      <c r="AJ148" s="501" t="s">
        <v>21</v>
      </c>
      <c r="AK148" s="501" t="s">
        <v>384</v>
      </c>
      <c r="AL148" s="501" t="s">
        <v>23</v>
      </c>
    </row>
    <row r="149" spans="1:38" ht="45.6">
      <c r="A149" s="506"/>
      <c r="B149" s="510"/>
      <c r="C149" s="509"/>
      <c r="D149" s="509"/>
      <c r="E149" s="509"/>
      <c r="F149" s="509"/>
      <c r="G149" s="509"/>
      <c r="H149" s="509"/>
      <c r="I149" s="249" t="s">
        <v>371</v>
      </c>
      <c r="J149" s="249" t="s">
        <v>7</v>
      </c>
      <c r="K149" s="249" t="s">
        <v>372</v>
      </c>
      <c r="L149" s="249" t="s">
        <v>385</v>
      </c>
      <c r="M149" s="250" t="s">
        <v>386</v>
      </c>
      <c r="N149" s="249" t="s">
        <v>387</v>
      </c>
      <c r="O149" s="501"/>
      <c r="P149" s="501"/>
      <c r="Q149" s="501"/>
      <c r="R149" s="501"/>
      <c r="U149" s="506"/>
      <c r="V149" s="508"/>
      <c r="W149" s="502"/>
      <c r="X149" s="502"/>
      <c r="Y149" s="502"/>
      <c r="Z149" s="502"/>
      <c r="AA149" s="502"/>
      <c r="AB149" s="502"/>
      <c r="AC149" s="249" t="s">
        <v>371</v>
      </c>
      <c r="AD149" s="249" t="s">
        <v>7</v>
      </c>
      <c r="AE149" s="249" t="s">
        <v>372</v>
      </c>
      <c r="AF149" s="249" t="s">
        <v>385</v>
      </c>
      <c r="AG149" s="250" t="s">
        <v>386</v>
      </c>
      <c r="AH149" s="249" t="s">
        <v>387</v>
      </c>
      <c r="AI149" s="502"/>
      <c r="AJ149" s="502"/>
      <c r="AK149" s="502"/>
      <c r="AL149" s="502"/>
    </row>
    <row r="150" spans="1:38" ht="14.4" customHeight="1">
      <c r="A150" s="506"/>
      <c r="B150" s="251" t="s">
        <v>24</v>
      </c>
      <c r="C150" s="252">
        <v>0</v>
      </c>
      <c r="D150" s="253">
        <v>0</v>
      </c>
      <c r="E150" s="253">
        <v>0</v>
      </c>
      <c r="F150" s="252">
        <v>0</v>
      </c>
      <c r="G150" s="253">
        <v>0</v>
      </c>
      <c r="H150" s="253">
        <f>H156</f>
        <v>8.2750000000000004</v>
      </c>
      <c r="I150" s="253">
        <f>$I$27</f>
        <v>0</v>
      </c>
      <c r="J150" s="253">
        <f>J156</f>
        <v>0</v>
      </c>
      <c r="K150" s="253">
        <v>0</v>
      </c>
      <c r="L150" s="253">
        <f>L156</f>
        <v>1.3333333333333337</v>
      </c>
      <c r="M150" s="253">
        <v>0</v>
      </c>
      <c r="N150" s="253">
        <f>N156</f>
        <v>0</v>
      </c>
      <c r="O150" s="254">
        <v>0</v>
      </c>
      <c r="P150" s="253">
        <v>0</v>
      </c>
      <c r="Q150" s="253">
        <v>0</v>
      </c>
      <c r="R150" s="255">
        <f>SUM(C150:Q150)</f>
        <v>9.6083333333333343</v>
      </c>
      <c r="U150" s="506"/>
      <c r="V150" s="251" t="s">
        <v>24</v>
      </c>
      <c r="W150" s="252">
        <v>0</v>
      </c>
      <c r="X150" s="253">
        <v>0</v>
      </c>
      <c r="Y150" s="253">
        <v>0</v>
      </c>
      <c r="Z150" s="252">
        <v>0</v>
      </c>
      <c r="AA150" s="253">
        <v>0</v>
      </c>
      <c r="AB150" s="253">
        <f>AB156</f>
        <v>7.0709164572124124</v>
      </c>
      <c r="AC150" s="253">
        <f>IF((AC156-$AC$27)&gt;0,$AC$27+(AC156-$AC$27)*0.5,AC156)</f>
        <v>3.200199258652169</v>
      </c>
      <c r="AD150" s="253">
        <f>AD156</f>
        <v>1.2191235271055882</v>
      </c>
      <c r="AE150" s="253">
        <f>IF((AE156-$AE$27)&gt;0,$AE$27+(AE156-AE153-AE154-$AE$27)*0.5,AE156-AE153-AE$72)</f>
        <v>8.1261017752583751</v>
      </c>
      <c r="AF150" s="253">
        <f>AF156</f>
        <v>0.83811343954005602</v>
      </c>
      <c r="AG150" s="253">
        <v>0</v>
      </c>
      <c r="AH150" s="253">
        <f>AH156</f>
        <v>0.51782554277566228</v>
      </c>
      <c r="AI150" s="254">
        <v>0</v>
      </c>
      <c r="AJ150" s="253">
        <v>0</v>
      </c>
      <c r="AK150" s="253">
        <v>0</v>
      </c>
      <c r="AL150" s="255">
        <f>SUM(W150:AK150)</f>
        <v>20.972280000544263</v>
      </c>
    </row>
    <row r="151" spans="1:38" ht="14.4" customHeight="1">
      <c r="A151" s="506"/>
      <c r="B151" s="251" t="s">
        <v>28</v>
      </c>
      <c r="C151" s="252">
        <f>C156</f>
        <v>0</v>
      </c>
      <c r="D151" s="253">
        <f>D156</f>
        <v>0</v>
      </c>
      <c r="E151" s="253">
        <f>E156-E154</f>
        <v>65.563400996737883</v>
      </c>
      <c r="F151" s="252">
        <v>0</v>
      </c>
      <c r="G151" s="253">
        <v>0</v>
      </c>
      <c r="H151" s="253">
        <v>0</v>
      </c>
      <c r="I151" s="253">
        <f>I156-$I$27</f>
        <v>10</v>
      </c>
      <c r="J151" s="253">
        <v>0</v>
      </c>
      <c r="K151" s="253">
        <f>K156</f>
        <v>0</v>
      </c>
      <c r="L151" s="253">
        <v>0</v>
      </c>
      <c r="M151" s="253">
        <v>0</v>
      </c>
      <c r="N151" s="253">
        <v>0</v>
      </c>
      <c r="O151" s="254">
        <v>0</v>
      </c>
      <c r="P151" s="253">
        <v>0</v>
      </c>
      <c r="Q151" s="253">
        <v>0</v>
      </c>
      <c r="R151" s="255">
        <f t="shared" ref="R151:R156" si="31">SUM(C151:Q151)</f>
        <v>75.563400996737883</v>
      </c>
      <c r="U151" s="506"/>
      <c r="V151" s="251" t="s">
        <v>28</v>
      </c>
      <c r="W151" s="252">
        <f>W156</f>
        <v>0</v>
      </c>
      <c r="X151" s="253">
        <f>X156</f>
        <v>0</v>
      </c>
      <c r="Y151" s="253">
        <f>Y156-Y153-Y154</f>
        <v>35.99228098671967</v>
      </c>
      <c r="Z151" s="252">
        <v>0</v>
      </c>
      <c r="AA151" s="253">
        <v>0</v>
      </c>
      <c r="AB151" s="253">
        <v>0</v>
      </c>
      <c r="AC151" s="253">
        <f>IF((AC156-$AC$27)&gt;0,(AC156-$AC$27)*0.5,0)</f>
        <v>3.200199258652169</v>
      </c>
      <c r="AD151" s="253">
        <v>0</v>
      </c>
      <c r="AE151" s="253">
        <f>IF((AE156-AE153-AE154-$AE$27)&gt;0,(AE156-AE153-AE154-$AE$27)*0.5,0)</f>
        <v>8.1261017752583751</v>
      </c>
      <c r="AF151" s="253">
        <v>0</v>
      </c>
      <c r="AG151" s="253">
        <v>0</v>
      </c>
      <c r="AH151" s="253">
        <v>0</v>
      </c>
      <c r="AI151" s="254">
        <v>0</v>
      </c>
      <c r="AJ151" s="253">
        <v>0</v>
      </c>
      <c r="AK151" s="253">
        <v>0</v>
      </c>
      <c r="AL151" s="255">
        <f t="shared" ref="AL151:AL156" si="32">SUM(W151:AK151)</f>
        <v>47.318582020630217</v>
      </c>
    </row>
    <row r="152" spans="1:38" ht="14.4" customHeight="1">
      <c r="A152" s="506"/>
      <c r="B152" s="251" t="s">
        <v>29</v>
      </c>
      <c r="C152" s="252">
        <v>0</v>
      </c>
      <c r="D152" s="253">
        <v>0</v>
      </c>
      <c r="E152" s="253">
        <v>0</v>
      </c>
      <c r="F152" s="252">
        <v>0</v>
      </c>
      <c r="G152" s="253">
        <v>0</v>
      </c>
      <c r="H152" s="253">
        <v>0</v>
      </c>
      <c r="I152" s="253">
        <v>0</v>
      </c>
      <c r="J152" s="253">
        <v>0</v>
      </c>
      <c r="K152" s="253">
        <v>0</v>
      </c>
      <c r="L152" s="253">
        <v>0</v>
      </c>
      <c r="M152" s="253">
        <v>0</v>
      </c>
      <c r="N152" s="253">
        <v>0</v>
      </c>
      <c r="O152" s="254">
        <v>0</v>
      </c>
      <c r="P152" s="253">
        <v>0</v>
      </c>
      <c r="Q152" s="253">
        <v>0</v>
      </c>
      <c r="R152" s="255">
        <f t="shared" si="31"/>
        <v>0</v>
      </c>
      <c r="U152" s="506"/>
      <c r="V152" s="251" t="s">
        <v>29</v>
      </c>
      <c r="W152" s="252">
        <v>0</v>
      </c>
      <c r="X152" s="253">
        <v>0</v>
      </c>
      <c r="Y152" s="253">
        <v>0</v>
      </c>
      <c r="Z152" s="252">
        <v>0</v>
      </c>
      <c r="AA152" s="253">
        <v>0</v>
      </c>
      <c r="AB152" s="253">
        <v>0</v>
      </c>
      <c r="AC152" s="253">
        <v>0</v>
      </c>
      <c r="AD152" s="253">
        <v>0</v>
      </c>
      <c r="AE152" s="253">
        <v>0</v>
      </c>
      <c r="AF152" s="253">
        <v>0</v>
      </c>
      <c r="AG152" s="253">
        <v>0</v>
      </c>
      <c r="AH152" s="253">
        <v>0</v>
      </c>
      <c r="AI152" s="254">
        <v>0</v>
      </c>
      <c r="AJ152" s="253">
        <v>0</v>
      </c>
      <c r="AK152" s="253">
        <v>0</v>
      </c>
      <c r="AL152" s="255">
        <f t="shared" si="32"/>
        <v>0</v>
      </c>
    </row>
    <row r="153" spans="1:38" ht="14.4" customHeight="1">
      <c r="A153" s="506"/>
      <c r="B153" s="251" t="s">
        <v>30</v>
      </c>
      <c r="C153" s="252">
        <v>0</v>
      </c>
      <c r="D153" s="253">
        <v>0</v>
      </c>
      <c r="E153" s="253">
        <v>0</v>
      </c>
      <c r="F153" s="252">
        <v>0</v>
      </c>
      <c r="G153" s="253">
        <v>0</v>
      </c>
      <c r="H153" s="253">
        <v>0</v>
      </c>
      <c r="I153" s="253">
        <v>0</v>
      </c>
      <c r="J153" s="253">
        <v>0</v>
      </c>
      <c r="K153" s="253">
        <v>0</v>
      </c>
      <c r="L153" s="253">
        <v>0</v>
      </c>
      <c r="M153" s="253">
        <v>0</v>
      </c>
      <c r="N153" s="253">
        <v>0</v>
      </c>
      <c r="O153" s="254">
        <v>0</v>
      </c>
      <c r="P153" s="253">
        <v>0</v>
      </c>
      <c r="Q153" s="253">
        <v>0</v>
      </c>
      <c r="R153" s="255">
        <f t="shared" si="31"/>
        <v>0</v>
      </c>
      <c r="U153" s="506"/>
      <c r="V153" s="251" t="s">
        <v>30</v>
      </c>
      <c r="W153" s="252">
        <v>0</v>
      </c>
      <c r="X153" s="253">
        <v>0</v>
      </c>
      <c r="Y153" s="253">
        <f>-Transports!$F$172-Transports!$F$171</f>
        <v>0</v>
      </c>
      <c r="Z153" s="252">
        <v>0</v>
      </c>
      <c r="AA153" s="253">
        <v>0</v>
      </c>
      <c r="AB153" s="253">
        <v>0</v>
      </c>
      <c r="AC153" s="253">
        <v>0</v>
      </c>
      <c r="AD153" s="253">
        <v>0</v>
      </c>
      <c r="AE153" s="253">
        <f>-Transports!$F$170</f>
        <v>0</v>
      </c>
      <c r="AF153" s="253">
        <v>0</v>
      </c>
      <c r="AG153" s="253">
        <v>0</v>
      </c>
      <c r="AH153" s="253">
        <v>0</v>
      </c>
      <c r="AI153" s="254">
        <v>0</v>
      </c>
      <c r="AJ153" s="253">
        <v>0</v>
      </c>
      <c r="AK153" s="253">
        <v>0</v>
      </c>
      <c r="AL153" s="255">
        <f t="shared" si="32"/>
        <v>0</v>
      </c>
    </row>
    <row r="154" spans="1:38" ht="14.4" customHeight="1">
      <c r="A154" s="506"/>
      <c r="B154" s="251" t="s">
        <v>31</v>
      </c>
      <c r="C154" s="252">
        <v>0</v>
      </c>
      <c r="D154" s="253">
        <v>0</v>
      </c>
      <c r="E154" s="253">
        <f>-Transports!$F$202</f>
        <v>-1.5921135916757794</v>
      </c>
      <c r="F154" s="252">
        <v>0</v>
      </c>
      <c r="G154" s="253">
        <v>0</v>
      </c>
      <c r="H154" s="253">
        <v>0</v>
      </c>
      <c r="I154" s="253">
        <v>0</v>
      </c>
      <c r="J154" s="253">
        <v>0</v>
      </c>
      <c r="K154" s="253">
        <v>0</v>
      </c>
      <c r="L154" s="253">
        <v>0</v>
      </c>
      <c r="M154" s="253">
        <v>0</v>
      </c>
      <c r="N154" s="253">
        <v>0</v>
      </c>
      <c r="O154" s="254">
        <v>0</v>
      </c>
      <c r="P154" s="253">
        <v>0</v>
      </c>
      <c r="Q154" s="253">
        <v>0</v>
      </c>
      <c r="R154" s="255">
        <f t="shared" si="31"/>
        <v>-1.5921135916757794</v>
      </c>
      <c r="U154" s="506"/>
      <c r="V154" s="251" t="s">
        <v>31</v>
      </c>
      <c r="W154" s="252">
        <v>0</v>
      </c>
      <c r="X154" s="253">
        <v>0</v>
      </c>
      <c r="Y154" s="253">
        <f>-Transports!$F$234</f>
        <v>-1.1578830766239023</v>
      </c>
      <c r="Z154" s="252">
        <v>0</v>
      </c>
      <c r="AA154" s="253">
        <v>0</v>
      </c>
      <c r="AB154" s="253">
        <v>0</v>
      </c>
      <c r="AC154" s="253">
        <v>0</v>
      </c>
      <c r="AD154" s="253">
        <v>0</v>
      </c>
      <c r="AE154" s="253">
        <f>-Transports!$F$233-Transports!$F$232</f>
        <v>-0.2902079886370047</v>
      </c>
      <c r="AF154" s="253">
        <v>0</v>
      </c>
      <c r="AG154" s="253">
        <v>0</v>
      </c>
      <c r="AH154" s="253">
        <v>0</v>
      </c>
      <c r="AI154" s="254">
        <v>0</v>
      </c>
      <c r="AJ154" s="253">
        <v>0</v>
      </c>
      <c r="AK154" s="253">
        <v>0</v>
      </c>
      <c r="AL154" s="255">
        <f t="shared" si="32"/>
        <v>-1.4480910652609071</v>
      </c>
    </row>
    <row r="155" spans="1:38" ht="14.4" customHeight="1">
      <c r="A155" s="506"/>
      <c r="B155" s="251" t="s">
        <v>32</v>
      </c>
      <c r="C155" s="252">
        <v>0</v>
      </c>
      <c r="D155" s="253">
        <v>0</v>
      </c>
      <c r="E155" s="253">
        <v>0</v>
      </c>
      <c r="F155" s="252">
        <v>0</v>
      </c>
      <c r="G155" s="253">
        <v>0</v>
      </c>
      <c r="H155" s="253">
        <v>0</v>
      </c>
      <c r="I155" s="253">
        <v>0</v>
      </c>
      <c r="J155" s="253">
        <v>0</v>
      </c>
      <c r="K155" s="253">
        <v>0</v>
      </c>
      <c r="L155" s="253">
        <v>0</v>
      </c>
      <c r="M155" s="253">
        <v>0</v>
      </c>
      <c r="N155" s="253">
        <v>0</v>
      </c>
      <c r="O155" s="254">
        <v>0</v>
      </c>
      <c r="P155" s="253">
        <v>0</v>
      </c>
      <c r="Q155" s="253">
        <v>0</v>
      </c>
      <c r="R155" s="255">
        <f t="shared" si="31"/>
        <v>0</v>
      </c>
      <c r="U155" s="506"/>
      <c r="V155" s="251" t="s">
        <v>32</v>
      </c>
      <c r="W155" s="252">
        <v>0</v>
      </c>
      <c r="X155" s="253">
        <v>0</v>
      </c>
      <c r="Y155" s="253">
        <v>0</v>
      </c>
      <c r="Z155" s="252">
        <v>0</v>
      </c>
      <c r="AA155" s="253">
        <v>0</v>
      </c>
      <c r="AB155" s="253">
        <v>0</v>
      </c>
      <c r="AC155" s="253">
        <v>0</v>
      </c>
      <c r="AD155" s="253">
        <v>0</v>
      </c>
      <c r="AE155" s="253">
        <v>0</v>
      </c>
      <c r="AF155" s="253">
        <v>0</v>
      </c>
      <c r="AG155" s="253">
        <v>0</v>
      </c>
      <c r="AH155" s="253">
        <v>0</v>
      </c>
      <c r="AI155" s="254">
        <v>0</v>
      </c>
      <c r="AJ155" s="253">
        <v>0</v>
      </c>
      <c r="AK155" s="253">
        <v>0</v>
      </c>
      <c r="AL155" s="255">
        <f t="shared" si="32"/>
        <v>0</v>
      </c>
    </row>
    <row r="156" spans="1:38" ht="14.4" customHeight="1">
      <c r="A156" s="506"/>
      <c r="B156" s="256" t="s">
        <v>388</v>
      </c>
      <c r="C156" s="257">
        <f>C180+C178</f>
        <v>0</v>
      </c>
      <c r="D156" s="257">
        <f>D170+D180</f>
        <v>0</v>
      </c>
      <c r="E156" s="257">
        <f>E170+E180</f>
        <v>63.9712874050621</v>
      </c>
      <c r="F156" s="257">
        <f>SUM(F150:F155)</f>
        <v>0</v>
      </c>
      <c r="G156" s="257">
        <f>SUM(G150:G155)</f>
        <v>0</v>
      </c>
      <c r="H156" s="257">
        <f>H170</f>
        <v>8.2750000000000004</v>
      </c>
      <c r="I156" s="257">
        <f>I170+I178</f>
        <v>10</v>
      </c>
      <c r="J156" s="257">
        <f>J170+J180</f>
        <v>0</v>
      </c>
      <c r="K156" s="257">
        <f>K170+K180</f>
        <v>0</v>
      </c>
      <c r="L156" s="257">
        <f>L170+L180</f>
        <v>1.3333333333333337</v>
      </c>
      <c r="M156" s="257">
        <f>SUM(M150:M155)</f>
        <v>0</v>
      </c>
      <c r="N156" s="257">
        <f>N170+N180</f>
        <v>0</v>
      </c>
      <c r="O156" s="257">
        <f>SUM(O150:O155)</f>
        <v>0</v>
      </c>
      <c r="P156" s="257">
        <f>SUM(P150:P155)</f>
        <v>0</v>
      </c>
      <c r="Q156" s="257">
        <f>SUM(Q150:Q155)</f>
        <v>0</v>
      </c>
      <c r="R156" s="257">
        <f t="shared" si="31"/>
        <v>83.579620738395434</v>
      </c>
      <c r="U156" s="506"/>
      <c r="V156" s="256" t="s">
        <v>388</v>
      </c>
      <c r="W156" s="257">
        <f>W180+W178</f>
        <v>0</v>
      </c>
      <c r="X156" s="257">
        <f>X170+X180</f>
        <v>0</v>
      </c>
      <c r="Y156" s="257">
        <f>Y170+Y180</f>
        <v>34.834397910095767</v>
      </c>
      <c r="Z156" s="257">
        <f>SUM(Z150:Z155)</f>
        <v>0</v>
      </c>
      <c r="AA156" s="257">
        <f>SUM(AA150:AA155)</f>
        <v>0</v>
      </c>
      <c r="AB156" s="257">
        <f>AB170</f>
        <v>7.0709164572124124</v>
      </c>
      <c r="AC156" s="257">
        <f>AC170+AC178</f>
        <v>6.4003985173043381</v>
      </c>
      <c r="AD156" s="257">
        <f>AD170+AD180</f>
        <v>1.2191235271055882</v>
      </c>
      <c r="AE156" s="257">
        <f>AE170+AE180</f>
        <v>15.961995561879746</v>
      </c>
      <c r="AF156" s="257">
        <f>AF170+AF180</f>
        <v>0.83811343954005602</v>
      </c>
      <c r="AG156" s="257">
        <f>SUM(AG150:AG155)</f>
        <v>0</v>
      </c>
      <c r="AH156" s="257">
        <f>AH170+AH180</f>
        <v>0.51782554277566228</v>
      </c>
      <c r="AI156" s="257">
        <f>SUM(AI150:AI155)</f>
        <v>0</v>
      </c>
      <c r="AJ156" s="257">
        <f>SUM(AJ150:AJ155)</f>
        <v>0</v>
      </c>
      <c r="AK156" s="257">
        <f>SUM(AK150:AK155)</f>
        <v>0</v>
      </c>
      <c r="AL156" s="257">
        <f t="shared" si="32"/>
        <v>66.842770955913565</v>
      </c>
    </row>
    <row r="157" spans="1:38" ht="14.4" customHeight="1">
      <c r="A157" s="506"/>
      <c r="B157" s="258"/>
      <c r="C157" s="259"/>
      <c r="D157" s="227"/>
      <c r="E157" s="260"/>
      <c r="F157" s="259"/>
      <c r="G157" s="259"/>
      <c r="H157" s="259"/>
      <c r="I157" s="259"/>
      <c r="J157" s="259"/>
      <c r="K157" s="259"/>
      <c r="L157" s="259"/>
      <c r="M157" s="259"/>
      <c r="N157" s="259"/>
      <c r="O157" s="268"/>
      <c r="P157" s="259"/>
      <c r="Q157" s="259"/>
      <c r="R157" s="259"/>
      <c r="U157" s="506"/>
      <c r="V157" s="258"/>
      <c r="W157" s="259"/>
      <c r="X157" s="227"/>
      <c r="Y157" s="260"/>
      <c r="Z157" s="259"/>
      <c r="AA157" s="259"/>
      <c r="AB157" s="259"/>
      <c r="AC157" s="259"/>
      <c r="AD157" s="259"/>
      <c r="AE157" s="259"/>
      <c r="AF157" s="259"/>
      <c r="AG157" s="259"/>
      <c r="AH157" s="259"/>
      <c r="AI157" s="268"/>
      <c r="AJ157" s="259"/>
      <c r="AK157" s="259"/>
      <c r="AL157" s="259"/>
    </row>
    <row r="158" spans="1:38" ht="14.4" customHeight="1">
      <c r="A158" s="506"/>
      <c r="B158" s="261" t="s">
        <v>389</v>
      </c>
      <c r="C158" s="252">
        <v>0</v>
      </c>
      <c r="D158" s="262">
        <v>0</v>
      </c>
      <c r="E158" s="262">
        <v>0</v>
      </c>
      <c r="F158" s="252">
        <v>0</v>
      </c>
      <c r="G158" s="252">
        <v>0</v>
      </c>
      <c r="H158" s="252">
        <v>0</v>
      </c>
      <c r="I158" s="252">
        <v>0</v>
      </c>
      <c r="J158" s="252">
        <v>0</v>
      </c>
      <c r="K158" s="252">
        <v>0</v>
      </c>
      <c r="L158" s="252">
        <v>0</v>
      </c>
      <c r="M158" s="252">
        <v>0</v>
      </c>
      <c r="N158" s="252">
        <v>0</v>
      </c>
      <c r="O158" s="252">
        <v>0</v>
      </c>
      <c r="P158" s="252">
        <v>0</v>
      </c>
      <c r="Q158" s="252">
        <v>0</v>
      </c>
      <c r="R158" s="263">
        <f>SUM(C158:Q158)</f>
        <v>0</v>
      </c>
      <c r="U158" s="506"/>
      <c r="V158" s="261" t="s">
        <v>389</v>
      </c>
      <c r="W158" s="252">
        <v>0</v>
      </c>
      <c r="X158" s="262">
        <v>0</v>
      </c>
      <c r="Y158" s="262">
        <v>0</v>
      </c>
      <c r="Z158" s="252">
        <v>0</v>
      </c>
      <c r="AA158" s="252">
        <v>0</v>
      </c>
      <c r="AB158" s="252">
        <v>0</v>
      </c>
      <c r="AC158" s="252">
        <v>0</v>
      </c>
      <c r="AD158" s="252">
        <v>0</v>
      </c>
      <c r="AE158" s="252">
        <v>0</v>
      </c>
      <c r="AF158" s="252">
        <v>0</v>
      </c>
      <c r="AG158" s="252">
        <v>0</v>
      </c>
      <c r="AH158" s="252">
        <v>0</v>
      </c>
      <c r="AI158" s="252">
        <v>0</v>
      </c>
      <c r="AJ158" s="252">
        <v>0</v>
      </c>
      <c r="AK158" s="252">
        <v>0</v>
      </c>
      <c r="AL158" s="263">
        <f>SUM(W158:AK158)</f>
        <v>0</v>
      </c>
    </row>
    <row r="159" spans="1:38" ht="14.4" customHeight="1">
      <c r="A159" s="506"/>
      <c r="B159" s="261" t="s">
        <v>390</v>
      </c>
      <c r="C159" s="252">
        <f>$O$159*'Prod Energie'!$F$32/(-$J$13)</f>
        <v>0</v>
      </c>
      <c r="D159" s="252">
        <v>0</v>
      </c>
      <c r="E159" s="252">
        <f>O159*'Prod Energie'!$F$33/(-$K$13)</f>
        <v>16.235451592336855</v>
      </c>
      <c r="F159" s="252">
        <v>0</v>
      </c>
      <c r="G159" s="252">
        <v>0</v>
      </c>
      <c r="H159" s="252">
        <f>(O159)*('Prod Energie'!$F$34+'Prod Energie'!$F$39+'Prod Energie'!$F$40)/(-$L$13)</f>
        <v>8.2750000000000004</v>
      </c>
      <c r="I159" s="264">
        <f>(O159)*('Prod Energie'!$F$38)/(-$M$13)</f>
        <v>10</v>
      </c>
      <c r="J159" s="264">
        <f>(O159)*('Prod Energie'!$F$36)/(-$N$13)</f>
        <v>0</v>
      </c>
      <c r="K159" s="264">
        <f>(O159)*('Prod Energie'!$F$37)/(-$O$13)</f>
        <v>0</v>
      </c>
      <c r="L159" s="264">
        <f>(O159)*('Prod Energie'!$F$41)/(-P13)</f>
        <v>1.3333333333333337</v>
      </c>
      <c r="M159" s="264">
        <v>0</v>
      </c>
      <c r="N159" s="264">
        <f>(O159)*'Prod Energie'!F35/(-$Q$13)</f>
        <v>0</v>
      </c>
      <c r="O159" s="252">
        <f>O170/(1+$F$17+$F$18)</f>
        <v>-20.218598700628217</v>
      </c>
      <c r="P159" s="252">
        <v>0</v>
      </c>
      <c r="Q159" s="252">
        <v>0</v>
      </c>
      <c r="R159" s="263">
        <f t="shared" ref="R159:R170" si="33">SUM(C159:Q159)</f>
        <v>15.625186225041976</v>
      </c>
      <c r="U159" s="506"/>
      <c r="V159" s="261" t="s">
        <v>390</v>
      </c>
      <c r="W159" s="252">
        <f>AI159*'Prod Energie'!$F$53/(-$J$13)</f>
        <v>0</v>
      </c>
      <c r="X159" s="252">
        <v>0</v>
      </c>
      <c r="Y159" s="252">
        <f>AI159*'Prod Energie'!$F$54/(-$K$13)</f>
        <v>0</v>
      </c>
      <c r="Z159" s="252">
        <v>0</v>
      </c>
      <c r="AA159" s="252">
        <v>0</v>
      </c>
      <c r="AB159" s="252">
        <f>(AI159)*('Prod Energie'!$F$55+'Prod Energie'!$F$60+'Prod Energie'!$F$61)/(-$L$13)</f>
        <v>7.0709164572124124</v>
      </c>
      <c r="AC159" s="264">
        <f>(AI159)*'Prod Energie'!$F$59/(-$M$13)</f>
        <v>6.4003985173043381</v>
      </c>
      <c r="AD159" s="264">
        <f>(AI159)*('Prod Energie'!$F$57)/(-$N$13)</f>
        <v>1.2191235271055882</v>
      </c>
      <c r="AE159" s="264">
        <f>(AI159)*('Prod Energie'!$F$58)/(-$O$13)</f>
        <v>15.240978963454843</v>
      </c>
      <c r="AF159" s="264">
        <f>(AI159)*('Prod Energie'!$F$62)/(-$P$13)</f>
        <v>0.83811343954005602</v>
      </c>
      <c r="AG159" s="264">
        <v>0</v>
      </c>
      <c r="AH159" s="264">
        <f>(AI159)*'Prod Energie'!$F$56/(-$Q$13)</f>
        <v>0</v>
      </c>
      <c r="AI159" s="252">
        <f>AI170/(1+$F$17+$F$18)</f>
        <v>-16.717984924082355</v>
      </c>
      <c r="AJ159" s="252">
        <v>0</v>
      </c>
      <c r="AK159" s="252">
        <v>0</v>
      </c>
      <c r="AL159" s="263">
        <f t="shared" ref="AL159:AL170" si="34">SUM(W159:AK159)</f>
        <v>14.051545980534883</v>
      </c>
    </row>
    <row r="160" spans="1:38" ht="14.4" customHeight="1">
      <c r="A160" s="506"/>
      <c r="B160" s="261" t="s">
        <v>391</v>
      </c>
      <c r="C160" s="252">
        <v>0</v>
      </c>
      <c r="D160" s="252">
        <v>0</v>
      </c>
      <c r="E160" s="252">
        <v>0</v>
      </c>
      <c r="F160" s="252">
        <v>0</v>
      </c>
      <c r="G160" s="252">
        <v>0</v>
      </c>
      <c r="H160" s="252">
        <v>0</v>
      </c>
      <c r="I160" s="264">
        <f t="shared" ref="I160:N160" si="35">$P$160*$L$18*V$17</f>
        <v>0</v>
      </c>
      <c r="J160" s="264">
        <f t="shared" si="35"/>
        <v>0</v>
      </c>
      <c r="K160" s="264">
        <f t="shared" si="35"/>
        <v>0</v>
      </c>
      <c r="L160" s="264">
        <f t="shared" si="35"/>
        <v>0</v>
      </c>
      <c r="M160" s="264">
        <f t="shared" si="35"/>
        <v>0</v>
      </c>
      <c r="N160" s="264">
        <f t="shared" si="35"/>
        <v>0</v>
      </c>
      <c r="O160" s="252">
        <v>0</v>
      </c>
      <c r="P160" s="252">
        <f>P170/(1+$R$18)</f>
        <v>0</v>
      </c>
      <c r="Q160" s="252">
        <v>0</v>
      </c>
      <c r="R160" s="263">
        <f t="shared" si="33"/>
        <v>0</v>
      </c>
      <c r="U160" s="506"/>
      <c r="V160" s="261" t="s">
        <v>391</v>
      </c>
      <c r="W160" s="252">
        <v>0</v>
      </c>
      <c r="X160" s="252">
        <v>0</v>
      </c>
      <c r="Y160" s="252">
        <v>0</v>
      </c>
      <c r="Z160" s="252">
        <v>0</v>
      </c>
      <c r="AA160" s="252">
        <v>0</v>
      </c>
      <c r="AB160" s="252">
        <v>0</v>
      </c>
      <c r="AC160" s="264">
        <f t="shared" ref="AC160:AH160" si="36">$AJ$160*$L$18*V$17</f>
        <v>0</v>
      </c>
      <c r="AD160" s="264">
        <f t="shared" si="36"/>
        <v>0</v>
      </c>
      <c r="AE160" s="264">
        <f t="shared" si="36"/>
        <v>0</v>
      </c>
      <c r="AF160" s="264">
        <f t="shared" si="36"/>
        <v>0</v>
      </c>
      <c r="AG160" s="264">
        <f t="shared" si="36"/>
        <v>0</v>
      </c>
      <c r="AH160" s="264">
        <f t="shared" si="36"/>
        <v>0</v>
      </c>
      <c r="AI160" s="252">
        <v>0</v>
      </c>
      <c r="AJ160" s="252">
        <f>AJ170/(1+$R$18)</f>
        <v>0</v>
      </c>
      <c r="AK160" s="252">
        <v>0</v>
      </c>
      <c r="AL160" s="263">
        <f t="shared" si="34"/>
        <v>0</v>
      </c>
    </row>
    <row r="161" spans="1:38" ht="14.4" customHeight="1">
      <c r="A161" s="506"/>
      <c r="B161" s="261" t="s">
        <v>392</v>
      </c>
      <c r="C161" s="252">
        <v>0</v>
      </c>
      <c r="D161" s="252">
        <v>0</v>
      </c>
      <c r="E161" s="252">
        <v>0</v>
      </c>
      <c r="F161" s="252">
        <v>0</v>
      </c>
      <c r="G161" s="252">
        <v>0</v>
      </c>
      <c r="H161" s="252">
        <v>0</v>
      </c>
      <c r="I161" s="265">
        <v>0</v>
      </c>
      <c r="J161" s="265">
        <v>0</v>
      </c>
      <c r="K161" s="265">
        <v>0</v>
      </c>
      <c r="L161" s="265">
        <v>0</v>
      </c>
      <c r="M161" s="265">
        <v>0</v>
      </c>
      <c r="N161" s="265">
        <v>0</v>
      </c>
      <c r="O161" s="252">
        <v>0</v>
      </c>
      <c r="P161" s="252">
        <v>0</v>
      </c>
      <c r="Q161" s="252">
        <v>0</v>
      </c>
      <c r="R161" s="263">
        <f t="shared" si="33"/>
        <v>0</v>
      </c>
      <c r="U161" s="506"/>
      <c r="V161" s="261" t="s">
        <v>392</v>
      </c>
      <c r="W161" s="252">
        <v>0</v>
      </c>
      <c r="X161" s="252">
        <v>0</v>
      </c>
      <c r="Y161" s="252">
        <v>0</v>
      </c>
      <c r="Z161" s="252">
        <v>0</v>
      </c>
      <c r="AA161" s="252">
        <v>0</v>
      </c>
      <c r="AB161" s="252">
        <v>0</v>
      </c>
      <c r="AC161" s="265">
        <v>0</v>
      </c>
      <c r="AD161" s="265">
        <v>0</v>
      </c>
      <c r="AE161" s="265">
        <v>0</v>
      </c>
      <c r="AF161" s="265">
        <v>0</v>
      </c>
      <c r="AG161" s="265">
        <v>0</v>
      </c>
      <c r="AH161" s="265">
        <v>0</v>
      </c>
      <c r="AI161" s="252">
        <v>0</v>
      </c>
      <c r="AJ161" s="252">
        <v>0</v>
      </c>
      <c r="AK161" s="252">
        <v>0</v>
      </c>
      <c r="AL161" s="263">
        <f t="shared" si="34"/>
        <v>0</v>
      </c>
    </row>
    <row r="162" spans="1:38" ht="14.4" customHeight="1">
      <c r="A162" s="506"/>
      <c r="B162" s="261" t="s">
        <v>393</v>
      </c>
      <c r="C162" s="252">
        <v>0</v>
      </c>
      <c r="D162" s="252">
        <v>0</v>
      </c>
      <c r="E162" s="252">
        <v>0</v>
      </c>
      <c r="F162" s="252">
        <v>0</v>
      </c>
      <c r="G162" s="252">
        <v>0</v>
      </c>
      <c r="H162" s="252">
        <v>0</v>
      </c>
      <c r="I162" s="252">
        <v>0</v>
      </c>
      <c r="J162" s="252">
        <v>0</v>
      </c>
      <c r="K162" s="252">
        <v>0</v>
      </c>
      <c r="L162" s="252">
        <v>0</v>
      </c>
      <c r="M162" s="252">
        <v>0</v>
      </c>
      <c r="N162" s="252">
        <v>0</v>
      </c>
      <c r="O162" s="252">
        <v>0</v>
      </c>
      <c r="P162" s="252">
        <v>0</v>
      </c>
      <c r="Q162" s="252">
        <v>0</v>
      </c>
      <c r="R162" s="263">
        <f t="shared" si="33"/>
        <v>0</v>
      </c>
      <c r="U162" s="506"/>
      <c r="V162" s="261" t="s">
        <v>393</v>
      </c>
      <c r="W162" s="252">
        <v>0</v>
      </c>
      <c r="X162" s="252">
        <v>0</v>
      </c>
      <c r="Y162" s="252">
        <v>0</v>
      </c>
      <c r="Z162" s="252">
        <v>0</v>
      </c>
      <c r="AA162" s="252">
        <v>0</v>
      </c>
      <c r="AB162" s="252">
        <v>0</v>
      </c>
      <c r="AC162" s="252">
        <v>0</v>
      </c>
      <c r="AD162" s="252">
        <v>0</v>
      </c>
      <c r="AE162" s="252">
        <v>0</v>
      </c>
      <c r="AF162" s="252">
        <v>0</v>
      </c>
      <c r="AG162" s="252">
        <v>0</v>
      </c>
      <c r="AH162" s="252">
        <v>0</v>
      </c>
      <c r="AI162" s="252">
        <v>0</v>
      </c>
      <c r="AJ162" s="252">
        <v>0</v>
      </c>
      <c r="AK162" s="252">
        <v>0</v>
      </c>
      <c r="AL162" s="263">
        <f t="shared" si="34"/>
        <v>0</v>
      </c>
    </row>
    <row r="163" spans="1:38" ht="14.4" customHeight="1">
      <c r="A163" s="506"/>
      <c r="B163" s="261" t="s">
        <v>36</v>
      </c>
      <c r="C163" s="252">
        <v>0</v>
      </c>
      <c r="D163" s="252">
        <v>0</v>
      </c>
      <c r="E163" s="252">
        <v>0</v>
      </c>
      <c r="F163" s="252">
        <v>0</v>
      </c>
      <c r="G163" s="252">
        <v>0</v>
      </c>
      <c r="H163" s="252">
        <v>0</v>
      </c>
      <c r="I163" s="252">
        <v>0</v>
      </c>
      <c r="J163" s="252">
        <v>0</v>
      </c>
      <c r="K163" s="252">
        <v>0</v>
      </c>
      <c r="L163" s="252">
        <v>0</v>
      </c>
      <c r="M163" s="252">
        <v>0</v>
      </c>
      <c r="N163" s="252">
        <v>0</v>
      </c>
      <c r="O163" s="252">
        <v>0</v>
      </c>
      <c r="P163" s="252">
        <v>0</v>
      </c>
      <c r="Q163" s="252">
        <v>0</v>
      </c>
      <c r="R163" s="263">
        <f t="shared" si="33"/>
        <v>0</v>
      </c>
      <c r="U163" s="506"/>
      <c r="V163" s="261" t="s">
        <v>36</v>
      </c>
      <c r="W163" s="252">
        <v>0</v>
      </c>
      <c r="X163" s="252">
        <v>0</v>
      </c>
      <c r="Y163" s="252">
        <v>0</v>
      </c>
      <c r="Z163" s="252">
        <v>0</v>
      </c>
      <c r="AA163" s="252">
        <v>0</v>
      </c>
      <c r="AB163" s="252">
        <v>0</v>
      </c>
      <c r="AC163" s="252">
        <v>0</v>
      </c>
      <c r="AD163" s="252">
        <v>0</v>
      </c>
      <c r="AE163" s="252">
        <v>0</v>
      </c>
      <c r="AF163" s="252">
        <v>0</v>
      </c>
      <c r="AG163" s="252">
        <v>0</v>
      </c>
      <c r="AH163" s="252">
        <v>0</v>
      </c>
      <c r="AI163" s="252">
        <v>0</v>
      </c>
      <c r="AJ163" s="252">
        <v>0</v>
      </c>
      <c r="AK163" s="252">
        <v>0</v>
      </c>
      <c r="AL163" s="263">
        <f t="shared" si="34"/>
        <v>0</v>
      </c>
    </row>
    <row r="164" spans="1:38" ht="14.4" customHeight="1">
      <c r="A164" s="506"/>
      <c r="B164" s="261" t="s">
        <v>394</v>
      </c>
      <c r="C164" s="252">
        <v>0</v>
      </c>
      <c r="D164" s="252">
        <v>0</v>
      </c>
      <c r="E164" s="252">
        <v>0</v>
      </c>
      <c r="F164" s="252">
        <v>0</v>
      </c>
      <c r="G164" s="252">
        <v>0</v>
      </c>
      <c r="H164" s="252">
        <v>0</v>
      </c>
      <c r="I164" s="252">
        <v>0</v>
      </c>
      <c r="J164" s="252">
        <v>0</v>
      </c>
      <c r="K164" s="252">
        <v>0</v>
      </c>
      <c r="L164" s="252">
        <v>0</v>
      </c>
      <c r="M164" s="252">
        <v>0</v>
      </c>
      <c r="N164" s="252">
        <v>0</v>
      </c>
      <c r="O164" s="252">
        <v>0</v>
      </c>
      <c r="P164" s="252">
        <v>0</v>
      </c>
      <c r="Q164" s="252">
        <v>0</v>
      </c>
      <c r="R164" s="263">
        <f t="shared" si="33"/>
        <v>0</v>
      </c>
      <c r="U164" s="506"/>
      <c r="V164" s="261" t="s">
        <v>394</v>
      </c>
      <c r="W164" s="252">
        <v>0</v>
      </c>
      <c r="X164" s="252">
        <v>0</v>
      </c>
      <c r="Y164" s="252">
        <v>0</v>
      </c>
      <c r="Z164" s="252">
        <v>0</v>
      </c>
      <c r="AA164" s="252">
        <v>0</v>
      </c>
      <c r="AB164" s="252">
        <v>0</v>
      </c>
      <c r="AC164" s="252">
        <v>0</v>
      </c>
      <c r="AD164" s="252">
        <v>0</v>
      </c>
      <c r="AE164" s="252">
        <v>0</v>
      </c>
      <c r="AF164" s="252">
        <v>0</v>
      </c>
      <c r="AG164" s="252">
        <v>0</v>
      </c>
      <c r="AH164" s="252">
        <v>0</v>
      </c>
      <c r="AI164" s="252">
        <v>0</v>
      </c>
      <c r="AJ164" s="252">
        <v>0</v>
      </c>
      <c r="AK164" s="252">
        <v>0</v>
      </c>
      <c r="AL164" s="263">
        <f t="shared" si="34"/>
        <v>0</v>
      </c>
    </row>
    <row r="165" spans="1:38" ht="14.4" customHeight="1">
      <c r="A165" s="506"/>
      <c r="B165" s="261" t="s">
        <v>395</v>
      </c>
      <c r="C165" s="252">
        <v>0</v>
      </c>
      <c r="D165" s="252">
        <v>0</v>
      </c>
      <c r="E165" s="252">
        <v>0</v>
      </c>
      <c r="F165" s="252">
        <v>0</v>
      </c>
      <c r="G165" s="252">
        <v>0</v>
      </c>
      <c r="H165" s="252">
        <v>0</v>
      </c>
      <c r="I165" s="252">
        <v>0</v>
      </c>
      <c r="J165" s="252">
        <v>0</v>
      </c>
      <c r="K165" s="252">
        <v>0</v>
      </c>
      <c r="L165" s="252">
        <v>0</v>
      </c>
      <c r="M165" s="252">
        <v>0</v>
      </c>
      <c r="N165" s="252">
        <v>0</v>
      </c>
      <c r="O165" s="252">
        <v>0</v>
      </c>
      <c r="P165" s="252">
        <v>0</v>
      </c>
      <c r="Q165" s="252">
        <v>0</v>
      </c>
      <c r="R165" s="263">
        <f t="shared" si="33"/>
        <v>0</v>
      </c>
      <c r="U165" s="506"/>
      <c r="V165" s="261" t="s">
        <v>395</v>
      </c>
      <c r="W165" s="252">
        <v>0</v>
      </c>
      <c r="X165" s="252">
        <v>0</v>
      </c>
      <c r="Y165" s="252">
        <v>0</v>
      </c>
      <c r="Z165" s="252">
        <v>0</v>
      </c>
      <c r="AA165" s="252">
        <v>0</v>
      </c>
      <c r="AB165" s="252">
        <v>0</v>
      </c>
      <c r="AC165" s="252">
        <v>0</v>
      </c>
      <c r="AD165" s="252">
        <v>0</v>
      </c>
      <c r="AE165" s="252">
        <v>0</v>
      </c>
      <c r="AF165" s="252">
        <v>0</v>
      </c>
      <c r="AG165" s="252">
        <v>0</v>
      </c>
      <c r="AH165" s="252">
        <v>0</v>
      </c>
      <c r="AI165" s="252">
        <v>0</v>
      </c>
      <c r="AJ165" s="252">
        <v>0</v>
      </c>
      <c r="AK165" s="252">
        <v>0</v>
      </c>
      <c r="AL165" s="263">
        <f t="shared" si="34"/>
        <v>0</v>
      </c>
    </row>
    <row r="166" spans="1:38" ht="14.4" customHeight="1">
      <c r="A166" s="506"/>
      <c r="B166" s="261" t="s">
        <v>396</v>
      </c>
      <c r="C166" s="252">
        <v>0</v>
      </c>
      <c r="D166" s="252">
        <v>0</v>
      </c>
      <c r="E166" s="252">
        <v>0</v>
      </c>
      <c r="F166" s="252">
        <v>0</v>
      </c>
      <c r="G166" s="252">
        <v>0</v>
      </c>
      <c r="H166" s="252">
        <v>0</v>
      </c>
      <c r="I166" s="252">
        <v>0</v>
      </c>
      <c r="J166" s="252">
        <v>0</v>
      </c>
      <c r="K166" s="252">
        <v>0</v>
      </c>
      <c r="L166" s="252">
        <v>0</v>
      </c>
      <c r="M166" s="252">
        <v>0</v>
      </c>
      <c r="N166" s="252">
        <v>0</v>
      </c>
      <c r="O166" s="252">
        <v>0</v>
      </c>
      <c r="P166" s="252">
        <v>0</v>
      </c>
      <c r="Q166" s="252">
        <v>0</v>
      </c>
      <c r="R166" s="263">
        <f t="shared" si="33"/>
        <v>0</v>
      </c>
      <c r="U166" s="506"/>
      <c r="V166" s="261" t="s">
        <v>396</v>
      </c>
      <c r="W166" s="252">
        <v>0</v>
      </c>
      <c r="X166" s="252">
        <v>0</v>
      </c>
      <c r="Y166" s="252">
        <v>0</v>
      </c>
      <c r="Z166" s="252">
        <v>0</v>
      </c>
      <c r="AA166" s="252">
        <v>0</v>
      </c>
      <c r="AB166" s="252">
        <v>0</v>
      </c>
      <c r="AC166" s="252">
        <v>0</v>
      </c>
      <c r="AD166" s="252">
        <v>0</v>
      </c>
      <c r="AE166" s="252">
        <v>0</v>
      </c>
      <c r="AF166" s="252">
        <v>0</v>
      </c>
      <c r="AG166" s="252">
        <v>0</v>
      </c>
      <c r="AH166" s="252">
        <v>0</v>
      </c>
      <c r="AI166" s="252">
        <v>0</v>
      </c>
      <c r="AJ166" s="252">
        <v>0</v>
      </c>
      <c r="AK166" s="252">
        <v>0</v>
      </c>
      <c r="AL166" s="263">
        <f t="shared" si="34"/>
        <v>0</v>
      </c>
    </row>
    <row r="167" spans="1:38" ht="14.4" customHeight="1">
      <c r="A167" s="506"/>
      <c r="B167" s="261" t="s">
        <v>37</v>
      </c>
      <c r="C167" s="252">
        <v>0</v>
      </c>
      <c r="D167" s="252">
        <v>0</v>
      </c>
      <c r="E167" s="252">
        <v>0</v>
      </c>
      <c r="F167" s="252">
        <v>0</v>
      </c>
      <c r="G167" s="252">
        <v>0</v>
      </c>
      <c r="H167" s="252">
        <v>0</v>
      </c>
      <c r="I167" s="252">
        <v>0</v>
      </c>
      <c r="J167" s="252">
        <v>0</v>
      </c>
      <c r="K167" s="252">
        <v>0</v>
      </c>
      <c r="L167" s="252">
        <v>0</v>
      </c>
      <c r="M167" s="252">
        <v>0</v>
      </c>
      <c r="N167" s="252">
        <v>0</v>
      </c>
      <c r="O167" s="252">
        <v>0</v>
      </c>
      <c r="P167" s="252">
        <v>0</v>
      </c>
      <c r="Q167" s="252">
        <v>0</v>
      </c>
      <c r="R167" s="263">
        <f t="shared" si="33"/>
        <v>0</v>
      </c>
      <c r="U167" s="506"/>
      <c r="V167" s="261" t="s">
        <v>37</v>
      </c>
      <c r="W167" s="252">
        <v>0</v>
      </c>
      <c r="X167" s="252">
        <v>0</v>
      </c>
      <c r="Y167" s="252">
        <v>0</v>
      </c>
      <c r="Z167" s="252">
        <v>0</v>
      </c>
      <c r="AA167" s="252">
        <v>0</v>
      </c>
      <c r="AB167" s="252">
        <v>0</v>
      </c>
      <c r="AC167" s="252">
        <v>0</v>
      </c>
      <c r="AD167" s="252">
        <v>0</v>
      </c>
      <c r="AE167" s="252">
        <v>0</v>
      </c>
      <c r="AF167" s="252">
        <v>0</v>
      </c>
      <c r="AG167" s="252">
        <v>0</v>
      </c>
      <c r="AH167" s="252">
        <v>0</v>
      </c>
      <c r="AI167" s="252">
        <v>0</v>
      </c>
      <c r="AJ167" s="252">
        <v>0</v>
      </c>
      <c r="AK167" s="252">
        <v>0</v>
      </c>
      <c r="AL167" s="263">
        <f t="shared" si="34"/>
        <v>0</v>
      </c>
    </row>
    <row r="168" spans="1:38" ht="14.4" customHeight="1">
      <c r="A168" s="506"/>
      <c r="B168" s="261" t="s">
        <v>38</v>
      </c>
      <c r="C168" s="252">
        <v>0</v>
      </c>
      <c r="D168" s="252">
        <v>0</v>
      </c>
      <c r="E168" s="252">
        <v>0</v>
      </c>
      <c r="F168" s="252">
        <v>0</v>
      </c>
      <c r="G168" s="252">
        <v>0</v>
      </c>
      <c r="H168" s="252">
        <v>0</v>
      </c>
      <c r="I168" s="252">
        <v>0</v>
      </c>
      <c r="J168" s="252">
        <v>0</v>
      </c>
      <c r="K168" s="252">
        <v>0</v>
      </c>
      <c r="L168" s="252">
        <v>0</v>
      </c>
      <c r="M168" s="252">
        <v>0</v>
      </c>
      <c r="N168" s="252">
        <v>0</v>
      </c>
      <c r="O168" s="252">
        <f>O159*$F$17</f>
        <v>0.13013540764925541</v>
      </c>
      <c r="P168" s="252">
        <v>0</v>
      </c>
      <c r="Q168" s="252">
        <v>0</v>
      </c>
      <c r="R168" s="263">
        <f t="shared" si="33"/>
        <v>0.13013540764925541</v>
      </c>
      <c r="U168" s="506"/>
      <c r="V168" s="261" t="s">
        <v>38</v>
      </c>
      <c r="W168" s="252">
        <v>0</v>
      </c>
      <c r="X168" s="252">
        <v>0</v>
      </c>
      <c r="Y168" s="252">
        <v>0</v>
      </c>
      <c r="Z168" s="252">
        <v>0</v>
      </c>
      <c r="AA168" s="252">
        <v>0</v>
      </c>
      <c r="AB168" s="252">
        <v>0</v>
      </c>
      <c r="AC168" s="252">
        <v>0</v>
      </c>
      <c r="AD168" s="252">
        <v>0</v>
      </c>
      <c r="AE168" s="252">
        <v>0</v>
      </c>
      <c r="AF168" s="252">
        <v>0</v>
      </c>
      <c r="AG168" s="252">
        <v>0</v>
      </c>
      <c r="AH168" s="252">
        <v>0</v>
      </c>
      <c r="AI168" s="252">
        <f>AI159*$F$17</f>
        <v>0.10760398459770433</v>
      </c>
      <c r="AJ168" s="252">
        <v>0</v>
      </c>
      <c r="AK168" s="252">
        <v>0</v>
      </c>
      <c r="AL168" s="263">
        <f t="shared" si="34"/>
        <v>0.10760398459770433</v>
      </c>
    </row>
    <row r="169" spans="1:38" ht="14.4" customHeight="1">
      <c r="A169" s="506"/>
      <c r="B169" s="261" t="s">
        <v>39</v>
      </c>
      <c r="C169" s="252">
        <v>0</v>
      </c>
      <c r="D169" s="252">
        <v>0</v>
      </c>
      <c r="E169" s="252">
        <v>0</v>
      </c>
      <c r="F169" s="252">
        <v>0</v>
      </c>
      <c r="G169" s="252">
        <v>0</v>
      </c>
      <c r="H169" s="252">
        <v>0</v>
      </c>
      <c r="I169" s="252">
        <v>0</v>
      </c>
      <c r="J169" s="252">
        <v>0</v>
      </c>
      <c r="K169" s="252">
        <v>0</v>
      </c>
      <c r="L169" s="252">
        <v>0</v>
      </c>
      <c r="M169" s="252">
        <v>0</v>
      </c>
      <c r="N169" s="252">
        <v>0</v>
      </c>
      <c r="O169" s="252">
        <f>O159*$F$18</f>
        <v>0.91819863624117493</v>
      </c>
      <c r="P169" s="252">
        <f>P160*$R$18</f>
        <v>0</v>
      </c>
      <c r="Q169" s="252">
        <v>0</v>
      </c>
      <c r="R169" s="263">
        <f t="shared" si="33"/>
        <v>0.91819863624117493</v>
      </c>
      <c r="U169" s="506"/>
      <c r="V169" s="261" t="s">
        <v>39</v>
      </c>
      <c r="W169" s="252">
        <v>0</v>
      </c>
      <c r="X169" s="252">
        <v>0</v>
      </c>
      <c r="Y169" s="252">
        <v>0</v>
      </c>
      <c r="Z169" s="252">
        <v>0</v>
      </c>
      <c r="AA169" s="252">
        <v>0</v>
      </c>
      <c r="AB169" s="252">
        <v>0</v>
      </c>
      <c r="AC169" s="252">
        <v>0</v>
      </c>
      <c r="AD169" s="252">
        <v>0</v>
      </c>
      <c r="AE169" s="252">
        <v>0</v>
      </c>
      <c r="AF169" s="252">
        <v>0</v>
      </c>
      <c r="AG169" s="252">
        <v>0</v>
      </c>
      <c r="AH169" s="252">
        <v>0</v>
      </c>
      <c r="AI169" s="252">
        <f>AI159*$F$18</f>
        <v>0.75922328670166372</v>
      </c>
      <c r="AJ169" s="252">
        <f>AJ160*$R$18</f>
        <v>0</v>
      </c>
      <c r="AK169" s="252">
        <v>0</v>
      </c>
      <c r="AL169" s="263">
        <f t="shared" si="34"/>
        <v>0.75922328670166372</v>
      </c>
    </row>
    <row r="170" spans="1:38" ht="14.4" customHeight="1">
      <c r="A170" s="506"/>
      <c r="B170" s="256" t="s">
        <v>40</v>
      </c>
      <c r="C170" s="257">
        <f>SUM(C158:C169)</f>
        <v>0</v>
      </c>
      <c r="D170" s="257">
        <f t="shared" ref="D170:N170" si="37">SUM(D158:D169)</f>
        <v>0</v>
      </c>
      <c r="E170" s="257">
        <f t="shared" si="37"/>
        <v>16.235451592336855</v>
      </c>
      <c r="F170" s="257">
        <f t="shared" si="37"/>
        <v>0</v>
      </c>
      <c r="G170" s="257">
        <f t="shared" si="37"/>
        <v>0</v>
      </c>
      <c r="H170" s="257">
        <f t="shared" si="37"/>
        <v>8.2750000000000004</v>
      </c>
      <c r="I170" s="257">
        <f t="shared" si="37"/>
        <v>10</v>
      </c>
      <c r="J170" s="257">
        <f t="shared" si="37"/>
        <v>0</v>
      </c>
      <c r="K170" s="257">
        <f t="shared" si="37"/>
        <v>0</v>
      </c>
      <c r="L170" s="257">
        <f t="shared" si="37"/>
        <v>1.3333333333333337</v>
      </c>
      <c r="M170" s="257">
        <f t="shared" si="37"/>
        <v>0</v>
      </c>
      <c r="N170" s="257">
        <f t="shared" si="37"/>
        <v>0</v>
      </c>
      <c r="O170" s="257">
        <f>-O180</f>
        <v>-19.170264656737785</v>
      </c>
      <c r="P170" s="257">
        <f>-P172</f>
        <v>0</v>
      </c>
      <c r="Q170" s="257">
        <f>SUM(Q158:Q169)</f>
        <v>0</v>
      </c>
      <c r="R170" s="257">
        <f t="shared" si="33"/>
        <v>16.673520268932407</v>
      </c>
      <c r="U170" s="506"/>
      <c r="V170" s="256" t="s">
        <v>40</v>
      </c>
      <c r="W170" s="257">
        <f>SUM(W158:W169)</f>
        <v>0</v>
      </c>
      <c r="X170" s="257">
        <f t="shared" ref="X170:AH170" si="38">SUM(X158:X169)</f>
        <v>0</v>
      </c>
      <c r="Y170" s="257">
        <f t="shared" si="38"/>
        <v>0</v>
      </c>
      <c r="Z170" s="257">
        <f t="shared" si="38"/>
        <v>0</v>
      </c>
      <c r="AA170" s="257">
        <f t="shared" si="38"/>
        <v>0</v>
      </c>
      <c r="AB170" s="257">
        <f t="shared" si="38"/>
        <v>7.0709164572124124</v>
      </c>
      <c r="AC170" s="257">
        <f t="shared" si="38"/>
        <v>6.4003985173043381</v>
      </c>
      <c r="AD170" s="257">
        <f t="shared" si="38"/>
        <v>1.2191235271055882</v>
      </c>
      <c r="AE170" s="257">
        <f t="shared" si="38"/>
        <v>15.240978963454843</v>
      </c>
      <c r="AF170" s="257">
        <f t="shared" si="38"/>
        <v>0.83811343954005602</v>
      </c>
      <c r="AG170" s="257">
        <f t="shared" si="38"/>
        <v>0</v>
      </c>
      <c r="AH170" s="257">
        <f t="shared" si="38"/>
        <v>0</v>
      </c>
      <c r="AI170" s="257">
        <f>-AI180</f>
        <v>-15.851157652782987</v>
      </c>
      <c r="AJ170" s="257">
        <f>-AJ172</f>
        <v>0</v>
      </c>
      <c r="AK170" s="257">
        <f>SUM(AK158:AK169)</f>
        <v>0</v>
      </c>
      <c r="AL170" s="257">
        <f t="shared" si="34"/>
        <v>14.91837325183425</v>
      </c>
    </row>
    <row r="171" spans="1:38" ht="14.4" customHeight="1">
      <c r="A171" s="506"/>
      <c r="B171" s="258"/>
      <c r="C171" s="259"/>
      <c r="D171" s="259"/>
      <c r="E171" s="266"/>
      <c r="F171" s="259"/>
      <c r="G171" s="259"/>
      <c r="H171" s="259"/>
      <c r="I171" s="266"/>
      <c r="J171" s="259"/>
      <c r="K171" s="259"/>
      <c r="L171" s="259"/>
      <c r="M171" s="267"/>
      <c r="N171" s="259"/>
      <c r="O171" s="259"/>
      <c r="P171" s="259"/>
      <c r="Q171" s="259"/>
      <c r="R171" s="259"/>
      <c r="U171" s="506"/>
      <c r="V171" s="258"/>
      <c r="W171" s="259"/>
      <c r="X171" s="259"/>
      <c r="Y171" s="266"/>
      <c r="Z171" s="259"/>
      <c r="AA171" s="259"/>
      <c r="AB171" s="259"/>
      <c r="AC171" s="266"/>
      <c r="AD171" s="259"/>
      <c r="AE171" s="259"/>
      <c r="AF171" s="259"/>
      <c r="AG171" s="267"/>
      <c r="AH171" s="259"/>
      <c r="AI171" s="259"/>
      <c r="AJ171" s="259"/>
      <c r="AK171" s="259"/>
      <c r="AL171" s="259"/>
    </row>
    <row r="172" spans="1:38" ht="14.4" customHeight="1">
      <c r="A172" s="506"/>
      <c r="B172" s="261" t="s">
        <v>41</v>
      </c>
      <c r="C172" s="252">
        <v>0</v>
      </c>
      <c r="D172" s="252">
        <v>0</v>
      </c>
      <c r="E172" s="252">
        <f>Industrie!$F$35</f>
        <v>0</v>
      </c>
      <c r="F172" s="252">
        <v>0</v>
      </c>
      <c r="G172" s="252">
        <v>0</v>
      </c>
      <c r="H172" s="252">
        <v>0</v>
      </c>
      <c r="I172" s="252">
        <v>0</v>
      </c>
      <c r="J172" s="252">
        <v>0</v>
      </c>
      <c r="K172" s="252">
        <v>0</v>
      </c>
      <c r="L172" s="252">
        <v>0</v>
      </c>
      <c r="M172" s="252">
        <v>0</v>
      </c>
      <c r="N172" s="252">
        <v>0</v>
      </c>
      <c r="O172" s="252">
        <f>Industrie!$F$36</f>
        <v>1.4022328378287445</v>
      </c>
      <c r="P172" s="252">
        <f>Industrie!$F$39</f>
        <v>0</v>
      </c>
      <c r="Q172" s="252">
        <v>0</v>
      </c>
      <c r="R172" s="263">
        <f>SUM(C172:Q172)</f>
        <v>1.4022328378287445</v>
      </c>
      <c r="S172" s="268">
        <f>R170+R180</f>
        <v>83.579620738395434</v>
      </c>
      <c r="U172" s="506"/>
      <c r="V172" s="261" t="s">
        <v>41</v>
      </c>
      <c r="W172" s="252">
        <v>0</v>
      </c>
      <c r="X172" s="252">
        <v>0</v>
      </c>
      <c r="Y172" s="252">
        <f>Industrie!$F$56</f>
        <v>0</v>
      </c>
      <c r="Z172" s="252">
        <v>0</v>
      </c>
      <c r="AA172" s="252">
        <v>0</v>
      </c>
      <c r="AB172" s="252">
        <v>0</v>
      </c>
      <c r="AC172" s="252">
        <f>Industrie!$F$62*$V$13/SUM($V$13:$AA$13)</f>
        <v>0</v>
      </c>
      <c r="AD172" s="252">
        <f>Industrie!$F$62*$W$13/SUM($V$13:$AA$13)</f>
        <v>0</v>
      </c>
      <c r="AE172" s="252">
        <f>Industrie!$F$62*$X$13/SUM($V$13:$AA$13)</f>
        <v>0</v>
      </c>
      <c r="AF172" s="252">
        <f>Industrie!$F$62*$Y$13/SUM($V$13:$AA$13)</f>
        <v>0</v>
      </c>
      <c r="AG172" s="252">
        <f>Industrie!$F$62*$Z$13/SUM($V$13:$AA$13)</f>
        <v>0</v>
      </c>
      <c r="AH172" s="252">
        <f>Industrie!$F$62*$AA$13/SUM($V$13:$AA$13)</f>
        <v>0</v>
      </c>
      <c r="AI172" s="252">
        <f>Industrie!$F$57</f>
        <v>1.1122472713662015</v>
      </c>
      <c r="AJ172" s="252">
        <f>Industrie!$F$63</f>
        <v>0</v>
      </c>
      <c r="AK172" s="252">
        <v>0</v>
      </c>
      <c r="AL172" s="263">
        <f>SUM(W172:AK172)</f>
        <v>1.1122472713662015</v>
      </c>
    </row>
    <row r="173" spans="1:38" ht="14.4" customHeight="1">
      <c r="A173" s="506"/>
      <c r="B173" s="261" t="s">
        <v>42</v>
      </c>
      <c r="C173" s="252">
        <v>0</v>
      </c>
      <c r="D173" s="252">
        <v>0</v>
      </c>
      <c r="E173" s="252">
        <f>Transports!$H$49+Transports!$F$203+Transports!$F$105</f>
        <v>44.598325026827098</v>
      </c>
      <c r="F173" s="252">
        <v>0</v>
      </c>
      <c r="G173" s="252">
        <v>0</v>
      </c>
      <c r="H173" s="252">
        <v>0</v>
      </c>
      <c r="I173" s="252">
        <v>0</v>
      </c>
      <c r="J173" s="252">
        <v>0</v>
      </c>
      <c r="K173" s="252">
        <v>0</v>
      </c>
      <c r="L173" s="252">
        <v>0</v>
      </c>
      <c r="M173" s="252">
        <v>0</v>
      </c>
      <c r="N173" s="252">
        <v>0</v>
      </c>
      <c r="O173" s="252">
        <f>Transports!$H$50+Transports!$F$106</f>
        <v>0.44980498824547199</v>
      </c>
      <c r="P173" s="252">
        <v>0</v>
      </c>
      <c r="Q173" s="252">
        <v>0</v>
      </c>
      <c r="R173" s="263">
        <f t="shared" ref="R173:R180" si="39">SUM(C173:Q173)</f>
        <v>45.048130015072573</v>
      </c>
      <c r="U173" s="506"/>
      <c r="V173" s="261" t="s">
        <v>42</v>
      </c>
      <c r="W173" s="252">
        <v>0</v>
      </c>
      <c r="X173" s="252">
        <v>0</v>
      </c>
      <c r="Y173" s="252">
        <f>Transports!$H$76+Transports!$F$150+Transports!$F$238</f>
        <v>33.204200777479279</v>
      </c>
      <c r="Z173" s="252">
        <v>0</v>
      </c>
      <c r="AA173" s="252">
        <v>0</v>
      </c>
      <c r="AB173" s="252">
        <v>0</v>
      </c>
      <c r="AC173" s="252">
        <v>0</v>
      </c>
      <c r="AD173" s="252">
        <v>0</v>
      </c>
      <c r="AE173" s="252">
        <f>Transports!$F$236+Transports!$F$237</f>
        <v>0.56129272745716197</v>
      </c>
      <c r="AF173" s="252">
        <v>0</v>
      </c>
      <c r="AG173" s="252">
        <v>0</v>
      </c>
      <c r="AH173" s="252">
        <v>0</v>
      </c>
      <c r="AI173" s="252">
        <f>Transports!$H$77+Transports!$F$151</f>
        <v>3.9162737602552951</v>
      </c>
      <c r="AJ173" s="252">
        <v>0</v>
      </c>
      <c r="AK173" s="252">
        <v>0</v>
      </c>
      <c r="AL173" s="263">
        <f t="shared" ref="AL173:AL180" si="40">SUM(W173:AK173)</f>
        <v>37.681767265191738</v>
      </c>
    </row>
    <row r="174" spans="1:38" ht="14.4" customHeight="1">
      <c r="A174" s="506"/>
      <c r="B174" s="261" t="s">
        <v>43</v>
      </c>
      <c r="C174" s="252">
        <v>0</v>
      </c>
      <c r="D174" s="252">
        <v>0</v>
      </c>
      <c r="E174" s="252">
        <f>'Résidentiel-tertiaire'!$F$172</f>
        <v>1.9588877185970415</v>
      </c>
      <c r="F174" s="252">
        <v>0</v>
      </c>
      <c r="G174" s="252">
        <v>0</v>
      </c>
      <c r="H174" s="252">
        <v>0</v>
      </c>
      <c r="I174" s="252">
        <v>0</v>
      </c>
      <c r="J174" s="252">
        <v>0</v>
      </c>
      <c r="K174" s="252">
        <v>0</v>
      </c>
      <c r="L174" s="252">
        <v>0</v>
      </c>
      <c r="M174" s="252">
        <v>0</v>
      </c>
      <c r="N174" s="252">
        <v>0</v>
      </c>
      <c r="O174" s="252">
        <f>'Résidentiel-tertiaire'!$F$174</f>
        <v>8.1186216614912539</v>
      </c>
      <c r="P174" s="252">
        <v>0</v>
      </c>
      <c r="Q174" s="252">
        <v>0</v>
      </c>
      <c r="R174" s="263">
        <f t="shared" si="39"/>
        <v>10.077509380088296</v>
      </c>
      <c r="U174" s="506"/>
      <c r="V174" s="261" t="s">
        <v>43</v>
      </c>
      <c r="W174" s="252">
        <v>0</v>
      </c>
      <c r="X174" s="252">
        <v>0</v>
      </c>
      <c r="Y174" s="252">
        <f>'Résidentiel-tertiaire'!$F$187</f>
        <v>0.97749999999999981</v>
      </c>
      <c r="Z174" s="252">
        <v>0</v>
      </c>
      <c r="AA174" s="252">
        <v>0</v>
      </c>
      <c r="AB174" s="252">
        <v>0</v>
      </c>
      <c r="AC174" s="252">
        <f>'Résidentiel-tertiaire'!$F$188*$V$14/SUM($V$14:$AA$14)</f>
        <v>0</v>
      </c>
      <c r="AD174" s="252">
        <f>'Résidentiel-tertiaire'!$F$188*$W$14/SUM($V$14:$AA$14)</f>
        <v>0</v>
      </c>
      <c r="AE174" s="252">
        <f>'Résidentiel-tertiaire'!$F$188*$X$14/SUM($V$14:$AA$14)</f>
        <v>0</v>
      </c>
      <c r="AF174" s="252">
        <f>'Résidentiel-tertiaire'!$F$188*$Y$14/SUM($V$14:$AA$14)</f>
        <v>0</v>
      </c>
      <c r="AG174" s="252">
        <f>'Résidentiel-tertiaire'!$F$188*$Z$14/SUM($V$14:$AA$14)</f>
        <v>0</v>
      </c>
      <c r="AH174" s="252">
        <f>'Résidentiel-tertiaire'!$F$188*$AA$14/SUM($V$14:$AA$14)</f>
        <v>0.51782554277566228</v>
      </c>
      <c r="AI174" s="252">
        <f>'Résidentiel-tertiaire'!$F$189</f>
        <v>6.4965441009451173</v>
      </c>
      <c r="AJ174" s="252">
        <v>0</v>
      </c>
      <c r="AK174" s="252">
        <v>0</v>
      </c>
      <c r="AL174" s="263">
        <f t="shared" si="40"/>
        <v>7.9918696437207792</v>
      </c>
    </row>
    <row r="175" spans="1:38" ht="14.4" customHeight="1">
      <c r="A175" s="506"/>
      <c r="B175" s="261" t="s">
        <v>44</v>
      </c>
      <c r="C175" s="252">
        <v>0</v>
      </c>
      <c r="D175" s="252">
        <v>0</v>
      </c>
      <c r="E175" s="252">
        <f>'Résidentiel-tertiaire'!$F$177</f>
        <v>0.83915487444643633</v>
      </c>
      <c r="F175" s="252">
        <v>0</v>
      </c>
      <c r="G175" s="252">
        <v>0</v>
      </c>
      <c r="H175" s="252">
        <v>0</v>
      </c>
      <c r="I175" s="252">
        <v>0</v>
      </c>
      <c r="J175" s="252">
        <v>0</v>
      </c>
      <c r="K175" s="252">
        <v>0</v>
      </c>
      <c r="L175" s="252">
        <v>0</v>
      </c>
      <c r="M175" s="252">
        <v>0</v>
      </c>
      <c r="N175" s="252">
        <v>0</v>
      </c>
      <c r="O175" s="252">
        <f>'Résidentiel-tertiaire'!$F$179</f>
        <v>9.1996051691723153</v>
      </c>
      <c r="P175" s="252">
        <v>0</v>
      </c>
      <c r="Q175" s="252">
        <v>0</v>
      </c>
      <c r="R175" s="263">
        <f t="shared" si="39"/>
        <v>10.038760043618751</v>
      </c>
      <c r="U175" s="506"/>
      <c r="V175" s="261" t="s">
        <v>44</v>
      </c>
      <c r="W175" s="252">
        <v>0</v>
      </c>
      <c r="X175" s="252">
        <v>0</v>
      </c>
      <c r="Y175" s="252">
        <f>'Résidentiel-tertiaire'!$F$192</f>
        <v>0.49194444444444441</v>
      </c>
      <c r="Z175" s="252">
        <v>0</v>
      </c>
      <c r="AA175" s="252">
        <v>0</v>
      </c>
      <c r="AB175" s="252">
        <v>0</v>
      </c>
      <c r="AC175" s="252">
        <f>'Résidentiel-tertiaire'!$F$193*$V$15/SUM($V$15:$AA$15)</f>
        <v>0</v>
      </c>
      <c r="AD175" s="252">
        <f>'Résidentiel-tertiaire'!$F$193*$W$15/SUM($V$15:$AA$15)</f>
        <v>0</v>
      </c>
      <c r="AE175" s="252">
        <f>'Résidentiel-tertiaire'!$F$193*$X$15/SUM($V$15:$AA$15)</f>
        <v>0</v>
      </c>
      <c r="AF175" s="252">
        <f>'Résidentiel-tertiaire'!$F$193*$Y$15/SUM($V$15:$AA$15)</f>
        <v>0</v>
      </c>
      <c r="AG175" s="252">
        <f>'Résidentiel-tertiaire'!$F$193*$Z$15/SUM($V$15:$AA$15)</f>
        <v>0</v>
      </c>
      <c r="AH175" s="252">
        <f>'Résidentiel-tertiaire'!$F$193*$AA$15/SUM($V$15:$AA$15)</f>
        <v>0</v>
      </c>
      <c r="AI175" s="252">
        <f>'Résidentiel-tertiaire'!$F$194</f>
        <v>4.326092520216374</v>
      </c>
      <c r="AJ175" s="252">
        <v>0</v>
      </c>
      <c r="AK175" s="252">
        <v>0</v>
      </c>
      <c r="AL175" s="263">
        <f t="shared" si="40"/>
        <v>4.8180369646608181</v>
      </c>
    </row>
    <row r="176" spans="1:38" ht="14.4" customHeight="1">
      <c r="A176" s="506"/>
      <c r="B176" s="261" t="s">
        <v>4</v>
      </c>
      <c r="C176" s="252">
        <v>0</v>
      </c>
      <c r="D176" s="252">
        <v>0</v>
      </c>
      <c r="E176" s="252">
        <f>Agriculture!$P$27</f>
        <v>0.33946819285466528</v>
      </c>
      <c r="F176" s="252">
        <v>0</v>
      </c>
      <c r="G176" s="252">
        <v>0</v>
      </c>
      <c r="H176" s="252">
        <v>0</v>
      </c>
      <c r="I176" s="252">
        <v>0</v>
      </c>
      <c r="J176" s="252">
        <v>0</v>
      </c>
      <c r="K176" s="252">
        <v>0</v>
      </c>
      <c r="L176" s="252">
        <v>0</v>
      </c>
      <c r="M176" s="252">
        <v>0</v>
      </c>
      <c r="N176" s="252">
        <v>0</v>
      </c>
      <c r="O176" s="252">
        <f>Agriculture!$P$28</f>
        <v>0</v>
      </c>
      <c r="P176" s="252">
        <v>0</v>
      </c>
      <c r="Q176" s="252">
        <v>0</v>
      </c>
      <c r="R176" s="263">
        <f t="shared" si="39"/>
        <v>0.33946819285466528</v>
      </c>
      <c r="U176" s="506"/>
      <c r="V176" s="261" t="s">
        <v>4</v>
      </c>
      <c r="W176" s="252">
        <v>0</v>
      </c>
      <c r="X176" s="252">
        <v>0</v>
      </c>
      <c r="Y176" s="252">
        <f>Agriculture!$U$43</f>
        <v>0.160752688172043</v>
      </c>
      <c r="Z176" s="252">
        <v>0</v>
      </c>
      <c r="AA176" s="252">
        <v>0</v>
      </c>
      <c r="AB176" s="252">
        <v>0</v>
      </c>
      <c r="AC176" s="252">
        <v>0</v>
      </c>
      <c r="AD176" s="252">
        <v>0</v>
      </c>
      <c r="AE176" s="252">
        <f>Agriculture!$U$45</f>
        <v>0.1597238709677419</v>
      </c>
      <c r="AF176" s="252">
        <v>0</v>
      </c>
      <c r="AG176" s="252">
        <v>0</v>
      </c>
      <c r="AH176" s="252">
        <v>0</v>
      </c>
      <c r="AI176" s="252">
        <f>Agriculture!$U$44</f>
        <v>0</v>
      </c>
      <c r="AJ176" s="252">
        <v>0</v>
      </c>
      <c r="AK176" s="252">
        <v>0</v>
      </c>
      <c r="AL176" s="263">
        <f t="shared" si="40"/>
        <v>0.3204765591397849</v>
      </c>
    </row>
    <row r="177" spans="1:38" ht="14.4" customHeight="1">
      <c r="A177" s="506"/>
      <c r="B177" s="261" t="s">
        <v>397</v>
      </c>
      <c r="C177" s="252">
        <v>0</v>
      </c>
      <c r="D177" s="252">
        <v>0</v>
      </c>
      <c r="E177" s="252">
        <v>0</v>
      </c>
      <c r="F177" s="252">
        <v>0</v>
      </c>
      <c r="G177" s="252">
        <v>0</v>
      </c>
      <c r="H177" s="252">
        <v>0</v>
      </c>
      <c r="I177" s="252">
        <v>0</v>
      </c>
      <c r="J177" s="252">
        <v>0</v>
      </c>
      <c r="K177" s="252">
        <v>0</v>
      </c>
      <c r="L177" s="252">
        <v>0</v>
      </c>
      <c r="M177" s="252">
        <v>0</v>
      </c>
      <c r="N177" s="252">
        <v>0</v>
      </c>
      <c r="O177" s="252">
        <v>0</v>
      </c>
      <c r="P177" s="252">
        <v>0</v>
      </c>
      <c r="Q177" s="252">
        <v>0</v>
      </c>
      <c r="R177" s="263">
        <f t="shared" si="39"/>
        <v>0</v>
      </c>
      <c r="U177" s="506"/>
      <c r="V177" s="261" t="s">
        <v>397</v>
      </c>
      <c r="W177" s="252">
        <v>0</v>
      </c>
      <c r="X177" s="252">
        <v>0</v>
      </c>
      <c r="Y177" s="252">
        <v>0</v>
      </c>
      <c r="Z177" s="252">
        <v>0</v>
      </c>
      <c r="AA177" s="252">
        <v>0</v>
      </c>
      <c r="AB177" s="252">
        <v>0</v>
      </c>
      <c r="AC177" s="252">
        <v>0</v>
      </c>
      <c r="AD177" s="252">
        <v>0</v>
      </c>
      <c r="AE177" s="252">
        <v>0</v>
      </c>
      <c r="AF177" s="252">
        <v>0</v>
      </c>
      <c r="AG177" s="252">
        <v>0</v>
      </c>
      <c r="AH177" s="252">
        <v>0</v>
      </c>
      <c r="AI177" s="252">
        <v>0</v>
      </c>
      <c r="AJ177" s="252">
        <v>0</v>
      </c>
      <c r="AK177" s="252">
        <v>0</v>
      </c>
      <c r="AL177" s="263">
        <f t="shared" si="40"/>
        <v>0</v>
      </c>
    </row>
    <row r="178" spans="1:38" ht="14.4" customHeight="1">
      <c r="A178" s="506"/>
      <c r="B178" s="256" t="s">
        <v>45</v>
      </c>
      <c r="C178" s="257">
        <f>SUM(C172:C177)</f>
        <v>0</v>
      </c>
      <c r="D178" s="257">
        <f t="shared" ref="D178:Q178" si="41">SUM(D172:D177)</f>
        <v>0</v>
      </c>
      <c r="E178" s="257">
        <f t="shared" si="41"/>
        <v>47.735835812725242</v>
      </c>
      <c r="F178" s="257">
        <f t="shared" si="41"/>
        <v>0</v>
      </c>
      <c r="G178" s="257">
        <f t="shared" si="41"/>
        <v>0</v>
      </c>
      <c r="H178" s="257">
        <f t="shared" si="41"/>
        <v>0</v>
      </c>
      <c r="I178" s="257">
        <f t="shared" si="41"/>
        <v>0</v>
      </c>
      <c r="J178" s="257">
        <f t="shared" si="41"/>
        <v>0</v>
      </c>
      <c r="K178" s="257">
        <f t="shared" si="41"/>
        <v>0</v>
      </c>
      <c r="L178" s="257">
        <f t="shared" si="41"/>
        <v>0</v>
      </c>
      <c r="M178" s="257">
        <f t="shared" si="41"/>
        <v>0</v>
      </c>
      <c r="N178" s="257">
        <f t="shared" si="41"/>
        <v>0</v>
      </c>
      <c r="O178" s="257">
        <f t="shared" si="41"/>
        <v>19.170264656737785</v>
      </c>
      <c r="P178" s="257">
        <f t="shared" si="41"/>
        <v>0</v>
      </c>
      <c r="Q178" s="257">
        <f t="shared" si="41"/>
        <v>0</v>
      </c>
      <c r="R178" s="257">
        <f t="shared" si="39"/>
        <v>66.906100469463027</v>
      </c>
      <c r="U178" s="506"/>
      <c r="V178" s="256" t="s">
        <v>45</v>
      </c>
      <c r="W178" s="257">
        <f>SUM(W172:W177)</f>
        <v>0</v>
      </c>
      <c r="X178" s="257">
        <f t="shared" ref="X178:AK178" si="42">SUM(X172:X177)</f>
        <v>0</v>
      </c>
      <c r="Y178" s="257">
        <f t="shared" si="42"/>
        <v>34.834397910095767</v>
      </c>
      <c r="Z178" s="257">
        <f t="shared" si="42"/>
        <v>0</v>
      </c>
      <c r="AA178" s="257">
        <f t="shared" si="42"/>
        <v>0</v>
      </c>
      <c r="AB178" s="257">
        <f t="shared" si="42"/>
        <v>0</v>
      </c>
      <c r="AC178" s="257">
        <f t="shared" si="42"/>
        <v>0</v>
      </c>
      <c r="AD178" s="257">
        <f t="shared" si="42"/>
        <v>0</v>
      </c>
      <c r="AE178" s="257">
        <f t="shared" si="42"/>
        <v>0.72101659842490384</v>
      </c>
      <c r="AF178" s="257">
        <f t="shared" si="42"/>
        <v>0</v>
      </c>
      <c r="AG178" s="257">
        <f t="shared" si="42"/>
        <v>0</v>
      </c>
      <c r="AH178" s="257">
        <f t="shared" si="42"/>
        <v>0.51782554277566228</v>
      </c>
      <c r="AI178" s="257">
        <f t="shared" si="42"/>
        <v>15.851157652782987</v>
      </c>
      <c r="AJ178" s="257">
        <f t="shared" si="42"/>
        <v>0</v>
      </c>
      <c r="AK178" s="257">
        <f t="shared" si="42"/>
        <v>0</v>
      </c>
      <c r="AL178" s="257">
        <f t="shared" si="40"/>
        <v>51.924397704079318</v>
      </c>
    </row>
    <row r="179" spans="1:38" ht="14.4" customHeight="1">
      <c r="A179" s="506"/>
      <c r="B179" s="251" t="s">
        <v>46</v>
      </c>
      <c r="C179" s="252">
        <v>0</v>
      </c>
      <c r="D179" s="252">
        <v>0</v>
      </c>
      <c r="E179" s="252">
        <f>Industrie!$F$37</f>
        <v>0</v>
      </c>
      <c r="F179" s="252">
        <v>0</v>
      </c>
      <c r="G179" s="252">
        <v>0</v>
      </c>
      <c r="H179" s="252">
        <v>0</v>
      </c>
      <c r="I179" s="252">
        <v>0</v>
      </c>
      <c r="J179" s="252">
        <v>0</v>
      </c>
      <c r="K179" s="252">
        <v>0</v>
      </c>
      <c r="L179" s="252">
        <v>0</v>
      </c>
      <c r="M179" s="252">
        <v>0</v>
      </c>
      <c r="N179" s="252">
        <v>0</v>
      </c>
      <c r="O179" s="252">
        <v>0</v>
      </c>
      <c r="P179" s="252">
        <v>0</v>
      </c>
      <c r="Q179" s="252">
        <v>0</v>
      </c>
      <c r="R179" s="263">
        <f t="shared" si="39"/>
        <v>0</v>
      </c>
      <c r="U179" s="506"/>
      <c r="V179" s="251" t="s">
        <v>46</v>
      </c>
      <c r="W179" s="252">
        <v>0</v>
      </c>
      <c r="X179" s="252">
        <v>0</v>
      </c>
      <c r="Y179" s="252">
        <f>Industrie!$F$59</f>
        <v>0</v>
      </c>
      <c r="Z179" s="252">
        <v>0</v>
      </c>
      <c r="AA179" s="252">
        <v>0</v>
      </c>
      <c r="AB179" s="252">
        <v>0</v>
      </c>
      <c r="AC179" s="252">
        <v>0</v>
      </c>
      <c r="AD179" s="252">
        <v>0</v>
      </c>
      <c r="AE179" s="252">
        <v>0</v>
      </c>
      <c r="AF179" s="252">
        <v>0</v>
      </c>
      <c r="AG179" s="252">
        <v>0</v>
      </c>
      <c r="AH179" s="252">
        <v>0</v>
      </c>
      <c r="AI179" s="252">
        <v>0</v>
      </c>
      <c r="AJ179" s="252">
        <v>0</v>
      </c>
      <c r="AK179" s="252">
        <v>0</v>
      </c>
      <c r="AL179" s="263">
        <f t="shared" si="40"/>
        <v>0</v>
      </c>
    </row>
    <row r="180" spans="1:38" ht="14.4" customHeight="1">
      <c r="A180" s="506"/>
      <c r="B180" s="256" t="s">
        <v>47</v>
      </c>
      <c r="C180" s="257">
        <f>C179+C178</f>
        <v>0</v>
      </c>
      <c r="D180" s="257">
        <f t="shared" ref="D180:Q180" si="43">D179+D178</f>
        <v>0</v>
      </c>
      <c r="E180" s="257">
        <f t="shared" si="43"/>
        <v>47.735835812725242</v>
      </c>
      <c r="F180" s="257">
        <f t="shared" si="43"/>
        <v>0</v>
      </c>
      <c r="G180" s="257">
        <f t="shared" si="43"/>
        <v>0</v>
      </c>
      <c r="H180" s="257">
        <f t="shared" si="43"/>
        <v>0</v>
      </c>
      <c r="I180" s="257">
        <f t="shared" si="43"/>
        <v>0</v>
      </c>
      <c r="J180" s="257">
        <f t="shared" si="43"/>
        <v>0</v>
      </c>
      <c r="K180" s="257">
        <f t="shared" si="43"/>
        <v>0</v>
      </c>
      <c r="L180" s="257">
        <f t="shared" si="43"/>
        <v>0</v>
      </c>
      <c r="M180" s="257">
        <f t="shared" si="43"/>
        <v>0</v>
      </c>
      <c r="N180" s="257">
        <f t="shared" si="43"/>
        <v>0</v>
      </c>
      <c r="O180" s="257">
        <f t="shared" si="43"/>
        <v>19.170264656737785</v>
      </c>
      <c r="P180" s="257">
        <f t="shared" si="43"/>
        <v>0</v>
      </c>
      <c r="Q180" s="257">
        <f t="shared" si="43"/>
        <v>0</v>
      </c>
      <c r="R180" s="257">
        <f t="shared" si="39"/>
        <v>66.906100469463027</v>
      </c>
      <c r="U180" s="506"/>
      <c r="V180" s="256" t="s">
        <v>47</v>
      </c>
      <c r="W180" s="257">
        <f>W179+W178</f>
        <v>0</v>
      </c>
      <c r="X180" s="257">
        <f t="shared" ref="X180:AK180" si="44">X179+X178</f>
        <v>0</v>
      </c>
      <c r="Y180" s="257">
        <f t="shared" si="44"/>
        <v>34.834397910095767</v>
      </c>
      <c r="Z180" s="257">
        <f t="shared" si="44"/>
        <v>0</v>
      </c>
      <c r="AA180" s="257">
        <f t="shared" si="44"/>
        <v>0</v>
      </c>
      <c r="AB180" s="257">
        <f t="shared" si="44"/>
        <v>0</v>
      </c>
      <c r="AC180" s="257">
        <f t="shared" si="44"/>
        <v>0</v>
      </c>
      <c r="AD180" s="257">
        <f t="shared" si="44"/>
        <v>0</v>
      </c>
      <c r="AE180" s="257">
        <f t="shared" si="44"/>
        <v>0.72101659842490384</v>
      </c>
      <c r="AF180" s="257">
        <f t="shared" si="44"/>
        <v>0</v>
      </c>
      <c r="AG180" s="257">
        <f t="shared" si="44"/>
        <v>0</v>
      </c>
      <c r="AH180" s="257">
        <f t="shared" si="44"/>
        <v>0.51782554277566228</v>
      </c>
      <c r="AI180" s="257">
        <f t="shared" si="44"/>
        <v>15.851157652782987</v>
      </c>
      <c r="AJ180" s="257">
        <f t="shared" si="44"/>
        <v>0</v>
      </c>
      <c r="AK180" s="257">
        <f t="shared" si="44"/>
        <v>0</v>
      </c>
      <c r="AL180" s="257">
        <f t="shared" si="40"/>
        <v>51.924397704079318</v>
      </c>
    </row>
    <row r="189" spans="1:38" ht="14.4" customHeight="1">
      <c r="A189" s="506">
        <v>2040</v>
      </c>
      <c r="B189" s="510" t="s">
        <v>12</v>
      </c>
      <c r="C189" s="509" t="s">
        <v>14</v>
      </c>
      <c r="D189" s="509" t="s">
        <v>15</v>
      </c>
      <c r="E189" s="509" t="s">
        <v>16</v>
      </c>
      <c r="F189" s="509" t="s">
        <v>17</v>
      </c>
      <c r="G189" s="509" t="s">
        <v>382</v>
      </c>
      <c r="H189" s="509" t="s">
        <v>18</v>
      </c>
      <c r="I189" s="509" t="s">
        <v>19</v>
      </c>
      <c r="J189" s="509"/>
      <c r="K189" s="509"/>
      <c r="L189" s="509"/>
      <c r="M189" s="509"/>
      <c r="N189" s="509"/>
      <c r="O189" s="501" t="s">
        <v>383</v>
      </c>
      <c r="P189" s="501" t="s">
        <v>21</v>
      </c>
      <c r="Q189" s="501" t="s">
        <v>384</v>
      </c>
      <c r="R189" s="501" t="s">
        <v>23</v>
      </c>
      <c r="U189" s="506">
        <v>2040</v>
      </c>
      <c r="V189" s="507" t="s">
        <v>12</v>
      </c>
      <c r="W189" s="501" t="s">
        <v>14</v>
      </c>
      <c r="X189" s="501" t="s">
        <v>15</v>
      </c>
      <c r="Y189" s="501" t="s">
        <v>16</v>
      </c>
      <c r="Z189" s="501" t="s">
        <v>17</v>
      </c>
      <c r="AA189" s="501" t="s">
        <v>382</v>
      </c>
      <c r="AB189" s="501" t="s">
        <v>18</v>
      </c>
      <c r="AC189" s="503" t="s">
        <v>19</v>
      </c>
      <c r="AD189" s="504"/>
      <c r="AE189" s="504"/>
      <c r="AF189" s="504"/>
      <c r="AG189" s="504"/>
      <c r="AH189" s="505"/>
      <c r="AI189" s="501" t="s">
        <v>383</v>
      </c>
      <c r="AJ189" s="501" t="s">
        <v>21</v>
      </c>
      <c r="AK189" s="501" t="s">
        <v>384</v>
      </c>
      <c r="AL189" s="501" t="s">
        <v>23</v>
      </c>
    </row>
    <row r="190" spans="1:38" ht="45.6">
      <c r="A190" s="506"/>
      <c r="B190" s="510"/>
      <c r="C190" s="509"/>
      <c r="D190" s="509"/>
      <c r="E190" s="509"/>
      <c r="F190" s="509"/>
      <c r="G190" s="509"/>
      <c r="H190" s="509"/>
      <c r="I190" s="249" t="s">
        <v>371</v>
      </c>
      <c r="J190" s="249" t="s">
        <v>7</v>
      </c>
      <c r="K190" s="249" t="s">
        <v>372</v>
      </c>
      <c r="L190" s="249" t="s">
        <v>385</v>
      </c>
      <c r="M190" s="250" t="s">
        <v>386</v>
      </c>
      <c r="N190" s="249" t="s">
        <v>387</v>
      </c>
      <c r="O190" s="501"/>
      <c r="P190" s="501"/>
      <c r="Q190" s="501"/>
      <c r="R190" s="501"/>
      <c r="U190" s="506"/>
      <c r="V190" s="508"/>
      <c r="W190" s="502"/>
      <c r="X190" s="502"/>
      <c r="Y190" s="502"/>
      <c r="Z190" s="502"/>
      <c r="AA190" s="502"/>
      <c r="AB190" s="502"/>
      <c r="AC190" s="249" t="s">
        <v>371</v>
      </c>
      <c r="AD190" s="249" t="s">
        <v>7</v>
      </c>
      <c r="AE190" s="249" t="s">
        <v>372</v>
      </c>
      <c r="AF190" s="249" t="s">
        <v>385</v>
      </c>
      <c r="AG190" s="250" t="s">
        <v>386</v>
      </c>
      <c r="AH190" s="249" t="s">
        <v>387</v>
      </c>
      <c r="AI190" s="502"/>
      <c r="AJ190" s="502"/>
      <c r="AK190" s="502"/>
      <c r="AL190" s="501"/>
    </row>
    <row r="191" spans="1:38" ht="14.4" customHeight="1">
      <c r="A191" s="506"/>
      <c r="B191" s="251" t="s">
        <v>24</v>
      </c>
      <c r="C191" s="252">
        <v>0</v>
      </c>
      <c r="D191" s="253">
        <v>0</v>
      </c>
      <c r="E191" s="253">
        <v>0</v>
      </c>
      <c r="F191" s="252">
        <v>0</v>
      </c>
      <c r="G191" s="253">
        <v>0</v>
      </c>
      <c r="H191" s="253">
        <f>H197</f>
        <v>8.2750000000000004</v>
      </c>
      <c r="I191" s="253">
        <f>$I$27</f>
        <v>0</v>
      </c>
      <c r="J191" s="253">
        <f>J197</f>
        <v>0</v>
      </c>
      <c r="K191" s="253">
        <v>0</v>
      </c>
      <c r="L191" s="253">
        <f>L197</f>
        <v>1.3333333333333337</v>
      </c>
      <c r="M191" s="253">
        <v>0</v>
      </c>
      <c r="N191" s="253">
        <f>N197</f>
        <v>0</v>
      </c>
      <c r="O191" s="254">
        <v>0</v>
      </c>
      <c r="P191" s="253">
        <v>0</v>
      </c>
      <c r="Q191" s="253">
        <v>0</v>
      </c>
      <c r="R191" s="255">
        <f>SUM(C191:Q191)</f>
        <v>9.6083333333333343</v>
      </c>
      <c r="U191" s="506"/>
      <c r="V191" s="251" t="s">
        <v>24</v>
      </c>
      <c r="W191" s="252">
        <v>0</v>
      </c>
      <c r="X191" s="253">
        <v>0</v>
      </c>
      <c r="Y191" s="253">
        <v>0</v>
      </c>
      <c r="Z191" s="252">
        <v>0</v>
      </c>
      <c r="AA191" s="253">
        <v>0</v>
      </c>
      <c r="AB191" s="253">
        <f>AB197</f>
        <v>9.0141780803678415</v>
      </c>
      <c r="AC191" s="253">
        <f>IF((AC197-$AC$27)&gt;0,$AC$27+(AC197-$AC$27)*0.5,AC197)</f>
        <v>4.0796926656837211</v>
      </c>
      <c r="AD191" s="253">
        <f>AD197</f>
        <v>1.5541686345461794</v>
      </c>
      <c r="AE191" s="253">
        <f>IF((AE197-$AE$27)&gt;0,$AE$27+(AE197-AE194-AE195-$AE$27)*0.5,AE197-AE194-AE$72)</f>
        <v>8.1587579675283344</v>
      </c>
      <c r="AF191" s="253">
        <f>AF197</f>
        <v>1.0684476108973944</v>
      </c>
      <c r="AG191" s="253">
        <v>0</v>
      </c>
      <c r="AH191" s="253">
        <f>AH197</f>
        <v>0.47600019155972356</v>
      </c>
      <c r="AI191" s="254">
        <v>0</v>
      </c>
      <c r="AJ191" s="253">
        <v>0</v>
      </c>
      <c r="AK191" s="253">
        <v>0</v>
      </c>
      <c r="AL191" s="255">
        <f>SUM(W191:AK191)</f>
        <v>24.351245150583193</v>
      </c>
    </row>
    <row r="192" spans="1:38" ht="14.4" customHeight="1">
      <c r="A192" s="506"/>
      <c r="B192" s="251" t="s">
        <v>28</v>
      </c>
      <c r="C192" s="252">
        <f>C197</f>
        <v>0</v>
      </c>
      <c r="D192" s="253">
        <f>D197</f>
        <v>0</v>
      </c>
      <c r="E192" s="253">
        <f>E197-E195</f>
        <v>64.254948073754576</v>
      </c>
      <c r="F192" s="252">
        <v>0</v>
      </c>
      <c r="G192" s="253">
        <v>0</v>
      </c>
      <c r="H192" s="253">
        <v>0</v>
      </c>
      <c r="I192" s="253">
        <f>I197-$I$27</f>
        <v>10</v>
      </c>
      <c r="J192" s="253">
        <v>0</v>
      </c>
      <c r="K192" s="253">
        <f>K197</f>
        <v>0</v>
      </c>
      <c r="L192" s="253">
        <v>0</v>
      </c>
      <c r="M192" s="253">
        <v>0</v>
      </c>
      <c r="N192" s="253">
        <v>0</v>
      </c>
      <c r="O192" s="254">
        <v>0</v>
      </c>
      <c r="P192" s="253">
        <v>0</v>
      </c>
      <c r="Q192" s="253">
        <v>0</v>
      </c>
      <c r="R192" s="255">
        <f t="shared" ref="R192:R197" si="45">SUM(C192:Q192)</f>
        <v>74.254948073754576</v>
      </c>
      <c r="U192" s="506"/>
      <c r="V192" s="251" t="s">
        <v>28</v>
      </c>
      <c r="W192" s="252">
        <f>W197</f>
        <v>0</v>
      </c>
      <c r="X192" s="253">
        <f>X197</f>
        <v>0</v>
      </c>
      <c r="Y192" s="253">
        <f>Y197-Y194-Y195</f>
        <v>26.786286216422919</v>
      </c>
      <c r="Z192" s="252">
        <v>0</v>
      </c>
      <c r="AA192" s="253">
        <v>0</v>
      </c>
      <c r="AB192" s="253">
        <v>0</v>
      </c>
      <c r="AC192" s="253">
        <f>IF((AC197-$AC$27)&gt;0,(AC197-$AC$27)*0.5,0)</f>
        <v>4.0796926656837211</v>
      </c>
      <c r="AD192" s="253">
        <v>0</v>
      </c>
      <c r="AE192" s="253">
        <f>IF((AE197-AE194-AE195-$AE$27)&gt;0,(AE197-AE194-AE195-$AE$27)*0.5,0)</f>
        <v>8.1587579675283344</v>
      </c>
      <c r="AF192" s="253">
        <v>0</v>
      </c>
      <c r="AG192" s="253">
        <v>0</v>
      </c>
      <c r="AH192" s="253">
        <v>0</v>
      </c>
      <c r="AI192" s="254">
        <v>0</v>
      </c>
      <c r="AJ192" s="253">
        <v>0</v>
      </c>
      <c r="AK192" s="253">
        <v>0</v>
      </c>
      <c r="AL192" s="255">
        <f t="shared" ref="AL192:AL197" si="46">SUM(W192:AK192)</f>
        <v>39.024736849634976</v>
      </c>
    </row>
    <row r="193" spans="1:38" ht="14.4" customHeight="1">
      <c r="A193" s="506"/>
      <c r="B193" s="251" t="s">
        <v>29</v>
      </c>
      <c r="C193" s="252">
        <v>0</v>
      </c>
      <c r="D193" s="253">
        <v>0</v>
      </c>
      <c r="E193" s="253">
        <v>0</v>
      </c>
      <c r="F193" s="252">
        <v>0</v>
      </c>
      <c r="G193" s="253">
        <v>0</v>
      </c>
      <c r="H193" s="253">
        <v>0</v>
      </c>
      <c r="I193" s="253">
        <v>0</v>
      </c>
      <c r="J193" s="253">
        <v>0</v>
      </c>
      <c r="K193" s="253">
        <v>0</v>
      </c>
      <c r="L193" s="253">
        <v>0</v>
      </c>
      <c r="M193" s="253">
        <v>0</v>
      </c>
      <c r="N193" s="253">
        <v>0</v>
      </c>
      <c r="O193" s="254">
        <v>0</v>
      </c>
      <c r="P193" s="253">
        <v>0</v>
      </c>
      <c r="Q193" s="253">
        <v>0</v>
      </c>
      <c r="R193" s="255">
        <f t="shared" si="45"/>
        <v>0</v>
      </c>
      <c r="U193" s="506"/>
      <c r="V193" s="251" t="s">
        <v>29</v>
      </c>
      <c r="W193" s="252">
        <v>0</v>
      </c>
      <c r="X193" s="253">
        <v>0</v>
      </c>
      <c r="Y193" s="253">
        <v>0</v>
      </c>
      <c r="Z193" s="252">
        <v>0</v>
      </c>
      <c r="AA193" s="253">
        <v>0</v>
      </c>
      <c r="AB193" s="253">
        <v>0</v>
      </c>
      <c r="AC193" s="253">
        <v>0</v>
      </c>
      <c r="AD193" s="253">
        <v>0</v>
      </c>
      <c r="AE193" s="253">
        <v>0</v>
      </c>
      <c r="AF193" s="253">
        <v>0</v>
      </c>
      <c r="AG193" s="253">
        <v>0</v>
      </c>
      <c r="AH193" s="253">
        <v>0</v>
      </c>
      <c r="AI193" s="254">
        <v>0</v>
      </c>
      <c r="AJ193" s="253">
        <v>0</v>
      </c>
      <c r="AK193" s="253">
        <v>0</v>
      </c>
      <c r="AL193" s="255">
        <f t="shared" si="46"/>
        <v>0</v>
      </c>
    </row>
    <row r="194" spans="1:38" ht="14.4" customHeight="1">
      <c r="A194" s="506"/>
      <c r="B194" s="251" t="s">
        <v>30</v>
      </c>
      <c r="C194" s="252">
        <v>0</v>
      </c>
      <c r="D194" s="253">
        <v>0</v>
      </c>
      <c r="E194" s="253">
        <v>0</v>
      </c>
      <c r="F194" s="252">
        <v>0</v>
      </c>
      <c r="G194" s="253">
        <v>0</v>
      </c>
      <c r="H194" s="253">
        <v>0</v>
      </c>
      <c r="I194" s="253">
        <v>0</v>
      </c>
      <c r="J194" s="253">
        <v>0</v>
      </c>
      <c r="K194" s="253">
        <v>0</v>
      </c>
      <c r="L194" s="253">
        <v>0</v>
      </c>
      <c r="M194" s="253">
        <v>0</v>
      </c>
      <c r="N194" s="253">
        <v>0</v>
      </c>
      <c r="O194" s="254">
        <v>0</v>
      </c>
      <c r="P194" s="253">
        <v>0</v>
      </c>
      <c r="Q194" s="253">
        <v>0</v>
      </c>
      <c r="R194" s="255">
        <f t="shared" si="45"/>
        <v>0</v>
      </c>
      <c r="U194" s="506"/>
      <c r="V194" s="251" t="s">
        <v>30</v>
      </c>
      <c r="W194" s="252">
        <v>0</v>
      </c>
      <c r="X194" s="253">
        <v>0</v>
      </c>
      <c r="Y194" s="253">
        <f>-Transports!$G$172-Transports!$G$171</f>
        <v>0</v>
      </c>
      <c r="Z194" s="252">
        <v>0</v>
      </c>
      <c r="AA194" s="253">
        <v>0</v>
      </c>
      <c r="AB194" s="253">
        <v>0</v>
      </c>
      <c r="AC194" s="253">
        <v>0</v>
      </c>
      <c r="AD194" s="253">
        <v>0</v>
      </c>
      <c r="AE194" s="253">
        <f>-Transports!$G$170</f>
        <v>0</v>
      </c>
      <c r="AF194" s="253">
        <v>0</v>
      </c>
      <c r="AG194" s="253">
        <v>0</v>
      </c>
      <c r="AH194" s="253">
        <v>0</v>
      </c>
      <c r="AI194" s="254">
        <v>0</v>
      </c>
      <c r="AJ194" s="253">
        <v>0</v>
      </c>
      <c r="AK194" s="253">
        <v>0</v>
      </c>
      <c r="AL194" s="255">
        <f t="shared" si="46"/>
        <v>0</v>
      </c>
    </row>
    <row r="195" spans="1:38" ht="14.4" customHeight="1">
      <c r="A195" s="506"/>
      <c r="B195" s="251" t="s">
        <v>31</v>
      </c>
      <c r="C195" s="252">
        <v>0</v>
      </c>
      <c r="D195" s="253">
        <v>0</v>
      </c>
      <c r="E195" s="253">
        <f>-Transports!$G$202</f>
        <v>-1.6571156244566361</v>
      </c>
      <c r="F195" s="252">
        <v>0</v>
      </c>
      <c r="G195" s="253">
        <v>0</v>
      </c>
      <c r="H195" s="253">
        <v>0</v>
      </c>
      <c r="I195" s="253">
        <v>0</v>
      </c>
      <c r="J195" s="253">
        <v>0</v>
      </c>
      <c r="K195" s="253">
        <v>0</v>
      </c>
      <c r="L195" s="253">
        <v>0</v>
      </c>
      <c r="M195" s="253">
        <v>0</v>
      </c>
      <c r="N195" s="253">
        <v>0</v>
      </c>
      <c r="O195" s="254">
        <v>0</v>
      </c>
      <c r="P195" s="253">
        <v>0</v>
      </c>
      <c r="Q195" s="253">
        <v>0</v>
      </c>
      <c r="R195" s="255">
        <f t="shared" si="45"/>
        <v>-1.6571156244566361</v>
      </c>
      <c r="U195" s="506"/>
      <c r="V195" s="251" t="s">
        <v>31</v>
      </c>
      <c r="W195" s="252">
        <v>0</v>
      </c>
      <c r="X195" s="253">
        <v>0</v>
      </c>
      <c r="Y195" s="253">
        <f>-Transports!$G$234</f>
        <v>-0.98239060923508903</v>
      </c>
      <c r="Z195" s="252">
        <v>0</v>
      </c>
      <c r="AA195" s="253">
        <v>0</v>
      </c>
      <c r="AB195" s="253">
        <v>0</v>
      </c>
      <c r="AC195" s="253">
        <v>0</v>
      </c>
      <c r="AD195" s="253">
        <v>0</v>
      </c>
      <c r="AE195" s="253">
        <f>-Transports!$G$233-Transports!$G$232</f>
        <v>-0.46915689149680767</v>
      </c>
      <c r="AF195" s="253">
        <v>0</v>
      </c>
      <c r="AG195" s="253">
        <v>0</v>
      </c>
      <c r="AH195" s="253">
        <v>0</v>
      </c>
      <c r="AI195" s="254">
        <v>0</v>
      </c>
      <c r="AJ195" s="253">
        <v>0</v>
      </c>
      <c r="AK195" s="253">
        <v>0</v>
      </c>
      <c r="AL195" s="255">
        <f t="shared" si="46"/>
        <v>-1.4515475007318968</v>
      </c>
    </row>
    <row r="196" spans="1:38" ht="14.4" customHeight="1">
      <c r="A196" s="506"/>
      <c r="B196" s="251" t="s">
        <v>32</v>
      </c>
      <c r="C196" s="252">
        <v>0</v>
      </c>
      <c r="D196" s="253">
        <v>0</v>
      </c>
      <c r="E196" s="253">
        <v>0</v>
      </c>
      <c r="F196" s="252">
        <v>0</v>
      </c>
      <c r="G196" s="253">
        <v>0</v>
      </c>
      <c r="H196" s="253">
        <v>0</v>
      </c>
      <c r="I196" s="253">
        <v>0</v>
      </c>
      <c r="J196" s="253">
        <v>0</v>
      </c>
      <c r="K196" s="253">
        <v>0</v>
      </c>
      <c r="L196" s="253">
        <v>0</v>
      </c>
      <c r="M196" s="253">
        <v>0</v>
      </c>
      <c r="N196" s="253">
        <v>0</v>
      </c>
      <c r="O196" s="254">
        <v>0</v>
      </c>
      <c r="P196" s="253">
        <v>0</v>
      </c>
      <c r="Q196" s="253">
        <v>0</v>
      </c>
      <c r="R196" s="255">
        <f t="shared" si="45"/>
        <v>0</v>
      </c>
      <c r="U196" s="506"/>
      <c r="V196" s="251" t="s">
        <v>32</v>
      </c>
      <c r="W196" s="252">
        <v>0</v>
      </c>
      <c r="X196" s="253">
        <v>0</v>
      </c>
      <c r="Y196" s="253">
        <v>0</v>
      </c>
      <c r="Z196" s="252">
        <v>0</v>
      </c>
      <c r="AA196" s="253">
        <v>0</v>
      </c>
      <c r="AB196" s="253">
        <v>0</v>
      </c>
      <c r="AC196" s="253">
        <v>0</v>
      </c>
      <c r="AD196" s="253">
        <v>0</v>
      </c>
      <c r="AE196" s="253">
        <v>0</v>
      </c>
      <c r="AF196" s="253">
        <v>0</v>
      </c>
      <c r="AG196" s="253">
        <v>0</v>
      </c>
      <c r="AH196" s="253">
        <v>0</v>
      </c>
      <c r="AI196" s="254">
        <v>0</v>
      </c>
      <c r="AJ196" s="253">
        <v>0</v>
      </c>
      <c r="AK196" s="253">
        <v>0</v>
      </c>
      <c r="AL196" s="255">
        <f t="shared" si="46"/>
        <v>0</v>
      </c>
    </row>
    <row r="197" spans="1:38" ht="14.4" customHeight="1">
      <c r="A197" s="506"/>
      <c r="B197" s="256" t="s">
        <v>388</v>
      </c>
      <c r="C197" s="257">
        <f>C221+C219</f>
        <v>0</v>
      </c>
      <c r="D197" s="257">
        <f>D211+D221</f>
        <v>0</v>
      </c>
      <c r="E197" s="257">
        <f>E211+E221</f>
        <v>62.597832449297947</v>
      </c>
      <c r="F197" s="257">
        <f>SUM(F191:F196)</f>
        <v>0</v>
      </c>
      <c r="G197" s="257">
        <f>SUM(G191:G196)</f>
        <v>0</v>
      </c>
      <c r="H197" s="257">
        <f>H211</f>
        <v>8.2750000000000004</v>
      </c>
      <c r="I197" s="257">
        <f>I211+I219</f>
        <v>10</v>
      </c>
      <c r="J197" s="257">
        <f>J211+J221</f>
        <v>0</v>
      </c>
      <c r="K197" s="257">
        <f>K211+K221</f>
        <v>0</v>
      </c>
      <c r="L197" s="257">
        <f>L211+L221</f>
        <v>1.3333333333333337</v>
      </c>
      <c r="M197" s="257">
        <f>SUM(M191:M196)</f>
        <v>0</v>
      </c>
      <c r="N197" s="257">
        <f>N211+N221</f>
        <v>0</v>
      </c>
      <c r="O197" s="257">
        <f>SUM(O191:O196)</f>
        <v>0</v>
      </c>
      <c r="P197" s="257">
        <f>SUM(P191:P196)</f>
        <v>0</v>
      </c>
      <c r="Q197" s="257">
        <f>SUM(Q191:Q196)</f>
        <v>0</v>
      </c>
      <c r="R197" s="257">
        <f t="shared" si="45"/>
        <v>82.206165782631274</v>
      </c>
      <c r="U197" s="506"/>
      <c r="V197" s="256" t="s">
        <v>388</v>
      </c>
      <c r="W197" s="257">
        <f>W221+W219</f>
        <v>0</v>
      </c>
      <c r="X197" s="257">
        <f>X211+X221</f>
        <v>0</v>
      </c>
      <c r="Y197" s="257">
        <f>Y211+Y221</f>
        <v>25.80389560718783</v>
      </c>
      <c r="Z197" s="257">
        <f>SUM(Z191:Z196)</f>
        <v>0</v>
      </c>
      <c r="AA197" s="257">
        <f>SUM(AA191:AA196)</f>
        <v>0</v>
      </c>
      <c r="AB197" s="257">
        <f>AB211</f>
        <v>9.0141780803678415</v>
      </c>
      <c r="AC197" s="257">
        <f>AC211+AC219</f>
        <v>8.1593853313674423</v>
      </c>
      <c r="AD197" s="257">
        <f>AD211+AD221</f>
        <v>1.5541686345461794</v>
      </c>
      <c r="AE197" s="257">
        <f>AE211+AE221</f>
        <v>15.84835904355986</v>
      </c>
      <c r="AF197" s="257">
        <f>AF211+AF221</f>
        <v>1.0684476108973944</v>
      </c>
      <c r="AG197" s="257">
        <f>SUM(AG191:AG196)</f>
        <v>0</v>
      </c>
      <c r="AH197" s="257">
        <f>AH211+AH221</f>
        <v>0.47600019155972356</v>
      </c>
      <c r="AI197" s="257">
        <f>SUM(AI191:AI196)</f>
        <v>0</v>
      </c>
      <c r="AJ197" s="257">
        <f>SUM(AJ191:AJ196)</f>
        <v>0</v>
      </c>
      <c r="AK197" s="257">
        <f>SUM(AK191:AK196)</f>
        <v>0</v>
      </c>
      <c r="AL197" s="257">
        <f t="shared" si="46"/>
        <v>61.924434499486267</v>
      </c>
    </row>
    <row r="198" spans="1:38" ht="14.4" customHeight="1">
      <c r="A198" s="506"/>
      <c r="B198" s="258"/>
      <c r="C198" s="259"/>
      <c r="D198" s="227"/>
      <c r="E198" s="260"/>
      <c r="F198" s="259"/>
      <c r="G198" s="259"/>
      <c r="H198" s="259"/>
      <c r="I198" s="259"/>
      <c r="J198" s="259"/>
      <c r="K198" s="259"/>
      <c r="L198" s="259"/>
      <c r="M198" s="259"/>
      <c r="N198" s="259"/>
      <c r="O198" s="268"/>
      <c r="P198" s="259"/>
      <c r="Q198" s="259"/>
      <c r="R198" s="259"/>
      <c r="U198" s="506"/>
      <c r="V198" s="258"/>
      <c r="W198" s="259"/>
      <c r="X198" s="227"/>
      <c r="Y198" s="260"/>
      <c r="Z198" s="259"/>
      <c r="AA198" s="259"/>
      <c r="AB198" s="259"/>
      <c r="AC198" s="259"/>
      <c r="AD198" s="259"/>
      <c r="AE198" s="259"/>
      <c r="AF198" s="259"/>
      <c r="AG198" s="259"/>
      <c r="AH198" s="259"/>
      <c r="AI198" s="268"/>
      <c r="AJ198" s="259"/>
      <c r="AK198" s="259"/>
      <c r="AL198" s="259"/>
    </row>
    <row r="199" spans="1:38" ht="14.4" customHeight="1">
      <c r="A199" s="506"/>
      <c r="B199" s="261" t="s">
        <v>389</v>
      </c>
      <c r="C199" s="252">
        <v>0</v>
      </c>
      <c r="D199" s="262">
        <v>0</v>
      </c>
      <c r="E199" s="262">
        <v>0</v>
      </c>
      <c r="F199" s="252">
        <v>0</v>
      </c>
      <c r="G199" s="252">
        <v>0</v>
      </c>
      <c r="H199" s="252">
        <v>0</v>
      </c>
      <c r="I199" s="252">
        <v>0</v>
      </c>
      <c r="J199" s="252">
        <v>0</v>
      </c>
      <c r="K199" s="252">
        <v>0</v>
      </c>
      <c r="L199" s="252">
        <v>0</v>
      </c>
      <c r="M199" s="252">
        <v>0</v>
      </c>
      <c r="N199" s="252">
        <v>0</v>
      </c>
      <c r="O199" s="252">
        <v>0</v>
      </c>
      <c r="P199" s="252">
        <v>0</v>
      </c>
      <c r="Q199" s="252">
        <v>0</v>
      </c>
      <c r="R199" s="263">
        <f>SUM(C199:Q199)</f>
        <v>0</v>
      </c>
      <c r="U199" s="506"/>
      <c r="V199" s="261" t="s">
        <v>389</v>
      </c>
      <c r="W199" s="252">
        <v>0</v>
      </c>
      <c r="X199" s="262">
        <v>0</v>
      </c>
      <c r="Y199" s="262">
        <v>0</v>
      </c>
      <c r="Z199" s="252">
        <v>0</v>
      </c>
      <c r="AA199" s="252">
        <v>0</v>
      </c>
      <c r="AB199" s="252">
        <v>0</v>
      </c>
      <c r="AC199" s="252">
        <v>0</v>
      </c>
      <c r="AD199" s="252">
        <v>0</v>
      </c>
      <c r="AE199" s="252">
        <v>0</v>
      </c>
      <c r="AF199" s="252">
        <v>0</v>
      </c>
      <c r="AG199" s="252">
        <v>0</v>
      </c>
      <c r="AH199" s="252">
        <v>0</v>
      </c>
      <c r="AI199" s="252">
        <v>0</v>
      </c>
      <c r="AJ199" s="252">
        <v>0</v>
      </c>
      <c r="AK199" s="252">
        <v>0</v>
      </c>
      <c r="AL199" s="263">
        <f>SUM(W199:AK199)</f>
        <v>0</v>
      </c>
    </row>
    <row r="200" spans="1:38" ht="14.4" customHeight="1">
      <c r="A200" s="506"/>
      <c r="B200" s="261" t="s">
        <v>390</v>
      </c>
      <c r="C200" s="252">
        <f>$O$200*'Prod Energie'!$G$32/(-$J$13)</f>
        <v>0</v>
      </c>
      <c r="D200" s="252">
        <v>0</v>
      </c>
      <c r="E200" s="252">
        <f>O200*'Prod Energie'!$G$33/(-$K$13)</f>
        <v>15.623009444103401</v>
      </c>
      <c r="F200" s="252">
        <v>0</v>
      </c>
      <c r="G200" s="252">
        <v>0</v>
      </c>
      <c r="H200" s="252">
        <f>(O200)*('Prod Energie'!$G$34+'Prod Energie'!$G$39+'Prod Energie'!$G$40)/(-$L$13)</f>
        <v>8.2750000000000004</v>
      </c>
      <c r="I200" s="264">
        <f>(O200)*('Prod Energie'!$G$38)/(-$M$13)</f>
        <v>10</v>
      </c>
      <c r="J200" s="264">
        <f>(O200)*('Prod Energie'!$G$36)/(-$N$13)</f>
        <v>0</v>
      </c>
      <c r="K200" s="264">
        <f>(O200)*('Prod Energie'!$G$37)/(-$O$13)</f>
        <v>0</v>
      </c>
      <c r="L200" s="264">
        <f>(O200)*('Prod Energie'!$G$41)/(-P13)</f>
        <v>1.3333333333333337</v>
      </c>
      <c r="M200" s="264">
        <v>0</v>
      </c>
      <c r="N200" s="264">
        <f>(O200)*'Prod Energie'!G35/(-$Q$13)</f>
        <v>0</v>
      </c>
      <c r="O200" s="252">
        <f>O211/(1+$F$17+$F$18)</f>
        <v>-19.949124155405496</v>
      </c>
      <c r="P200" s="252">
        <v>0</v>
      </c>
      <c r="Q200" s="252">
        <v>0</v>
      </c>
      <c r="R200" s="263">
        <f t="shared" ref="R200:R211" si="47">SUM(C200:Q200)</f>
        <v>15.282218622031241</v>
      </c>
      <c r="U200" s="506"/>
      <c r="V200" s="261" t="s">
        <v>390</v>
      </c>
      <c r="W200" s="252">
        <f>AI200*'Prod Energie'!$G$53/(-$J$13)</f>
        <v>0</v>
      </c>
      <c r="X200" s="252">
        <v>0</v>
      </c>
      <c r="Y200" s="252">
        <f>AI200*'Prod Energie'!$G$54/(-$K$13)</f>
        <v>0</v>
      </c>
      <c r="Z200" s="252">
        <v>0</v>
      </c>
      <c r="AA200" s="252">
        <v>0</v>
      </c>
      <c r="AB200" s="252">
        <f>(AI200)*('Prod Energie'!$G$55+'Prod Energie'!$G$60+'Prod Energie'!$G$61)/(-$L$13)</f>
        <v>9.0141780803678415</v>
      </c>
      <c r="AC200" s="264">
        <f>(AI200)*'Prod Energie'!$G$59/(-$M$13)</f>
        <v>8.1593853313674423</v>
      </c>
      <c r="AD200" s="264">
        <f>(AI200)*('Prod Energie'!$G$57)/(-$N$13)</f>
        <v>1.5541686345461794</v>
      </c>
      <c r="AE200" s="264">
        <f>(AI200)*('Prod Energie'!$G$58)/(-$O$13)</f>
        <v>13.338239699615778</v>
      </c>
      <c r="AF200" s="264">
        <f>(AI200)*('Prod Energie'!$G$62)/(-$P$13)</f>
        <v>1.0684476108973944</v>
      </c>
      <c r="AG200" s="264">
        <v>0</v>
      </c>
      <c r="AH200" s="264">
        <f>(AI200)*'Prod Energie'!$G$56/(-$Q$13)</f>
        <v>0</v>
      </c>
      <c r="AI200" s="252">
        <f>AI211/(1+$F$17+$F$18)</f>
        <v>-18.875964113118037</v>
      </c>
      <c r="AJ200" s="252">
        <v>0</v>
      </c>
      <c r="AK200" s="252">
        <v>0</v>
      </c>
      <c r="AL200" s="263">
        <f t="shared" ref="AL200:AL211" si="48">SUM(W200:AK200)</f>
        <v>14.2584552436766</v>
      </c>
    </row>
    <row r="201" spans="1:38" ht="14.4" customHeight="1">
      <c r="A201" s="506"/>
      <c r="B201" s="261" t="s">
        <v>391</v>
      </c>
      <c r="C201" s="252">
        <v>0</v>
      </c>
      <c r="D201" s="252">
        <v>0</v>
      </c>
      <c r="E201" s="252">
        <v>0</v>
      </c>
      <c r="F201" s="252">
        <v>0</v>
      </c>
      <c r="G201" s="252">
        <v>0</v>
      </c>
      <c r="H201" s="252">
        <v>0</v>
      </c>
      <c r="I201" s="264">
        <f t="shared" ref="I201:N201" si="49">$P$201*$L$18*V$17</f>
        <v>0</v>
      </c>
      <c r="J201" s="264">
        <f t="shared" si="49"/>
        <v>0</v>
      </c>
      <c r="K201" s="264">
        <f t="shared" si="49"/>
        <v>0</v>
      </c>
      <c r="L201" s="264">
        <f t="shared" si="49"/>
        <v>0</v>
      </c>
      <c r="M201" s="264">
        <f t="shared" si="49"/>
        <v>0</v>
      </c>
      <c r="N201" s="264">
        <f t="shared" si="49"/>
        <v>0</v>
      </c>
      <c r="O201" s="252">
        <v>0</v>
      </c>
      <c r="P201" s="252">
        <f>P211/(1+$R$18)</f>
        <v>0</v>
      </c>
      <c r="Q201" s="252">
        <v>0</v>
      </c>
      <c r="R201" s="263">
        <f t="shared" si="47"/>
        <v>0</v>
      </c>
      <c r="U201" s="506"/>
      <c r="V201" s="261" t="s">
        <v>391</v>
      </c>
      <c r="W201" s="252">
        <v>0</v>
      </c>
      <c r="X201" s="252">
        <v>0</v>
      </c>
      <c r="Y201" s="252">
        <v>0</v>
      </c>
      <c r="Z201" s="252">
        <v>0</v>
      </c>
      <c r="AA201" s="252">
        <v>0</v>
      </c>
      <c r="AB201" s="252">
        <v>0</v>
      </c>
      <c r="AC201" s="264">
        <f t="shared" ref="AC201:AH201" si="50">$AJ$201*$L$18*V$17</f>
        <v>0</v>
      </c>
      <c r="AD201" s="264">
        <f t="shared" si="50"/>
        <v>0</v>
      </c>
      <c r="AE201" s="264">
        <f t="shared" si="50"/>
        <v>0</v>
      </c>
      <c r="AF201" s="264">
        <f t="shared" si="50"/>
        <v>0</v>
      </c>
      <c r="AG201" s="264">
        <f t="shared" si="50"/>
        <v>0</v>
      </c>
      <c r="AH201" s="264">
        <f t="shared" si="50"/>
        <v>0</v>
      </c>
      <c r="AI201" s="252">
        <v>0</v>
      </c>
      <c r="AJ201" s="252">
        <f>AJ211/(1+$R$18)</f>
        <v>0</v>
      </c>
      <c r="AK201" s="252">
        <v>0</v>
      </c>
      <c r="AL201" s="263">
        <f t="shared" si="48"/>
        <v>0</v>
      </c>
    </row>
    <row r="202" spans="1:38" ht="14.4" customHeight="1">
      <c r="A202" s="506"/>
      <c r="B202" s="261" t="s">
        <v>392</v>
      </c>
      <c r="C202" s="252">
        <v>0</v>
      </c>
      <c r="D202" s="252">
        <v>0</v>
      </c>
      <c r="E202" s="252">
        <v>0</v>
      </c>
      <c r="F202" s="252">
        <v>0</v>
      </c>
      <c r="G202" s="252">
        <v>0</v>
      </c>
      <c r="H202" s="252">
        <v>0</v>
      </c>
      <c r="I202" s="265">
        <v>0</v>
      </c>
      <c r="J202" s="265">
        <v>0</v>
      </c>
      <c r="K202" s="265">
        <v>0</v>
      </c>
      <c r="L202" s="265">
        <v>0</v>
      </c>
      <c r="M202" s="265">
        <v>0</v>
      </c>
      <c r="N202" s="265">
        <v>0</v>
      </c>
      <c r="O202" s="252">
        <v>0</v>
      </c>
      <c r="P202" s="252">
        <v>0</v>
      </c>
      <c r="Q202" s="252">
        <v>0</v>
      </c>
      <c r="R202" s="263">
        <f t="shared" si="47"/>
        <v>0</v>
      </c>
      <c r="U202" s="506"/>
      <c r="V202" s="261" t="s">
        <v>392</v>
      </c>
      <c r="W202" s="252">
        <v>0</v>
      </c>
      <c r="X202" s="252">
        <v>0</v>
      </c>
      <c r="Y202" s="252">
        <v>0</v>
      </c>
      <c r="Z202" s="252">
        <v>0</v>
      </c>
      <c r="AA202" s="252">
        <v>0</v>
      </c>
      <c r="AB202" s="252">
        <v>0</v>
      </c>
      <c r="AC202" s="265">
        <v>0</v>
      </c>
      <c r="AD202" s="265">
        <v>0</v>
      </c>
      <c r="AE202" s="265">
        <v>0</v>
      </c>
      <c r="AF202" s="265">
        <v>0</v>
      </c>
      <c r="AG202" s="265">
        <v>0</v>
      </c>
      <c r="AH202" s="265">
        <v>0</v>
      </c>
      <c r="AI202" s="252">
        <v>0</v>
      </c>
      <c r="AJ202" s="252">
        <v>0</v>
      </c>
      <c r="AK202" s="252">
        <v>0</v>
      </c>
      <c r="AL202" s="263">
        <f t="shared" si="48"/>
        <v>0</v>
      </c>
    </row>
    <row r="203" spans="1:38" ht="14.4" customHeight="1">
      <c r="A203" s="506"/>
      <c r="B203" s="261" t="s">
        <v>393</v>
      </c>
      <c r="C203" s="252">
        <v>0</v>
      </c>
      <c r="D203" s="252">
        <v>0</v>
      </c>
      <c r="E203" s="252">
        <v>0</v>
      </c>
      <c r="F203" s="252">
        <v>0</v>
      </c>
      <c r="G203" s="252">
        <v>0</v>
      </c>
      <c r="H203" s="252">
        <v>0</v>
      </c>
      <c r="I203" s="252">
        <v>0</v>
      </c>
      <c r="J203" s="252">
        <v>0</v>
      </c>
      <c r="K203" s="252">
        <v>0</v>
      </c>
      <c r="L203" s="252">
        <v>0</v>
      </c>
      <c r="M203" s="252">
        <v>0</v>
      </c>
      <c r="N203" s="252">
        <v>0</v>
      </c>
      <c r="O203" s="252">
        <v>0</v>
      </c>
      <c r="P203" s="252">
        <v>0</v>
      </c>
      <c r="Q203" s="252">
        <v>0</v>
      </c>
      <c r="R203" s="263">
        <f t="shared" si="47"/>
        <v>0</v>
      </c>
      <c r="U203" s="506"/>
      <c r="V203" s="261" t="s">
        <v>393</v>
      </c>
      <c r="W203" s="252">
        <v>0</v>
      </c>
      <c r="X203" s="252">
        <v>0</v>
      </c>
      <c r="Y203" s="252">
        <v>0</v>
      </c>
      <c r="Z203" s="252">
        <v>0</v>
      </c>
      <c r="AA203" s="252">
        <v>0</v>
      </c>
      <c r="AB203" s="252">
        <v>0</v>
      </c>
      <c r="AC203" s="252">
        <v>0</v>
      </c>
      <c r="AD203" s="252">
        <v>0</v>
      </c>
      <c r="AE203" s="252">
        <v>0</v>
      </c>
      <c r="AF203" s="252">
        <v>0</v>
      </c>
      <c r="AG203" s="252">
        <v>0</v>
      </c>
      <c r="AH203" s="252">
        <v>0</v>
      </c>
      <c r="AI203" s="252">
        <v>0</v>
      </c>
      <c r="AJ203" s="252">
        <v>0</v>
      </c>
      <c r="AK203" s="252">
        <v>0</v>
      </c>
      <c r="AL203" s="263">
        <f t="shared" si="48"/>
        <v>0</v>
      </c>
    </row>
    <row r="204" spans="1:38" ht="14.4" customHeight="1">
      <c r="A204" s="506"/>
      <c r="B204" s="261" t="s">
        <v>36</v>
      </c>
      <c r="C204" s="252">
        <v>0</v>
      </c>
      <c r="D204" s="252">
        <v>0</v>
      </c>
      <c r="E204" s="252">
        <v>0</v>
      </c>
      <c r="F204" s="252">
        <v>0</v>
      </c>
      <c r="G204" s="252">
        <v>0</v>
      </c>
      <c r="H204" s="252">
        <v>0</v>
      </c>
      <c r="I204" s="252">
        <v>0</v>
      </c>
      <c r="J204" s="252">
        <v>0</v>
      </c>
      <c r="K204" s="252">
        <v>0</v>
      </c>
      <c r="L204" s="252">
        <v>0</v>
      </c>
      <c r="M204" s="252">
        <v>0</v>
      </c>
      <c r="N204" s="252">
        <v>0</v>
      </c>
      <c r="O204" s="252">
        <v>0</v>
      </c>
      <c r="P204" s="252">
        <v>0</v>
      </c>
      <c r="Q204" s="252">
        <v>0</v>
      </c>
      <c r="R204" s="263">
        <f t="shared" si="47"/>
        <v>0</v>
      </c>
      <c r="U204" s="506"/>
      <c r="V204" s="261" t="s">
        <v>36</v>
      </c>
      <c r="W204" s="252">
        <v>0</v>
      </c>
      <c r="X204" s="252">
        <v>0</v>
      </c>
      <c r="Y204" s="252">
        <v>0</v>
      </c>
      <c r="Z204" s="252">
        <v>0</v>
      </c>
      <c r="AA204" s="252">
        <v>0</v>
      </c>
      <c r="AB204" s="252">
        <v>0</v>
      </c>
      <c r="AC204" s="252">
        <v>0</v>
      </c>
      <c r="AD204" s="252">
        <v>0</v>
      </c>
      <c r="AE204" s="252">
        <v>0</v>
      </c>
      <c r="AF204" s="252">
        <v>0</v>
      </c>
      <c r="AG204" s="252">
        <v>0</v>
      </c>
      <c r="AH204" s="252">
        <v>0</v>
      </c>
      <c r="AI204" s="252">
        <v>0</v>
      </c>
      <c r="AJ204" s="252">
        <v>0</v>
      </c>
      <c r="AK204" s="252">
        <v>0</v>
      </c>
      <c r="AL204" s="263">
        <f t="shared" si="48"/>
        <v>0</v>
      </c>
    </row>
    <row r="205" spans="1:38" ht="14.4" customHeight="1">
      <c r="A205" s="506"/>
      <c r="B205" s="261" t="s">
        <v>394</v>
      </c>
      <c r="C205" s="252">
        <v>0</v>
      </c>
      <c r="D205" s="252">
        <v>0</v>
      </c>
      <c r="E205" s="252">
        <v>0</v>
      </c>
      <c r="F205" s="252">
        <v>0</v>
      </c>
      <c r="G205" s="252">
        <v>0</v>
      </c>
      <c r="H205" s="252">
        <v>0</v>
      </c>
      <c r="I205" s="252">
        <v>0</v>
      </c>
      <c r="J205" s="252">
        <v>0</v>
      </c>
      <c r="K205" s="252">
        <v>0</v>
      </c>
      <c r="L205" s="252">
        <v>0</v>
      </c>
      <c r="M205" s="252">
        <v>0</v>
      </c>
      <c r="N205" s="252">
        <v>0</v>
      </c>
      <c r="O205" s="252">
        <v>0</v>
      </c>
      <c r="P205" s="252">
        <v>0</v>
      </c>
      <c r="Q205" s="252">
        <v>0</v>
      </c>
      <c r="R205" s="263">
        <f t="shared" si="47"/>
        <v>0</v>
      </c>
      <c r="U205" s="506"/>
      <c r="V205" s="261" t="s">
        <v>394</v>
      </c>
      <c r="W205" s="252">
        <v>0</v>
      </c>
      <c r="X205" s="252">
        <v>0</v>
      </c>
      <c r="Y205" s="252">
        <v>0</v>
      </c>
      <c r="Z205" s="252">
        <v>0</v>
      </c>
      <c r="AA205" s="252">
        <v>0</v>
      </c>
      <c r="AB205" s="252">
        <v>0</v>
      </c>
      <c r="AC205" s="252">
        <v>0</v>
      </c>
      <c r="AD205" s="252">
        <v>0</v>
      </c>
      <c r="AE205" s="252">
        <v>0</v>
      </c>
      <c r="AF205" s="252">
        <v>0</v>
      </c>
      <c r="AG205" s="252">
        <v>0</v>
      </c>
      <c r="AH205" s="252">
        <v>0</v>
      </c>
      <c r="AI205" s="252">
        <v>0</v>
      </c>
      <c r="AJ205" s="252">
        <v>0</v>
      </c>
      <c r="AK205" s="252">
        <v>0</v>
      </c>
      <c r="AL205" s="263">
        <f t="shared" si="48"/>
        <v>0</v>
      </c>
    </row>
    <row r="206" spans="1:38" ht="14.4" customHeight="1">
      <c r="A206" s="506"/>
      <c r="B206" s="261" t="s">
        <v>395</v>
      </c>
      <c r="C206" s="252">
        <v>0</v>
      </c>
      <c r="D206" s="252">
        <v>0</v>
      </c>
      <c r="E206" s="252">
        <v>0</v>
      </c>
      <c r="F206" s="252">
        <v>0</v>
      </c>
      <c r="G206" s="252">
        <v>0</v>
      </c>
      <c r="H206" s="252">
        <v>0</v>
      </c>
      <c r="I206" s="252">
        <v>0</v>
      </c>
      <c r="J206" s="252">
        <v>0</v>
      </c>
      <c r="K206" s="252">
        <v>0</v>
      </c>
      <c r="L206" s="252">
        <v>0</v>
      </c>
      <c r="M206" s="252">
        <v>0</v>
      </c>
      <c r="N206" s="252">
        <v>0</v>
      </c>
      <c r="O206" s="252">
        <v>0</v>
      </c>
      <c r="P206" s="252">
        <v>0</v>
      </c>
      <c r="Q206" s="252">
        <v>0</v>
      </c>
      <c r="R206" s="263">
        <f t="shared" si="47"/>
        <v>0</v>
      </c>
      <c r="U206" s="506"/>
      <c r="V206" s="261" t="s">
        <v>395</v>
      </c>
      <c r="W206" s="252">
        <v>0</v>
      </c>
      <c r="X206" s="252">
        <v>0</v>
      </c>
      <c r="Y206" s="252">
        <v>0</v>
      </c>
      <c r="Z206" s="252">
        <v>0</v>
      </c>
      <c r="AA206" s="252">
        <v>0</v>
      </c>
      <c r="AB206" s="252">
        <v>0</v>
      </c>
      <c r="AC206" s="252">
        <v>0</v>
      </c>
      <c r="AD206" s="252">
        <v>0</v>
      </c>
      <c r="AE206" s="252">
        <v>0</v>
      </c>
      <c r="AF206" s="252">
        <v>0</v>
      </c>
      <c r="AG206" s="252">
        <v>0</v>
      </c>
      <c r="AH206" s="252">
        <v>0</v>
      </c>
      <c r="AI206" s="252">
        <v>0</v>
      </c>
      <c r="AJ206" s="252">
        <v>0</v>
      </c>
      <c r="AK206" s="252">
        <v>0</v>
      </c>
      <c r="AL206" s="263">
        <f t="shared" si="48"/>
        <v>0</v>
      </c>
    </row>
    <row r="207" spans="1:38" ht="14.4" customHeight="1">
      <c r="A207" s="506"/>
      <c r="B207" s="261" t="s">
        <v>396</v>
      </c>
      <c r="C207" s="252">
        <v>0</v>
      </c>
      <c r="D207" s="252">
        <v>0</v>
      </c>
      <c r="E207" s="252">
        <v>0</v>
      </c>
      <c r="F207" s="252">
        <v>0</v>
      </c>
      <c r="G207" s="252">
        <v>0</v>
      </c>
      <c r="H207" s="252">
        <v>0</v>
      </c>
      <c r="I207" s="252">
        <v>0</v>
      </c>
      <c r="J207" s="252">
        <v>0</v>
      </c>
      <c r="K207" s="252">
        <v>0</v>
      </c>
      <c r="L207" s="252">
        <v>0</v>
      </c>
      <c r="M207" s="252">
        <v>0</v>
      </c>
      <c r="N207" s="252">
        <v>0</v>
      </c>
      <c r="O207" s="252">
        <v>0</v>
      </c>
      <c r="P207" s="252">
        <v>0</v>
      </c>
      <c r="Q207" s="252">
        <v>0</v>
      </c>
      <c r="R207" s="263">
        <f t="shared" si="47"/>
        <v>0</v>
      </c>
      <c r="U207" s="506"/>
      <c r="V207" s="261" t="s">
        <v>396</v>
      </c>
      <c r="W207" s="252">
        <v>0</v>
      </c>
      <c r="X207" s="252">
        <v>0</v>
      </c>
      <c r="Y207" s="252">
        <v>0</v>
      </c>
      <c r="Z207" s="252">
        <v>0</v>
      </c>
      <c r="AA207" s="252">
        <v>0</v>
      </c>
      <c r="AB207" s="252">
        <v>0</v>
      </c>
      <c r="AC207" s="252">
        <v>0</v>
      </c>
      <c r="AD207" s="252">
        <v>0</v>
      </c>
      <c r="AE207" s="252">
        <v>0</v>
      </c>
      <c r="AF207" s="252">
        <v>0</v>
      </c>
      <c r="AG207" s="252">
        <v>0</v>
      </c>
      <c r="AH207" s="252">
        <v>0</v>
      </c>
      <c r="AI207" s="252">
        <v>0</v>
      </c>
      <c r="AJ207" s="252">
        <v>0</v>
      </c>
      <c r="AK207" s="252">
        <v>0</v>
      </c>
      <c r="AL207" s="263">
        <f t="shared" si="48"/>
        <v>0</v>
      </c>
    </row>
    <row r="208" spans="1:38" ht="14.4" customHeight="1">
      <c r="A208" s="506"/>
      <c r="B208" s="261" t="s">
        <v>37</v>
      </c>
      <c r="C208" s="252">
        <v>0</v>
      </c>
      <c r="D208" s="252">
        <v>0</v>
      </c>
      <c r="E208" s="252">
        <v>0</v>
      </c>
      <c r="F208" s="252">
        <v>0</v>
      </c>
      <c r="G208" s="252">
        <v>0</v>
      </c>
      <c r="H208" s="252">
        <v>0</v>
      </c>
      <c r="I208" s="252">
        <v>0</v>
      </c>
      <c r="J208" s="252">
        <v>0</v>
      </c>
      <c r="K208" s="252">
        <v>0</v>
      </c>
      <c r="L208" s="252">
        <v>0</v>
      </c>
      <c r="M208" s="252">
        <v>0</v>
      </c>
      <c r="N208" s="252">
        <v>0</v>
      </c>
      <c r="O208" s="252">
        <v>0</v>
      </c>
      <c r="P208" s="252">
        <v>0</v>
      </c>
      <c r="Q208" s="252">
        <v>0</v>
      </c>
      <c r="R208" s="263">
        <f t="shared" si="47"/>
        <v>0</v>
      </c>
      <c r="U208" s="506"/>
      <c r="V208" s="261" t="s">
        <v>37</v>
      </c>
      <c r="W208" s="252">
        <v>0</v>
      </c>
      <c r="X208" s="252">
        <v>0</v>
      </c>
      <c r="Y208" s="252">
        <v>0</v>
      </c>
      <c r="Z208" s="252">
        <v>0</v>
      </c>
      <c r="AA208" s="252">
        <v>0</v>
      </c>
      <c r="AB208" s="252">
        <v>0</v>
      </c>
      <c r="AC208" s="252">
        <v>0</v>
      </c>
      <c r="AD208" s="252">
        <v>0</v>
      </c>
      <c r="AE208" s="252">
        <v>0</v>
      </c>
      <c r="AF208" s="252">
        <v>0</v>
      </c>
      <c r="AG208" s="252">
        <v>0</v>
      </c>
      <c r="AH208" s="252">
        <v>0</v>
      </c>
      <c r="AI208" s="252">
        <v>0</v>
      </c>
      <c r="AJ208" s="252">
        <v>0</v>
      </c>
      <c r="AK208" s="252">
        <v>0</v>
      </c>
      <c r="AL208" s="263">
        <f t="shared" si="48"/>
        <v>0</v>
      </c>
    </row>
    <row r="209" spans="1:38" ht="14.4" customHeight="1">
      <c r="A209" s="506"/>
      <c r="B209" s="261" t="s">
        <v>38</v>
      </c>
      <c r="C209" s="252">
        <v>0</v>
      </c>
      <c r="D209" s="252">
        <v>0</v>
      </c>
      <c r="E209" s="252">
        <v>0</v>
      </c>
      <c r="F209" s="252">
        <v>0</v>
      </c>
      <c r="G209" s="252">
        <v>0</v>
      </c>
      <c r="H209" s="252">
        <v>0</v>
      </c>
      <c r="I209" s="252">
        <v>0</v>
      </c>
      <c r="J209" s="252">
        <v>0</v>
      </c>
      <c r="K209" s="252">
        <v>0</v>
      </c>
      <c r="L209" s="252">
        <v>0</v>
      </c>
      <c r="M209" s="252">
        <v>0</v>
      </c>
      <c r="N209" s="252">
        <v>0</v>
      </c>
      <c r="O209" s="252">
        <f>O200*$F$17</f>
        <v>0.12840095610229599</v>
      </c>
      <c r="P209" s="252">
        <v>0</v>
      </c>
      <c r="Q209" s="252">
        <v>0</v>
      </c>
      <c r="R209" s="263">
        <f t="shared" si="47"/>
        <v>0.12840095610229599</v>
      </c>
      <c r="U209" s="506"/>
      <c r="V209" s="261" t="s">
        <v>38</v>
      </c>
      <c r="W209" s="252">
        <v>0</v>
      </c>
      <c r="X209" s="252">
        <v>0</v>
      </c>
      <c r="Y209" s="252">
        <v>0</v>
      </c>
      <c r="Z209" s="252">
        <v>0</v>
      </c>
      <c r="AA209" s="252">
        <v>0</v>
      </c>
      <c r="AB209" s="252">
        <v>0</v>
      </c>
      <c r="AC209" s="252">
        <v>0</v>
      </c>
      <c r="AD209" s="252">
        <v>0</v>
      </c>
      <c r="AE209" s="252">
        <v>0</v>
      </c>
      <c r="AF209" s="252">
        <v>0</v>
      </c>
      <c r="AG209" s="252">
        <v>0</v>
      </c>
      <c r="AH209" s="252">
        <v>0</v>
      </c>
      <c r="AI209" s="252">
        <f>AI200*$F$17</f>
        <v>0.1214936465679497</v>
      </c>
      <c r="AJ209" s="252">
        <v>0</v>
      </c>
      <c r="AK209" s="252">
        <v>0</v>
      </c>
      <c r="AL209" s="263">
        <f t="shared" si="48"/>
        <v>0.1214936465679497</v>
      </c>
    </row>
    <row r="210" spans="1:38" ht="14.4" customHeight="1">
      <c r="A210" s="506"/>
      <c r="B210" s="261" t="s">
        <v>39</v>
      </c>
      <c r="C210" s="252">
        <v>0</v>
      </c>
      <c r="D210" s="252">
        <v>0</v>
      </c>
      <c r="E210" s="252">
        <v>0</v>
      </c>
      <c r="F210" s="252">
        <v>0</v>
      </c>
      <c r="G210" s="252">
        <v>0</v>
      </c>
      <c r="H210" s="252">
        <v>0</v>
      </c>
      <c r="I210" s="252">
        <v>0</v>
      </c>
      <c r="J210" s="252">
        <v>0</v>
      </c>
      <c r="K210" s="252">
        <v>0</v>
      </c>
      <c r="L210" s="252">
        <v>0</v>
      </c>
      <c r="M210" s="252">
        <v>0</v>
      </c>
      <c r="N210" s="252">
        <v>0</v>
      </c>
      <c r="O210" s="252">
        <f>O200*$F$18</f>
        <v>0.90596083659992066</v>
      </c>
      <c r="P210" s="252">
        <f>P201*$R$18</f>
        <v>0</v>
      </c>
      <c r="Q210" s="252">
        <v>0</v>
      </c>
      <c r="R210" s="263">
        <f t="shared" si="47"/>
        <v>0.90596083659992066</v>
      </c>
      <c r="U210" s="506"/>
      <c r="V210" s="261" t="s">
        <v>39</v>
      </c>
      <c r="W210" s="252">
        <v>0</v>
      </c>
      <c r="X210" s="252">
        <v>0</v>
      </c>
      <c r="Y210" s="252">
        <v>0</v>
      </c>
      <c r="Z210" s="252">
        <v>0</v>
      </c>
      <c r="AA210" s="252">
        <v>0</v>
      </c>
      <c r="AB210" s="252">
        <v>0</v>
      </c>
      <c r="AC210" s="252">
        <v>0</v>
      </c>
      <c r="AD210" s="252">
        <v>0</v>
      </c>
      <c r="AE210" s="252">
        <v>0</v>
      </c>
      <c r="AF210" s="252">
        <v>0</v>
      </c>
      <c r="AG210" s="252">
        <v>0</v>
      </c>
      <c r="AH210" s="252">
        <v>0</v>
      </c>
      <c r="AI210" s="252">
        <f>AI200*$F$18</f>
        <v>0.85722481379799176</v>
      </c>
      <c r="AJ210" s="252">
        <f>AJ201*$R$18</f>
        <v>0</v>
      </c>
      <c r="AK210" s="252">
        <v>0</v>
      </c>
      <c r="AL210" s="263">
        <f t="shared" si="48"/>
        <v>0.85722481379799176</v>
      </c>
    </row>
    <row r="211" spans="1:38" ht="14.4" customHeight="1">
      <c r="A211" s="506"/>
      <c r="B211" s="256" t="s">
        <v>40</v>
      </c>
      <c r="C211" s="257">
        <f>SUM(C199:C210)</f>
        <v>0</v>
      </c>
      <c r="D211" s="257">
        <f t="shared" ref="D211:N211" si="51">SUM(D199:D210)</f>
        <v>0</v>
      </c>
      <c r="E211" s="257">
        <f t="shared" si="51"/>
        <v>15.623009444103401</v>
      </c>
      <c r="F211" s="257">
        <f t="shared" si="51"/>
        <v>0</v>
      </c>
      <c r="G211" s="257">
        <f t="shared" si="51"/>
        <v>0</v>
      </c>
      <c r="H211" s="257">
        <f t="shared" si="51"/>
        <v>8.2750000000000004</v>
      </c>
      <c r="I211" s="257">
        <f t="shared" si="51"/>
        <v>10</v>
      </c>
      <c r="J211" s="257">
        <f t="shared" si="51"/>
        <v>0</v>
      </c>
      <c r="K211" s="257">
        <f t="shared" si="51"/>
        <v>0</v>
      </c>
      <c r="L211" s="257">
        <f t="shared" si="51"/>
        <v>1.3333333333333337</v>
      </c>
      <c r="M211" s="257">
        <f t="shared" si="51"/>
        <v>0</v>
      </c>
      <c r="N211" s="257">
        <f t="shared" si="51"/>
        <v>0</v>
      </c>
      <c r="O211" s="257">
        <f>-O221</f>
        <v>-18.914762362703279</v>
      </c>
      <c r="P211" s="257">
        <f>-P213</f>
        <v>0</v>
      </c>
      <c r="Q211" s="257">
        <f>SUM(Q199:Q210)</f>
        <v>0</v>
      </c>
      <c r="R211" s="257">
        <f t="shared" si="47"/>
        <v>16.316580414733458</v>
      </c>
      <c r="U211" s="506"/>
      <c r="V211" s="256" t="s">
        <v>40</v>
      </c>
      <c r="W211" s="257">
        <f>SUM(W199:W210)</f>
        <v>0</v>
      </c>
      <c r="X211" s="257">
        <f t="shared" ref="X211:AH211" si="52">SUM(X199:X210)</f>
        <v>0</v>
      </c>
      <c r="Y211" s="257">
        <f t="shared" si="52"/>
        <v>0</v>
      </c>
      <c r="Z211" s="257">
        <f t="shared" si="52"/>
        <v>0</v>
      </c>
      <c r="AA211" s="257">
        <f t="shared" si="52"/>
        <v>0</v>
      </c>
      <c r="AB211" s="257">
        <f t="shared" si="52"/>
        <v>9.0141780803678415</v>
      </c>
      <c r="AC211" s="257">
        <f t="shared" si="52"/>
        <v>8.1593853313674423</v>
      </c>
      <c r="AD211" s="257">
        <f t="shared" si="52"/>
        <v>1.5541686345461794</v>
      </c>
      <c r="AE211" s="257">
        <f t="shared" si="52"/>
        <v>13.338239699615778</v>
      </c>
      <c r="AF211" s="257">
        <f t="shared" si="52"/>
        <v>1.0684476108973944</v>
      </c>
      <c r="AG211" s="257">
        <f t="shared" si="52"/>
        <v>0</v>
      </c>
      <c r="AH211" s="257">
        <f t="shared" si="52"/>
        <v>0</v>
      </c>
      <c r="AI211" s="257">
        <f>-AI221</f>
        <v>-17.897245652752094</v>
      </c>
      <c r="AJ211" s="257">
        <f>-AJ213</f>
        <v>0</v>
      </c>
      <c r="AK211" s="257">
        <f>SUM(AK199:AK210)</f>
        <v>0</v>
      </c>
      <c r="AL211" s="257">
        <f t="shared" si="48"/>
        <v>15.237173704042544</v>
      </c>
    </row>
    <row r="212" spans="1:38" ht="14.4" customHeight="1">
      <c r="A212" s="506"/>
      <c r="B212" s="258"/>
      <c r="C212" s="259"/>
      <c r="D212" s="259"/>
      <c r="E212" s="266"/>
      <c r="F212" s="259"/>
      <c r="G212" s="259"/>
      <c r="H212" s="259"/>
      <c r="I212" s="266"/>
      <c r="J212" s="259"/>
      <c r="K212" s="259"/>
      <c r="L212" s="259"/>
      <c r="M212" s="267"/>
      <c r="N212" s="259"/>
      <c r="O212" s="259"/>
      <c r="P212" s="259"/>
      <c r="Q212" s="259"/>
      <c r="R212" s="259"/>
      <c r="U212" s="506"/>
      <c r="V212" s="258"/>
      <c r="W212" s="259"/>
      <c r="X212" s="259"/>
      <c r="Y212" s="266"/>
      <c r="Z212" s="259"/>
      <c r="AA212" s="259"/>
      <c r="AB212" s="259"/>
      <c r="AC212" s="266"/>
      <c r="AD212" s="259"/>
      <c r="AE212" s="259"/>
      <c r="AF212" s="259"/>
      <c r="AG212" s="267"/>
      <c r="AH212" s="259"/>
      <c r="AI212" s="259"/>
      <c r="AJ212" s="259"/>
      <c r="AK212" s="259"/>
      <c r="AL212" s="259"/>
    </row>
    <row r="213" spans="1:38" ht="14.4" customHeight="1">
      <c r="A213" s="506"/>
      <c r="B213" s="261" t="s">
        <v>41</v>
      </c>
      <c r="C213" s="252">
        <v>0</v>
      </c>
      <c r="D213" s="252">
        <v>0</v>
      </c>
      <c r="E213" s="252">
        <f>Industrie!$G$35</f>
        <v>0</v>
      </c>
      <c r="F213" s="252">
        <v>0</v>
      </c>
      <c r="G213" s="252">
        <v>0</v>
      </c>
      <c r="H213" s="252">
        <v>0</v>
      </c>
      <c r="I213" s="252">
        <v>0</v>
      </c>
      <c r="J213" s="252">
        <v>0</v>
      </c>
      <c r="K213" s="252">
        <v>0</v>
      </c>
      <c r="L213" s="252">
        <v>0</v>
      </c>
      <c r="M213" s="252">
        <v>0</v>
      </c>
      <c r="N213" s="252">
        <v>0</v>
      </c>
      <c r="O213" s="252">
        <f>Industrie!$G$36</f>
        <v>1.4675506334059829</v>
      </c>
      <c r="P213" s="252">
        <f>Industrie!$G$39</f>
        <v>0</v>
      </c>
      <c r="Q213" s="252">
        <v>0</v>
      </c>
      <c r="R213" s="263">
        <f>SUM(C213:Q213)</f>
        <v>1.4675506334059829</v>
      </c>
      <c r="U213" s="506"/>
      <c r="V213" s="261" t="s">
        <v>41</v>
      </c>
      <c r="W213" s="252">
        <v>0</v>
      </c>
      <c r="X213" s="252">
        <v>0</v>
      </c>
      <c r="Y213" s="252">
        <f>Industrie!$G$56</f>
        <v>0</v>
      </c>
      <c r="Z213" s="252">
        <v>0</v>
      </c>
      <c r="AA213" s="252">
        <v>0</v>
      </c>
      <c r="AB213" s="252">
        <v>0</v>
      </c>
      <c r="AC213" s="252">
        <f>Industrie!$G$62*$V$13/SUM($V$13:$AA$13)</f>
        <v>0</v>
      </c>
      <c r="AD213" s="252">
        <f>Industrie!$G$62*$W$13/SUM($V$13:$AA$13)</f>
        <v>0</v>
      </c>
      <c r="AE213" s="252">
        <f>Industrie!$G$62*$X$13/SUM($V$13:$AA$13)</f>
        <v>0</v>
      </c>
      <c r="AF213" s="252">
        <f>Industrie!$G$62*$Y$13/SUM($V$13:$AA$13)</f>
        <v>0</v>
      </c>
      <c r="AG213" s="252">
        <f>Industrie!$G$62*$Z$13/SUM($V$13:$AA$13)</f>
        <v>0</v>
      </c>
      <c r="AH213" s="252">
        <f>Industrie!$G$62*$AA$13/SUM($V$13:$AA$13)</f>
        <v>0</v>
      </c>
      <c r="AI213" s="252">
        <f>Industrie!$G$57</f>
        <v>1.0623238495104901</v>
      </c>
      <c r="AJ213" s="252">
        <f>Industrie!$G$63</f>
        <v>0</v>
      </c>
      <c r="AK213" s="252">
        <v>0</v>
      </c>
      <c r="AL213" s="263">
        <f>SUM(W213:AK213)</f>
        <v>1.0623238495104901</v>
      </c>
    </row>
    <row r="214" spans="1:38" ht="14.4" customHeight="1">
      <c r="A214" s="506"/>
      <c r="B214" s="261" t="s">
        <v>42</v>
      </c>
      <c r="C214" s="252">
        <v>0</v>
      </c>
      <c r="D214" s="252">
        <v>0</v>
      </c>
      <c r="E214" s="252">
        <f>Transports!$I$49+Transports!$G$203+Transports!$G$105</f>
        <v>43.879606805837007</v>
      </c>
      <c r="F214" s="252">
        <v>0</v>
      </c>
      <c r="G214" s="252">
        <v>0</v>
      </c>
      <c r="H214" s="252">
        <v>0</v>
      </c>
      <c r="I214" s="252">
        <v>0</v>
      </c>
      <c r="J214" s="252">
        <v>0</v>
      </c>
      <c r="K214" s="252">
        <v>0</v>
      </c>
      <c r="L214" s="252">
        <v>0</v>
      </c>
      <c r="M214" s="252">
        <v>0</v>
      </c>
      <c r="N214" s="252">
        <v>0</v>
      </c>
      <c r="O214" s="252">
        <f>Transports!$I$50+Transports!$G$106</f>
        <v>0.61979669624730394</v>
      </c>
      <c r="P214" s="252">
        <v>0</v>
      </c>
      <c r="Q214" s="252">
        <v>0</v>
      </c>
      <c r="R214" s="263">
        <f t="shared" ref="R214:R221" si="53">SUM(C214:Q214)</f>
        <v>44.499403502084313</v>
      </c>
      <c r="U214" s="506"/>
      <c r="V214" s="261" t="s">
        <v>42</v>
      </c>
      <c r="W214" s="252">
        <v>0</v>
      </c>
      <c r="X214" s="252">
        <v>0</v>
      </c>
      <c r="Y214" s="252">
        <f>Transports!$I76+Transports!$G$150+Transports!$G$238</f>
        <v>24.717097518776836</v>
      </c>
      <c r="Z214" s="252">
        <v>0</v>
      </c>
      <c r="AA214" s="252">
        <v>0</v>
      </c>
      <c r="AB214" s="252">
        <v>0</v>
      </c>
      <c r="AC214" s="252">
        <v>0</v>
      </c>
      <c r="AD214" s="252">
        <v>0</v>
      </c>
      <c r="AE214" s="252">
        <f>Transports!$G$236+Transports!$G$237</f>
        <v>2.300481763298921</v>
      </c>
      <c r="AF214" s="252">
        <v>0</v>
      </c>
      <c r="AG214" s="252">
        <v>0</v>
      </c>
      <c r="AH214" s="252">
        <v>0</v>
      </c>
      <c r="AI214" s="252">
        <f>Transports!$I$77+Transports!$G$151</f>
        <v>6.4963970994449181</v>
      </c>
      <c r="AJ214" s="252">
        <v>0</v>
      </c>
      <c r="AK214" s="252">
        <v>0</v>
      </c>
      <c r="AL214" s="263">
        <f t="shared" ref="AL214:AL221" si="54">SUM(W214:AK214)</f>
        <v>33.513976381520678</v>
      </c>
    </row>
    <row r="215" spans="1:38" ht="14.4" customHeight="1">
      <c r="A215" s="506"/>
      <c r="B215" s="261" t="s">
        <v>43</v>
      </c>
      <c r="C215" s="252">
        <v>0</v>
      </c>
      <c r="D215" s="252">
        <v>0</v>
      </c>
      <c r="E215" s="252">
        <f>'Résidentiel-tertiaire'!$G$172</f>
        <v>1.9601026306586169</v>
      </c>
      <c r="F215" s="252">
        <v>0</v>
      </c>
      <c r="G215" s="252">
        <v>0</v>
      </c>
      <c r="H215" s="252">
        <v>0</v>
      </c>
      <c r="I215" s="252">
        <v>0</v>
      </c>
      <c r="J215" s="252">
        <v>0</v>
      </c>
      <c r="K215" s="252">
        <v>0</v>
      </c>
      <c r="L215" s="252">
        <v>0</v>
      </c>
      <c r="M215" s="252">
        <v>0</v>
      </c>
      <c r="N215" s="252">
        <v>0</v>
      </c>
      <c r="O215" s="252">
        <f>'Résidentiel-tertiaire'!$G$174</f>
        <v>8.123656871670109</v>
      </c>
      <c r="P215" s="252">
        <v>0</v>
      </c>
      <c r="Q215" s="252">
        <v>0</v>
      </c>
      <c r="R215" s="263">
        <f t="shared" si="53"/>
        <v>10.083759502328725</v>
      </c>
      <c r="S215" s="268">
        <f>R211+R221</f>
        <v>82.206165782631274</v>
      </c>
      <c r="U215" s="506"/>
      <c r="V215" s="261" t="s">
        <v>43</v>
      </c>
      <c r="W215" s="252">
        <v>0</v>
      </c>
      <c r="X215" s="252">
        <v>0</v>
      </c>
      <c r="Y215" s="252">
        <f>'Résidentiel-tertiaire'!$G$187</f>
        <v>0.65166666666666639</v>
      </c>
      <c r="Z215" s="252">
        <v>0</v>
      </c>
      <c r="AA215" s="252">
        <v>0</v>
      </c>
      <c r="AB215" s="252">
        <v>0</v>
      </c>
      <c r="AC215" s="252">
        <f>'Résidentiel-tertiaire'!$G$188*$V$14/SUM($V$14:$AA$14)</f>
        <v>0</v>
      </c>
      <c r="AD215" s="252">
        <f>'Résidentiel-tertiaire'!$G$188*$W$14/SUM($V$14:$AA$14)</f>
        <v>0</v>
      </c>
      <c r="AE215" s="252">
        <f>'Résidentiel-tertiaire'!$G$188*$X$14/SUM($V$14:$AA$14)</f>
        <v>0</v>
      </c>
      <c r="AF215" s="252">
        <f>'Résidentiel-tertiaire'!$G$188*$Y$14/SUM($V$14:$AA$14)</f>
        <v>0</v>
      </c>
      <c r="AG215" s="252">
        <f>'Résidentiel-tertiaire'!$G$188*$Z$14/SUM($V$14:$AA$14)</f>
        <v>0</v>
      </c>
      <c r="AH215" s="252">
        <f>'Résidentiel-tertiaire'!$G$188*$AA$14/SUM($V$14:$AA$14)</f>
        <v>0.47600019155972356</v>
      </c>
      <c r="AI215" s="252">
        <f>'Résidentiel-tertiaire'!$G$189</f>
        <v>6.2186904901199727</v>
      </c>
      <c r="AJ215" s="252">
        <v>0</v>
      </c>
      <c r="AK215" s="252">
        <v>0</v>
      </c>
      <c r="AL215" s="263">
        <f t="shared" si="54"/>
        <v>7.3463573483463627</v>
      </c>
    </row>
    <row r="216" spans="1:38" ht="14.4" customHeight="1">
      <c r="A216" s="506"/>
      <c r="B216" s="261" t="s">
        <v>44</v>
      </c>
      <c r="C216" s="252">
        <v>0</v>
      </c>
      <c r="D216" s="252">
        <v>0</v>
      </c>
      <c r="E216" s="252">
        <f>'Résidentiel-tertiaire'!$G$177</f>
        <v>0.79392549493317</v>
      </c>
      <c r="F216" s="252">
        <v>0</v>
      </c>
      <c r="G216" s="252">
        <v>0</v>
      </c>
      <c r="H216" s="252">
        <v>0</v>
      </c>
      <c r="I216" s="252">
        <v>0</v>
      </c>
      <c r="J216" s="252">
        <v>0</v>
      </c>
      <c r="K216" s="252">
        <v>0</v>
      </c>
      <c r="L216" s="252">
        <v>0</v>
      </c>
      <c r="M216" s="252">
        <v>0</v>
      </c>
      <c r="N216" s="252">
        <v>0</v>
      </c>
      <c r="O216" s="252">
        <f>'Résidentiel-tertiaire'!$G$179</f>
        <v>8.7037581613798807</v>
      </c>
      <c r="P216" s="252">
        <v>0</v>
      </c>
      <c r="Q216" s="252">
        <v>0</v>
      </c>
      <c r="R216" s="263">
        <f t="shared" si="53"/>
        <v>9.4976836563130504</v>
      </c>
      <c r="U216" s="506"/>
      <c r="V216" s="261" t="s">
        <v>44</v>
      </c>
      <c r="W216" s="252">
        <v>0</v>
      </c>
      <c r="X216" s="252">
        <v>0</v>
      </c>
      <c r="Y216" s="252">
        <f>'Résidentiel-tertiaire'!$G$192</f>
        <v>0.3279629629629629</v>
      </c>
      <c r="Z216" s="252">
        <v>0</v>
      </c>
      <c r="AA216" s="252">
        <v>0</v>
      </c>
      <c r="AB216" s="252">
        <v>0</v>
      </c>
      <c r="AC216" s="252">
        <f>'Résidentiel-tertiaire'!$G$193*$V$15/SUM($V$15:$AA$15)</f>
        <v>0</v>
      </c>
      <c r="AD216" s="252">
        <f>'Résidentiel-tertiaire'!$G$193*$W$15/SUM($V$15:$AA$15)</f>
        <v>0</v>
      </c>
      <c r="AE216" s="252">
        <f>'Résidentiel-tertiaire'!$G$193*$X$15/SUM($V$15:$AA$15)</f>
        <v>0</v>
      </c>
      <c r="AF216" s="252">
        <f>'Résidentiel-tertiaire'!$G$193*$Y$15/SUM($V$15:$AA$15)</f>
        <v>0</v>
      </c>
      <c r="AG216" s="252">
        <f>'Résidentiel-tertiaire'!$G$193*$Z$15/SUM($V$15:$AA$15)</f>
        <v>0</v>
      </c>
      <c r="AH216" s="252">
        <f>'Résidentiel-tertiaire'!$G$193*$AA$15/SUM($V$15:$AA$15)</f>
        <v>0</v>
      </c>
      <c r="AI216" s="252">
        <f>'Résidentiel-tertiaire'!$G$194</f>
        <v>4.1198342136767145</v>
      </c>
      <c r="AJ216" s="252">
        <v>0</v>
      </c>
      <c r="AK216" s="252">
        <v>0</v>
      </c>
      <c r="AL216" s="263">
        <f t="shared" si="54"/>
        <v>4.4477971766396776</v>
      </c>
    </row>
    <row r="217" spans="1:38" ht="14.4" customHeight="1">
      <c r="A217" s="506"/>
      <c r="B217" s="261" t="s">
        <v>4</v>
      </c>
      <c r="C217" s="252">
        <v>0</v>
      </c>
      <c r="D217" s="252">
        <v>0</v>
      </c>
      <c r="E217" s="252">
        <f>Agriculture!$S$27</f>
        <v>0.34118807376575322</v>
      </c>
      <c r="F217" s="252">
        <v>0</v>
      </c>
      <c r="G217" s="252">
        <v>0</v>
      </c>
      <c r="H217" s="252">
        <v>0</v>
      </c>
      <c r="I217" s="252">
        <v>0</v>
      </c>
      <c r="J217" s="252">
        <v>0</v>
      </c>
      <c r="K217" s="252">
        <v>0</v>
      </c>
      <c r="L217" s="252">
        <v>0</v>
      </c>
      <c r="M217" s="252">
        <v>0</v>
      </c>
      <c r="N217" s="252">
        <v>0</v>
      </c>
      <c r="O217" s="252">
        <f>Agriculture!$S$28</f>
        <v>0</v>
      </c>
      <c r="P217" s="252">
        <v>0</v>
      </c>
      <c r="Q217" s="252">
        <v>0</v>
      </c>
      <c r="R217" s="263">
        <f t="shared" si="53"/>
        <v>0.34118807376575322</v>
      </c>
      <c r="U217" s="506"/>
      <c r="V217" s="261" t="s">
        <v>4</v>
      </c>
      <c r="W217" s="252">
        <v>0</v>
      </c>
      <c r="X217" s="252">
        <v>0</v>
      </c>
      <c r="Y217" s="252">
        <f>Agriculture!$Y$43</f>
        <v>0.107168458781362</v>
      </c>
      <c r="Z217" s="252">
        <v>0</v>
      </c>
      <c r="AA217" s="252">
        <v>0</v>
      </c>
      <c r="AB217" s="252">
        <v>0</v>
      </c>
      <c r="AC217" s="252">
        <v>0</v>
      </c>
      <c r="AD217" s="252">
        <v>0</v>
      </c>
      <c r="AE217" s="252">
        <f>Agriculture!$Y$45</f>
        <v>0.20963758064516125</v>
      </c>
      <c r="AF217" s="252">
        <v>0</v>
      </c>
      <c r="AG217" s="252">
        <v>0</v>
      </c>
      <c r="AH217" s="252">
        <v>0</v>
      </c>
      <c r="AI217" s="252">
        <f>Agriculture!$Y$44</f>
        <v>0</v>
      </c>
      <c r="AJ217" s="252">
        <v>0</v>
      </c>
      <c r="AK217" s="252">
        <v>0</v>
      </c>
      <c r="AL217" s="263">
        <f t="shared" si="54"/>
        <v>0.31680603942652324</v>
      </c>
    </row>
    <row r="218" spans="1:38" ht="14.4" customHeight="1">
      <c r="A218" s="506"/>
      <c r="B218" s="261" t="s">
        <v>397</v>
      </c>
      <c r="C218" s="252">
        <v>0</v>
      </c>
      <c r="D218" s="252">
        <v>0</v>
      </c>
      <c r="E218" s="252">
        <v>0</v>
      </c>
      <c r="F218" s="252">
        <v>0</v>
      </c>
      <c r="G218" s="252">
        <v>0</v>
      </c>
      <c r="H218" s="252">
        <v>0</v>
      </c>
      <c r="I218" s="252">
        <v>0</v>
      </c>
      <c r="J218" s="252">
        <v>0</v>
      </c>
      <c r="K218" s="252">
        <v>0</v>
      </c>
      <c r="L218" s="252">
        <v>0</v>
      </c>
      <c r="M218" s="252">
        <v>0</v>
      </c>
      <c r="N218" s="252">
        <v>0</v>
      </c>
      <c r="O218" s="252">
        <v>0</v>
      </c>
      <c r="P218" s="252">
        <v>0</v>
      </c>
      <c r="Q218" s="252">
        <v>0</v>
      </c>
      <c r="R218" s="263">
        <f t="shared" si="53"/>
        <v>0</v>
      </c>
      <c r="U218" s="506"/>
      <c r="V218" s="261" t="s">
        <v>397</v>
      </c>
      <c r="W218" s="252">
        <v>0</v>
      </c>
      <c r="X218" s="252">
        <v>0</v>
      </c>
      <c r="Y218" s="252">
        <v>0</v>
      </c>
      <c r="Z218" s="252">
        <v>0</v>
      </c>
      <c r="AA218" s="252">
        <v>0</v>
      </c>
      <c r="AB218" s="252">
        <v>0</v>
      </c>
      <c r="AC218" s="252">
        <v>0</v>
      </c>
      <c r="AD218" s="252">
        <v>0</v>
      </c>
      <c r="AE218" s="252">
        <v>0</v>
      </c>
      <c r="AF218" s="252">
        <v>0</v>
      </c>
      <c r="AG218" s="252">
        <v>0</v>
      </c>
      <c r="AH218" s="252">
        <v>0</v>
      </c>
      <c r="AI218" s="252">
        <v>0</v>
      </c>
      <c r="AJ218" s="252">
        <v>0</v>
      </c>
      <c r="AK218" s="252">
        <v>0</v>
      </c>
      <c r="AL218" s="263">
        <f t="shared" si="54"/>
        <v>0</v>
      </c>
    </row>
    <row r="219" spans="1:38" ht="14.4" customHeight="1">
      <c r="A219" s="506"/>
      <c r="B219" s="256" t="s">
        <v>45</v>
      </c>
      <c r="C219" s="257">
        <f>SUM(C213:C218)</f>
        <v>0</v>
      </c>
      <c r="D219" s="257">
        <f t="shared" ref="D219:Q219" si="55">SUM(D213:D218)</f>
        <v>0</v>
      </c>
      <c r="E219" s="257">
        <f t="shared" si="55"/>
        <v>46.974823005194544</v>
      </c>
      <c r="F219" s="257">
        <f t="shared" si="55"/>
        <v>0</v>
      </c>
      <c r="G219" s="257">
        <f t="shared" si="55"/>
        <v>0</v>
      </c>
      <c r="H219" s="257">
        <f t="shared" si="55"/>
        <v>0</v>
      </c>
      <c r="I219" s="257">
        <f t="shared" si="55"/>
        <v>0</v>
      </c>
      <c r="J219" s="257">
        <f t="shared" si="55"/>
        <v>0</v>
      </c>
      <c r="K219" s="257">
        <f t="shared" si="55"/>
        <v>0</v>
      </c>
      <c r="L219" s="257">
        <f t="shared" si="55"/>
        <v>0</v>
      </c>
      <c r="M219" s="257">
        <f t="shared" si="55"/>
        <v>0</v>
      </c>
      <c r="N219" s="257">
        <f t="shared" si="55"/>
        <v>0</v>
      </c>
      <c r="O219" s="257">
        <f t="shared" si="55"/>
        <v>18.914762362703279</v>
      </c>
      <c r="P219" s="257">
        <f t="shared" si="55"/>
        <v>0</v>
      </c>
      <c r="Q219" s="257">
        <f t="shared" si="55"/>
        <v>0</v>
      </c>
      <c r="R219" s="257">
        <f t="shared" si="53"/>
        <v>65.889585367897823</v>
      </c>
      <c r="U219" s="506"/>
      <c r="V219" s="256" t="s">
        <v>45</v>
      </c>
      <c r="W219" s="257">
        <f>SUM(W213:W218)</f>
        <v>0</v>
      </c>
      <c r="X219" s="257">
        <f t="shared" ref="X219:AK219" si="56">SUM(X213:X218)</f>
        <v>0</v>
      </c>
      <c r="Y219" s="257">
        <f t="shared" si="56"/>
        <v>25.80389560718783</v>
      </c>
      <c r="Z219" s="257">
        <f t="shared" si="56"/>
        <v>0</v>
      </c>
      <c r="AA219" s="257">
        <f t="shared" si="56"/>
        <v>0</v>
      </c>
      <c r="AB219" s="257">
        <f t="shared" si="56"/>
        <v>0</v>
      </c>
      <c r="AC219" s="257">
        <f t="shared" si="56"/>
        <v>0</v>
      </c>
      <c r="AD219" s="257">
        <f t="shared" si="56"/>
        <v>0</v>
      </c>
      <c r="AE219" s="257">
        <f t="shared" si="56"/>
        <v>2.5101193439440821</v>
      </c>
      <c r="AF219" s="257">
        <f t="shared" si="56"/>
        <v>0</v>
      </c>
      <c r="AG219" s="257">
        <f t="shared" si="56"/>
        <v>0</v>
      </c>
      <c r="AH219" s="257">
        <f t="shared" si="56"/>
        <v>0.47600019155972356</v>
      </c>
      <c r="AI219" s="257">
        <f t="shared" si="56"/>
        <v>17.897245652752094</v>
      </c>
      <c r="AJ219" s="257">
        <f t="shared" si="56"/>
        <v>0</v>
      </c>
      <c r="AK219" s="257">
        <f t="shared" si="56"/>
        <v>0</v>
      </c>
      <c r="AL219" s="257">
        <f t="shared" si="54"/>
        <v>46.687260795443734</v>
      </c>
    </row>
    <row r="220" spans="1:38" ht="14.4" customHeight="1">
      <c r="A220" s="506"/>
      <c r="B220" s="251" t="s">
        <v>46</v>
      </c>
      <c r="C220" s="252">
        <v>0</v>
      </c>
      <c r="D220" s="252">
        <v>0</v>
      </c>
      <c r="E220" s="252">
        <f>Industrie!$G$37</f>
        <v>0</v>
      </c>
      <c r="F220" s="252">
        <v>0</v>
      </c>
      <c r="G220" s="252">
        <v>0</v>
      </c>
      <c r="H220" s="252">
        <v>0</v>
      </c>
      <c r="I220" s="252">
        <v>0</v>
      </c>
      <c r="J220" s="252">
        <v>0</v>
      </c>
      <c r="K220" s="252">
        <v>0</v>
      </c>
      <c r="L220" s="252">
        <v>0</v>
      </c>
      <c r="M220" s="252">
        <v>0</v>
      </c>
      <c r="N220" s="252">
        <v>0</v>
      </c>
      <c r="O220" s="252">
        <v>0</v>
      </c>
      <c r="P220" s="252">
        <v>0</v>
      </c>
      <c r="Q220" s="252">
        <v>0</v>
      </c>
      <c r="R220" s="263">
        <f t="shared" si="53"/>
        <v>0</v>
      </c>
      <c r="U220" s="506"/>
      <c r="V220" s="251" t="s">
        <v>46</v>
      </c>
      <c r="W220" s="252">
        <v>0</v>
      </c>
      <c r="X220" s="252">
        <v>0</v>
      </c>
      <c r="Y220" s="252">
        <f>Industrie!$G$59</f>
        <v>0</v>
      </c>
      <c r="Z220" s="252">
        <v>0</v>
      </c>
      <c r="AA220" s="252">
        <v>0</v>
      </c>
      <c r="AB220" s="252">
        <v>0</v>
      </c>
      <c r="AC220" s="252">
        <v>0</v>
      </c>
      <c r="AD220" s="252">
        <v>0</v>
      </c>
      <c r="AE220" s="252">
        <v>0</v>
      </c>
      <c r="AF220" s="252">
        <v>0</v>
      </c>
      <c r="AG220" s="252">
        <v>0</v>
      </c>
      <c r="AH220" s="252">
        <v>0</v>
      </c>
      <c r="AI220" s="252">
        <v>0</v>
      </c>
      <c r="AJ220" s="252">
        <v>0</v>
      </c>
      <c r="AK220" s="252">
        <v>0</v>
      </c>
      <c r="AL220" s="263">
        <f t="shared" si="54"/>
        <v>0</v>
      </c>
    </row>
    <row r="221" spans="1:38" ht="14.4" customHeight="1">
      <c r="A221" s="506"/>
      <c r="B221" s="256" t="s">
        <v>47</v>
      </c>
      <c r="C221" s="257">
        <f>C220+C219</f>
        <v>0</v>
      </c>
      <c r="D221" s="257">
        <f t="shared" ref="D221:Q221" si="57">D220+D219</f>
        <v>0</v>
      </c>
      <c r="E221" s="257">
        <f t="shared" si="57"/>
        <v>46.974823005194544</v>
      </c>
      <c r="F221" s="257">
        <f t="shared" si="57"/>
        <v>0</v>
      </c>
      <c r="G221" s="257">
        <f t="shared" si="57"/>
        <v>0</v>
      </c>
      <c r="H221" s="257">
        <f t="shared" si="57"/>
        <v>0</v>
      </c>
      <c r="I221" s="257">
        <f t="shared" si="57"/>
        <v>0</v>
      </c>
      <c r="J221" s="257">
        <f t="shared" si="57"/>
        <v>0</v>
      </c>
      <c r="K221" s="257">
        <f t="shared" si="57"/>
        <v>0</v>
      </c>
      <c r="L221" s="257">
        <f t="shared" si="57"/>
        <v>0</v>
      </c>
      <c r="M221" s="257">
        <f t="shared" si="57"/>
        <v>0</v>
      </c>
      <c r="N221" s="257">
        <f t="shared" si="57"/>
        <v>0</v>
      </c>
      <c r="O221" s="257">
        <f t="shared" si="57"/>
        <v>18.914762362703279</v>
      </c>
      <c r="P221" s="257">
        <f t="shared" si="57"/>
        <v>0</v>
      </c>
      <c r="Q221" s="257">
        <f t="shared" si="57"/>
        <v>0</v>
      </c>
      <c r="R221" s="257">
        <f t="shared" si="53"/>
        <v>65.889585367897823</v>
      </c>
      <c r="U221" s="506"/>
      <c r="V221" s="256" t="s">
        <v>47</v>
      </c>
      <c r="W221" s="257">
        <f>W220+W219</f>
        <v>0</v>
      </c>
      <c r="X221" s="257">
        <f t="shared" ref="X221:AK221" si="58">X220+X219</f>
        <v>0</v>
      </c>
      <c r="Y221" s="257">
        <f t="shared" si="58"/>
        <v>25.80389560718783</v>
      </c>
      <c r="Z221" s="257">
        <f t="shared" si="58"/>
        <v>0</v>
      </c>
      <c r="AA221" s="257">
        <f t="shared" si="58"/>
        <v>0</v>
      </c>
      <c r="AB221" s="257">
        <f t="shared" si="58"/>
        <v>0</v>
      </c>
      <c r="AC221" s="257">
        <f t="shared" si="58"/>
        <v>0</v>
      </c>
      <c r="AD221" s="257">
        <f t="shared" si="58"/>
        <v>0</v>
      </c>
      <c r="AE221" s="257">
        <f t="shared" si="58"/>
        <v>2.5101193439440821</v>
      </c>
      <c r="AF221" s="257">
        <f t="shared" si="58"/>
        <v>0</v>
      </c>
      <c r="AG221" s="257">
        <f t="shared" si="58"/>
        <v>0</v>
      </c>
      <c r="AH221" s="257">
        <f t="shared" si="58"/>
        <v>0.47600019155972356</v>
      </c>
      <c r="AI221" s="257">
        <f t="shared" si="58"/>
        <v>17.897245652752094</v>
      </c>
      <c r="AJ221" s="257">
        <f t="shared" si="58"/>
        <v>0</v>
      </c>
      <c r="AK221" s="257">
        <f t="shared" si="58"/>
        <v>0</v>
      </c>
      <c r="AL221" s="257">
        <f t="shared" si="54"/>
        <v>46.687260795443734</v>
      </c>
    </row>
    <row r="230" spans="1:38" ht="14.4" customHeight="1">
      <c r="A230" s="506">
        <v>2045</v>
      </c>
      <c r="B230" s="510" t="s">
        <v>12</v>
      </c>
      <c r="C230" s="509" t="s">
        <v>14</v>
      </c>
      <c r="D230" s="509" t="s">
        <v>15</v>
      </c>
      <c r="E230" s="509" t="s">
        <v>16</v>
      </c>
      <c r="F230" s="509" t="s">
        <v>17</v>
      </c>
      <c r="G230" s="509" t="s">
        <v>382</v>
      </c>
      <c r="H230" s="509" t="s">
        <v>18</v>
      </c>
      <c r="I230" s="509" t="s">
        <v>19</v>
      </c>
      <c r="J230" s="509"/>
      <c r="K230" s="509"/>
      <c r="L230" s="509"/>
      <c r="M230" s="509"/>
      <c r="N230" s="509"/>
      <c r="O230" s="501" t="s">
        <v>383</v>
      </c>
      <c r="P230" s="501" t="s">
        <v>21</v>
      </c>
      <c r="Q230" s="501" t="s">
        <v>384</v>
      </c>
      <c r="R230" s="501" t="s">
        <v>23</v>
      </c>
      <c r="U230" s="506">
        <v>2045</v>
      </c>
      <c r="V230" s="507" t="s">
        <v>12</v>
      </c>
      <c r="W230" s="501" t="s">
        <v>14</v>
      </c>
      <c r="X230" s="501" t="s">
        <v>15</v>
      </c>
      <c r="Y230" s="501" t="s">
        <v>16</v>
      </c>
      <c r="Z230" s="501" t="s">
        <v>17</v>
      </c>
      <c r="AA230" s="501" t="s">
        <v>382</v>
      </c>
      <c r="AB230" s="501" t="s">
        <v>18</v>
      </c>
      <c r="AC230" s="503" t="s">
        <v>19</v>
      </c>
      <c r="AD230" s="504"/>
      <c r="AE230" s="504"/>
      <c r="AF230" s="504"/>
      <c r="AG230" s="504"/>
      <c r="AH230" s="505"/>
      <c r="AI230" s="501" t="s">
        <v>383</v>
      </c>
      <c r="AJ230" s="501" t="s">
        <v>21</v>
      </c>
      <c r="AK230" s="501" t="s">
        <v>384</v>
      </c>
      <c r="AL230" s="501" t="s">
        <v>23</v>
      </c>
    </row>
    <row r="231" spans="1:38" ht="45.6">
      <c r="A231" s="506"/>
      <c r="B231" s="510"/>
      <c r="C231" s="509"/>
      <c r="D231" s="509"/>
      <c r="E231" s="509"/>
      <c r="F231" s="509"/>
      <c r="G231" s="509"/>
      <c r="H231" s="509"/>
      <c r="I231" s="249" t="s">
        <v>371</v>
      </c>
      <c r="J231" s="249" t="s">
        <v>7</v>
      </c>
      <c r="K231" s="249" t="s">
        <v>372</v>
      </c>
      <c r="L231" s="249" t="s">
        <v>385</v>
      </c>
      <c r="M231" s="250" t="s">
        <v>386</v>
      </c>
      <c r="N231" s="249" t="s">
        <v>387</v>
      </c>
      <c r="O231" s="501"/>
      <c r="P231" s="501"/>
      <c r="Q231" s="501"/>
      <c r="R231" s="501"/>
      <c r="U231" s="506"/>
      <c r="V231" s="508"/>
      <c r="W231" s="502"/>
      <c r="X231" s="502"/>
      <c r="Y231" s="502"/>
      <c r="Z231" s="502"/>
      <c r="AA231" s="502"/>
      <c r="AB231" s="502"/>
      <c r="AC231" s="249" t="s">
        <v>371</v>
      </c>
      <c r="AD231" s="249" t="s">
        <v>7</v>
      </c>
      <c r="AE231" s="249" t="s">
        <v>372</v>
      </c>
      <c r="AF231" s="249" t="s">
        <v>385</v>
      </c>
      <c r="AG231" s="250" t="s">
        <v>386</v>
      </c>
      <c r="AH231" s="249" t="s">
        <v>387</v>
      </c>
      <c r="AI231" s="502"/>
      <c r="AJ231" s="502"/>
      <c r="AK231" s="502"/>
      <c r="AL231" s="501"/>
    </row>
    <row r="232" spans="1:38" ht="14.4" customHeight="1">
      <c r="A232" s="506"/>
      <c r="B232" s="251" t="s">
        <v>24</v>
      </c>
      <c r="C232" s="252">
        <v>0</v>
      </c>
      <c r="D232" s="253">
        <v>0</v>
      </c>
      <c r="E232" s="253">
        <v>0</v>
      </c>
      <c r="F232" s="252">
        <v>0</v>
      </c>
      <c r="G232" s="253">
        <v>0</v>
      </c>
      <c r="H232" s="253">
        <f>H238</f>
        <v>8.2750000000000004</v>
      </c>
      <c r="I232" s="253">
        <f>$I$27</f>
        <v>0</v>
      </c>
      <c r="J232" s="253">
        <f>J238</f>
        <v>0</v>
      </c>
      <c r="K232" s="253">
        <v>0</v>
      </c>
      <c r="L232" s="253">
        <f>L238</f>
        <v>1.3333333333333337</v>
      </c>
      <c r="M232" s="253">
        <v>0</v>
      </c>
      <c r="N232" s="253">
        <f>N238</f>
        <v>0</v>
      </c>
      <c r="O232" s="254">
        <v>0</v>
      </c>
      <c r="P232" s="253">
        <v>0</v>
      </c>
      <c r="Q232" s="253">
        <v>0</v>
      </c>
      <c r="R232" s="255">
        <f>SUM(C232:Q232)</f>
        <v>9.6083333333333343</v>
      </c>
      <c r="U232" s="506"/>
      <c r="V232" s="251" t="s">
        <v>24</v>
      </c>
      <c r="W232" s="252">
        <v>0</v>
      </c>
      <c r="X232" s="253">
        <v>0</v>
      </c>
      <c r="Y232" s="253">
        <v>0</v>
      </c>
      <c r="Z232" s="252">
        <v>0</v>
      </c>
      <c r="AA232" s="253">
        <v>0</v>
      </c>
      <c r="AB232" s="253">
        <f>AB238</f>
        <v>11.19801630552659</v>
      </c>
      <c r="AC232" s="253">
        <f>IF((AC238-$AC$27)&gt;0,$AC$27+(AC238-$AC$27)*0.5,AC238)</f>
        <v>5.0680677244840151</v>
      </c>
      <c r="AD232" s="253">
        <f>AD238</f>
        <v>1.9306924664701015</v>
      </c>
      <c r="AE232" s="253">
        <f>IF((AE238-$AE$27)&gt;0,$AE$27+(AE238-AE235-AE236-$AE$27)*0.5,AE238-AE235-AE$72)</f>
        <v>7.6399153356755045</v>
      </c>
      <c r="AF232" s="253">
        <f>AF238</f>
        <v>1.3272972490401158</v>
      </c>
      <c r="AG232" s="253">
        <v>0</v>
      </c>
      <c r="AH232" s="253">
        <f>AH238</f>
        <v>0.43417484034378462</v>
      </c>
      <c r="AI232" s="254">
        <v>0</v>
      </c>
      <c r="AJ232" s="253">
        <v>0</v>
      </c>
      <c r="AK232" s="253">
        <v>0</v>
      </c>
      <c r="AL232" s="255">
        <f>SUM(W232:AK232)</f>
        <v>27.59816392154011</v>
      </c>
    </row>
    <row r="233" spans="1:38" ht="14.4" customHeight="1">
      <c r="A233" s="506"/>
      <c r="B233" s="251" t="s">
        <v>28</v>
      </c>
      <c r="C233" s="252">
        <f>C238</f>
        <v>0</v>
      </c>
      <c r="D233" s="253">
        <f>D238</f>
        <v>0</v>
      </c>
      <c r="E233" s="253">
        <f>E238-E236</f>
        <v>63.599534881762288</v>
      </c>
      <c r="F233" s="252">
        <v>0</v>
      </c>
      <c r="G233" s="253">
        <v>0</v>
      </c>
      <c r="H233" s="253">
        <v>0</v>
      </c>
      <c r="I233" s="253">
        <f>I238-$I$27</f>
        <v>10</v>
      </c>
      <c r="J233" s="253">
        <v>0</v>
      </c>
      <c r="K233" s="253">
        <f>K238</f>
        <v>0</v>
      </c>
      <c r="L233" s="253">
        <v>0</v>
      </c>
      <c r="M233" s="253">
        <v>0</v>
      </c>
      <c r="N233" s="253">
        <v>0</v>
      </c>
      <c r="O233" s="254">
        <v>0</v>
      </c>
      <c r="P233" s="253">
        <v>0</v>
      </c>
      <c r="Q233" s="253">
        <v>0</v>
      </c>
      <c r="R233" s="255">
        <f t="shared" ref="R233:R238" si="59">SUM(C233:Q233)</f>
        <v>73.599534881762281</v>
      </c>
      <c r="U233" s="506"/>
      <c r="V233" s="251" t="s">
        <v>28</v>
      </c>
      <c r="W233" s="252">
        <f>W238</f>
        <v>0</v>
      </c>
      <c r="X233" s="253">
        <f>X238</f>
        <v>0</v>
      </c>
      <c r="Y233" s="253">
        <f>Y238-Y235-Y236</f>
        <v>18.908859589157121</v>
      </c>
      <c r="Z233" s="252">
        <v>0</v>
      </c>
      <c r="AA233" s="253">
        <v>0</v>
      </c>
      <c r="AB233" s="253">
        <v>0</v>
      </c>
      <c r="AC233" s="253">
        <f>IF((AC238-$AC$27)&gt;0,(AC238-$AC$27)*0.5,0)</f>
        <v>5.0680677244840151</v>
      </c>
      <c r="AD233" s="253">
        <v>0</v>
      </c>
      <c r="AE233" s="253">
        <f>IF((AE238-AE235-AE236-$AE$27)&gt;0,(AE238-AE235-AE236-$AE$27)*0.5,0)</f>
        <v>7.6399153356755045</v>
      </c>
      <c r="AF233" s="253">
        <v>0</v>
      </c>
      <c r="AG233" s="253">
        <v>0</v>
      </c>
      <c r="AH233" s="253">
        <v>0</v>
      </c>
      <c r="AI233" s="254">
        <v>0</v>
      </c>
      <c r="AJ233" s="253">
        <v>0</v>
      </c>
      <c r="AK233" s="253">
        <v>0</v>
      </c>
      <c r="AL233" s="255">
        <f t="shared" ref="AL233:AL238" si="60">SUM(W233:AK233)</f>
        <v>31.616842649316638</v>
      </c>
    </row>
    <row r="234" spans="1:38" ht="14.4" customHeight="1">
      <c r="A234" s="506"/>
      <c r="B234" s="251" t="s">
        <v>29</v>
      </c>
      <c r="C234" s="252">
        <v>0</v>
      </c>
      <c r="D234" s="253">
        <v>0</v>
      </c>
      <c r="E234" s="253">
        <v>0</v>
      </c>
      <c r="F234" s="252">
        <v>0</v>
      </c>
      <c r="G234" s="253">
        <v>0</v>
      </c>
      <c r="H234" s="253">
        <v>0</v>
      </c>
      <c r="I234" s="253">
        <v>0</v>
      </c>
      <c r="J234" s="253">
        <v>0</v>
      </c>
      <c r="K234" s="253">
        <v>0</v>
      </c>
      <c r="L234" s="253">
        <v>0</v>
      </c>
      <c r="M234" s="253">
        <v>0</v>
      </c>
      <c r="N234" s="253">
        <v>0</v>
      </c>
      <c r="O234" s="254">
        <v>0</v>
      </c>
      <c r="P234" s="253">
        <v>0</v>
      </c>
      <c r="Q234" s="253">
        <v>0</v>
      </c>
      <c r="R234" s="255">
        <f t="shared" si="59"/>
        <v>0</v>
      </c>
      <c r="U234" s="506"/>
      <c r="V234" s="251" t="s">
        <v>29</v>
      </c>
      <c r="W234" s="252">
        <v>0</v>
      </c>
      <c r="X234" s="253">
        <v>0</v>
      </c>
      <c r="Y234" s="253">
        <v>0</v>
      </c>
      <c r="Z234" s="252">
        <v>0</v>
      </c>
      <c r="AA234" s="253">
        <v>0</v>
      </c>
      <c r="AB234" s="253">
        <v>0</v>
      </c>
      <c r="AC234" s="253">
        <v>0</v>
      </c>
      <c r="AD234" s="253">
        <v>0</v>
      </c>
      <c r="AE234" s="253">
        <v>0</v>
      </c>
      <c r="AF234" s="253">
        <v>0</v>
      </c>
      <c r="AG234" s="253">
        <v>0</v>
      </c>
      <c r="AH234" s="253">
        <v>0</v>
      </c>
      <c r="AI234" s="254">
        <v>0</v>
      </c>
      <c r="AJ234" s="253">
        <v>0</v>
      </c>
      <c r="AK234" s="253">
        <v>0</v>
      </c>
      <c r="AL234" s="255">
        <f t="shared" si="60"/>
        <v>0</v>
      </c>
    </row>
    <row r="235" spans="1:38" ht="14.4" customHeight="1">
      <c r="A235" s="506"/>
      <c r="B235" s="251" t="s">
        <v>30</v>
      </c>
      <c r="C235" s="252">
        <v>0</v>
      </c>
      <c r="D235" s="253">
        <v>0</v>
      </c>
      <c r="E235" s="253">
        <v>0</v>
      </c>
      <c r="F235" s="252">
        <v>0</v>
      </c>
      <c r="G235" s="253">
        <v>0</v>
      </c>
      <c r="H235" s="253">
        <v>0</v>
      </c>
      <c r="I235" s="253">
        <v>0</v>
      </c>
      <c r="J235" s="253">
        <v>0</v>
      </c>
      <c r="K235" s="253">
        <v>0</v>
      </c>
      <c r="L235" s="253">
        <v>0</v>
      </c>
      <c r="M235" s="253">
        <v>0</v>
      </c>
      <c r="N235" s="253">
        <v>0</v>
      </c>
      <c r="O235" s="254">
        <v>0</v>
      </c>
      <c r="P235" s="253">
        <v>0</v>
      </c>
      <c r="Q235" s="253">
        <v>0</v>
      </c>
      <c r="R235" s="255">
        <f t="shared" si="59"/>
        <v>0</v>
      </c>
      <c r="U235" s="506"/>
      <c r="V235" s="251" t="s">
        <v>30</v>
      </c>
      <c r="W235" s="252">
        <v>0</v>
      </c>
      <c r="X235" s="253">
        <v>0</v>
      </c>
      <c r="Y235" s="253">
        <f>-Transports!$H$172-Transports!$H$171</f>
        <v>0</v>
      </c>
      <c r="Z235" s="252">
        <v>0</v>
      </c>
      <c r="AA235" s="253">
        <v>0</v>
      </c>
      <c r="AB235" s="253">
        <v>0</v>
      </c>
      <c r="AC235" s="253">
        <v>0</v>
      </c>
      <c r="AD235" s="253">
        <v>0</v>
      </c>
      <c r="AE235" s="253">
        <f>-Transports!$H$170</f>
        <v>0</v>
      </c>
      <c r="AF235" s="253">
        <v>0</v>
      </c>
      <c r="AG235" s="253">
        <v>0</v>
      </c>
      <c r="AH235" s="253">
        <v>0</v>
      </c>
      <c r="AI235" s="254">
        <v>0</v>
      </c>
      <c r="AJ235" s="253">
        <v>0</v>
      </c>
      <c r="AK235" s="253">
        <v>0</v>
      </c>
      <c r="AL235" s="255">
        <f t="shared" si="60"/>
        <v>0</v>
      </c>
    </row>
    <row r="236" spans="1:38" ht="14.4" customHeight="1">
      <c r="A236" s="506"/>
      <c r="B236" s="251" t="s">
        <v>31</v>
      </c>
      <c r="C236" s="252">
        <v>0</v>
      </c>
      <c r="D236" s="253">
        <v>0</v>
      </c>
      <c r="E236" s="253">
        <f>-Transports!$H$202</f>
        <v>-1.7300058102590257</v>
      </c>
      <c r="F236" s="252">
        <v>0</v>
      </c>
      <c r="G236" s="253">
        <v>0</v>
      </c>
      <c r="H236" s="253">
        <v>0</v>
      </c>
      <c r="I236" s="253">
        <v>0</v>
      </c>
      <c r="J236" s="253">
        <v>0</v>
      </c>
      <c r="K236" s="253">
        <v>0</v>
      </c>
      <c r="L236" s="253">
        <v>0</v>
      </c>
      <c r="M236" s="253">
        <v>0</v>
      </c>
      <c r="N236" s="253">
        <v>0</v>
      </c>
      <c r="O236" s="254">
        <v>0</v>
      </c>
      <c r="P236" s="253">
        <v>0</v>
      </c>
      <c r="Q236" s="253">
        <v>0</v>
      </c>
      <c r="R236" s="255">
        <f t="shared" si="59"/>
        <v>-1.7300058102590257</v>
      </c>
      <c r="U236" s="506"/>
      <c r="V236" s="251" t="s">
        <v>31</v>
      </c>
      <c r="W236" s="252">
        <v>0</v>
      </c>
      <c r="X236" s="253">
        <v>0</v>
      </c>
      <c r="Y236" s="253">
        <f>-Transports!$H$234</f>
        <v>-0.91893866898985022</v>
      </c>
      <c r="Z236" s="252">
        <v>0</v>
      </c>
      <c r="AA236" s="253">
        <v>0</v>
      </c>
      <c r="AB236" s="253">
        <v>0</v>
      </c>
      <c r="AC236" s="253">
        <v>0</v>
      </c>
      <c r="AD236" s="253">
        <v>0</v>
      </c>
      <c r="AE236" s="253">
        <f>-Transports!$H$233-Transports!$H$232</f>
        <v>-0.5844283187978847</v>
      </c>
      <c r="AF236" s="253">
        <v>0</v>
      </c>
      <c r="AG236" s="253">
        <v>0</v>
      </c>
      <c r="AH236" s="253">
        <v>0</v>
      </c>
      <c r="AI236" s="254">
        <v>0</v>
      </c>
      <c r="AJ236" s="253">
        <v>0</v>
      </c>
      <c r="AK236" s="253">
        <v>0</v>
      </c>
      <c r="AL236" s="255">
        <f t="shared" si="60"/>
        <v>-1.5033669877877349</v>
      </c>
    </row>
    <row r="237" spans="1:38" ht="14.4" customHeight="1">
      <c r="A237" s="506"/>
      <c r="B237" s="251" t="s">
        <v>32</v>
      </c>
      <c r="C237" s="252">
        <v>0</v>
      </c>
      <c r="D237" s="253">
        <v>0</v>
      </c>
      <c r="E237" s="253">
        <v>0</v>
      </c>
      <c r="F237" s="252">
        <v>0</v>
      </c>
      <c r="G237" s="253">
        <v>0</v>
      </c>
      <c r="H237" s="253">
        <v>0</v>
      </c>
      <c r="I237" s="253">
        <v>0</v>
      </c>
      <c r="J237" s="253">
        <v>0</v>
      </c>
      <c r="K237" s="253">
        <v>0</v>
      </c>
      <c r="L237" s="253">
        <v>0</v>
      </c>
      <c r="M237" s="253">
        <v>0</v>
      </c>
      <c r="N237" s="253">
        <v>0</v>
      </c>
      <c r="O237" s="254">
        <v>0</v>
      </c>
      <c r="P237" s="253">
        <v>0</v>
      </c>
      <c r="Q237" s="253">
        <v>0</v>
      </c>
      <c r="R237" s="255">
        <f t="shared" si="59"/>
        <v>0</v>
      </c>
      <c r="U237" s="506"/>
      <c r="V237" s="251" t="s">
        <v>32</v>
      </c>
      <c r="W237" s="252">
        <v>0</v>
      </c>
      <c r="X237" s="253">
        <v>0</v>
      </c>
      <c r="Y237" s="253">
        <v>0</v>
      </c>
      <c r="Z237" s="252">
        <v>0</v>
      </c>
      <c r="AA237" s="253">
        <v>0</v>
      </c>
      <c r="AB237" s="253">
        <v>0</v>
      </c>
      <c r="AC237" s="253">
        <v>0</v>
      </c>
      <c r="AD237" s="253">
        <v>0</v>
      </c>
      <c r="AE237" s="253">
        <v>0</v>
      </c>
      <c r="AF237" s="253">
        <v>0</v>
      </c>
      <c r="AG237" s="253">
        <v>0</v>
      </c>
      <c r="AH237" s="253">
        <v>0</v>
      </c>
      <c r="AI237" s="254">
        <v>0</v>
      </c>
      <c r="AJ237" s="253">
        <v>0</v>
      </c>
      <c r="AK237" s="253">
        <v>0</v>
      </c>
      <c r="AL237" s="255">
        <f t="shared" si="60"/>
        <v>0</v>
      </c>
    </row>
    <row r="238" spans="1:38" ht="14.4" customHeight="1">
      <c r="A238" s="506"/>
      <c r="B238" s="256" t="s">
        <v>388</v>
      </c>
      <c r="C238" s="257">
        <f>C262+C260</f>
        <v>0</v>
      </c>
      <c r="D238" s="257">
        <f>D252+D262</f>
        <v>0</v>
      </c>
      <c r="E238" s="257">
        <f>E252+E262</f>
        <v>61.869529071503266</v>
      </c>
      <c r="F238" s="257">
        <f>SUM(F232:F237)</f>
        <v>0</v>
      </c>
      <c r="G238" s="257">
        <f>SUM(G232:G237)</f>
        <v>0</v>
      </c>
      <c r="H238" s="257">
        <f>H252</f>
        <v>8.2750000000000004</v>
      </c>
      <c r="I238" s="257">
        <f>I252+I260</f>
        <v>10</v>
      </c>
      <c r="J238" s="257">
        <f>J252+J262</f>
        <v>0</v>
      </c>
      <c r="K238" s="257">
        <f>K252+K262</f>
        <v>0</v>
      </c>
      <c r="L238" s="257">
        <f>L252+L262</f>
        <v>1.3333333333333337</v>
      </c>
      <c r="M238" s="257">
        <f>SUM(M232:M237)</f>
        <v>0</v>
      </c>
      <c r="N238" s="257">
        <f>N252+N262</f>
        <v>0</v>
      </c>
      <c r="O238" s="257">
        <f>SUM(O232:O237)</f>
        <v>0</v>
      </c>
      <c r="P238" s="257">
        <f>SUM(P232:P237)</f>
        <v>0</v>
      </c>
      <c r="Q238" s="257">
        <f>SUM(Q232:Q237)</f>
        <v>0</v>
      </c>
      <c r="R238" s="257">
        <f t="shared" si="59"/>
        <v>81.4778624048366</v>
      </c>
      <c r="U238" s="506"/>
      <c r="V238" s="256" t="s">
        <v>388</v>
      </c>
      <c r="W238" s="257">
        <f>W262+W260</f>
        <v>0</v>
      </c>
      <c r="X238" s="257">
        <f>X252+X262</f>
        <v>0</v>
      </c>
      <c r="Y238" s="257">
        <f>Y252+Y262</f>
        <v>17.989920920167272</v>
      </c>
      <c r="Z238" s="257">
        <f>SUM(Z232:Z237)</f>
        <v>0</v>
      </c>
      <c r="AA238" s="257">
        <f>SUM(AA232:AA237)</f>
        <v>0</v>
      </c>
      <c r="AB238" s="257">
        <f>AB252</f>
        <v>11.19801630552659</v>
      </c>
      <c r="AC238" s="257">
        <f>AC252+AC260</f>
        <v>10.13613544896803</v>
      </c>
      <c r="AD238" s="257">
        <f>AD252+AD260</f>
        <v>1.9306924664701015</v>
      </c>
      <c r="AE238" s="257">
        <f>AE252+AE262</f>
        <v>14.695402352553124</v>
      </c>
      <c r="AF238" s="257">
        <f>AF252+AF262</f>
        <v>1.3272972490401158</v>
      </c>
      <c r="AG238" s="257">
        <f>SUM(AG232:AG237)</f>
        <v>0</v>
      </c>
      <c r="AH238" s="257">
        <f>AH252+AH262</f>
        <v>0.43417484034378462</v>
      </c>
      <c r="AI238" s="257">
        <f>SUM(AI232:AI237)</f>
        <v>0</v>
      </c>
      <c r="AJ238" s="257">
        <f>SUM(AJ232:AJ237)</f>
        <v>0</v>
      </c>
      <c r="AK238" s="257">
        <f>SUM(AK232:AK237)</f>
        <v>0</v>
      </c>
      <c r="AL238" s="257">
        <f t="shared" si="60"/>
        <v>57.711639583069015</v>
      </c>
    </row>
    <row r="239" spans="1:38" ht="14.4" customHeight="1">
      <c r="A239" s="506"/>
      <c r="B239" s="258"/>
      <c r="C239" s="259"/>
      <c r="D239" s="227"/>
      <c r="E239" s="260"/>
      <c r="F239" s="259"/>
      <c r="G239" s="259"/>
      <c r="H239" s="259"/>
      <c r="I239" s="259"/>
      <c r="J239" s="259"/>
      <c r="K239" s="259"/>
      <c r="L239" s="259"/>
      <c r="M239" s="259"/>
      <c r="N239" s="259"/>
      <c r="O239" s="268"/>
      <c r="P239" s="259"/>
      <c r="Q239" s="259"/>
      <c r="R239" s="259"/>
      <c r="U239" s="506"/>
      <c r="V239" s="258"/>
      <c r="W239" s="259"/>
      <c r="X239" s="227"/>
      <c r="Y239" s="260"/>
      <c r="Z239" s="259"/>
      <c r="AA239" s="259"/>
      <c r="AB239" s="259"/>
      <c r="AC239" s="259"/>
      <c r="AD239" s="259"/>
      <c r="AE239" s="259"/>
      <c r="AF239" s="259"/>
      <c r="AG239" s="259"/>
      <c r="AH239" s="259"/>
      <c r="AI239" s="268"/>
      <c r="AJ239" s="259"/>
      <c r="AK239" s="259"/>
      <c r="AL239" s="259"/>
    </row>
    <row r="240" spans="1:38" ht="14.4" customHeight="1">
      <c r="A240" s="506"/>
      <c r="B240" s="261" t="s">
        <v>389</v>
      </c>
      <c r="C240" s="252">
        <v>0</v>
      </c>
      <c r="D240" s="262">
        <v>0</v>
      </c>
      <c r="E240" s="262">
        <v>0</v>
      </c>
      <c r="F240" s="252">
        <v>0</v>
      </c>
      <c r="G240" s="252">
        <v>0</v>
      </c>
      <c r="H240" s="252">
        <v>0</v>
      </c>
      <c r="I240" s="252">
        <v>0</v>
      </c>
      <c r="J240" s="252">
        <v>0</v>
      </c>
      <c r="K240" s="252">
        <v>0</v>
      </c>
      <c r="L240" s="252">
        <v>0</v>
      </c>
      <c r="M240" s="252">
        <v>0</v>
      </c>
      <c r="N240" s="252">
        <v>0</v>
      </c>
      <c r="O240" s="252">
        <v>0</v>
      </c>
      <c r="P240" s="252">
        <v>0</v>
      </c>
      <c r="Q240" s="252">
        <v>0</v>
      </c>
      <c r="R240" s="263">
        <f>SUM(C240:Q240)</f>
        <v>0</v>
      </c>
      <c r="U240" s="506"/>
      <c r="V240" s="261" t="s">
        <v>389</v>
      </c>
      <c r="W240" s="252">
        <v>0</v>
      </c>
      <c r="X240" s="262">
        <v>0</v>
      </c>
      <c r="Y240" s="262">
        <v>0</v>
      </c>
      <c r="Z240" s="252">
        <v>0</v>
      </c>
      <c r="AA240" s="252">
        <v>0</v>
      </c>
      <c r="AB240" s="252">
        <v>0</v>
      </c>
      <c r="AC240" s="252">
        <v>0</v>
      </c>
      <c r="AD240" s="252">
        <v>0</v>
      </c>
      <c r="AE240" s="252">
        <v>0</v>
      </c>
      <c r="AF240" s="252">
        <v>0</v>
      </c>
      <c r="AG240" s="252">
        <v>0</v>
      </c>
      <c r="AH240" s="252">
        <v>0</v>
      </c>
      <c r="AI240" s="252">
        <v>0</v>
      </c>
      <c r="AJ240" s="252">
        <v>0</v>
      </c>
      <c r="AK240" s="252">
        <v>0</v>
      </c>
      <c r="AL240" s="263">
        <f>SUM(W240:AK240)</f>
        <v>0</v>
      </c>
    </row>
    <row r="241" spans="1:38" ht="14.4" customHeight="1">
      <c r="A241" s="506"/>
      <c r="B241" s="261" t="s">
        <v>390</v>
      </c>
      <c r="C241" s="252">
        <f>$O$241*'Prod Energie'!$H$32/(-$J$13)</f>
        <v>0</v>
      </c>
      <c r="D241" s="252">
        <v>0</v>
      </c>
      <c r="E241" s="252">
        <f>O241*'Prod Energie'!$H$33/(-$K$13)</f>
        <v>15.009216090683221</v>
      </c>
      <c r="F241" s="252">
        <v>0</v>
      </c>
      <c r="G241" s="252">
        <v>0</v>
      </c>
      <c r="H241" s="252">
        <f>(O241)*('Prod Energie'!$H$34+'Prod Energie'!$H$39+'Prod Energie'!$H$40)/(-$L$13)</f>
        <v>8.2750000000000004</v>
      </c>
      <c r="I241" s="264">
        <f>(O241)*('Prod Energie'!$H$38)/(-$M$13)</f>
        <v>10</v>
      </c>
      <c r="J241" s="264">
        <f>(O241)*('Prod Energie'!$H$36)/(-$N$13)</f>
        <v>0</v>
      </c>
      <c r="K241" s="264">
        <f>(O241)*('Prod Energie'!$H$37)/(-$O$13)</f>
        <v>0</v>
      </c>
      <c r="L241" s="264">
        <f>(O241)*('Prod Energie'!$H$41)/(-P13)</f>
        <v>1.3333333333333337</v>
      </c>
      <c r="M241" s="264">
        <v>0</v>
      </c>
      <c r="N241" s="264">
        <f>(O241)*'Prod Energie'!H35/(-$Q$13)</f>
        <v>0</v>
      </c>
      <c r="O241" s="252">
        <f>O252/(1+$F$17+$F$18)</f>
        <v>-19.679055079900618</v>
      </c>
      <c r="P241" s="252">
        <v>0</v>
      </c>
      <c r="Q241" s="252">
        <v>0</v>
      </c>
      <c r="R241" s="263">
        <f t="shared" ref="R241:R252" si="61">SUM(C241:Q241)</f>
        <v>14.938494344115941</v>
      </c>
      <c r="U241" s="506"/>
      <c r="V241" s="261" t="s">
        <v>390</v>
      </c>
      <c r="W241" s="252">
        <f>AI241*'Prod Energie'!$H$53/(-$J$13)</f>
        <v>0</v>
      </c>
      <c r="X241" s="252">
        <v>0</v>
      </c>
      <c r="Y241" s="252">
        <f>AI241*'Prod Energie'!$H$54/(-$K$13)</f>
        <v>0</v>
      </c>
      <c r="Z241" s="252">
        <v>0</v>
      </c>
      <c r="AA241" s="252">
        <v>0</v>
      </c>
      <c r="AB241" s="252">
        <f>(AI241)*('Prod Energie'!$H$55+'Prod Energie'!$H$60+'Prod Energie'!$H$61)/(-$L$13)</f>
        <v>11.19801630552659</v>
      </c>
      <c r="AC241" s="264">
        <f>(AI241)*'Prod Energie'!$H$59/(-$M$13)</f>
        <v>10.13613544896803</v>
      </c>
      <c r="AD241" s="264">
        <f>(AI241)*('Prod Energie'!$H$57)/(-$N$13)</f>
        <v>1.9306924664701015</v>
      </c>
      <c r="AE241" s="264">
        <f>(AI241)*('Prod Energie'!$H$58)/(-$O$13)</f>
        <v>10.543659697685213</v>
      </c>
      <c r="AF241" s="264">
        <f>(AI241)*('Prod Energie'!$H$62)/(-$P$13)</f>
        <v>1.3272972490401158</v>
      </c>
      <c r="AG241" s="264">
        <v>0</v>
      </c>
      <c r="AH241" s="264">
        <f>(AI241)*'Prod Energie'!$H$56/(-$Q$13)</f>
        <v>0</v>
      </c>
      <c r="AI241" s="252">
        <f>AI252/(1+$F$17+$F$18)</f>
        <v>-21.038589700199996</v>
      </c>
      <c r="AJ241" s="252">
        <v>0</v>
      </c>
      <c r="AK241" s="252">
        <v>0</v>
      </c>
      <c r="AL241" s="263">
        <f t="shared" ref="AL241:AL252" si="62">SUM(W241:AK241)</f>
        <v>14.097211467490052</v>
      </c>
    </row>
    <row r="242" spans="1:38" ht="14.4" customHeight="1">
      <c r="A242" s="506"/>
      <c r="B242" s="261" t="s">
        <v>391</v>
      </c>
      <c r="C242" s="252">
        <v>0</v>
      </c>
      <c r="D242" s="252">
        <v>0</v>
      </c>
      <c r="E242" s="252">
        <v>0</v>
      </c>
      <c r="F242" s="252">
        <v>0</v>
      </c>
      <c r="G242" s="252">
        <v>0</v>
      </c>
      <c r="H242" s="252">
        <v>0</v>
      </c>
      <c r="I242" s="264">
        <f t="shared" ref="I242:N242" si="63">$P$242*$L$18*V$17</f>
        <v>0</v>
      </c>
      <c r="J242" s="264">
        <f t="shared" si="63"/>
        <v>0</v>
      </c>
      <c r="K242" s="264">
        <f t="shared" si="63"/>
        <v>0</v>
      </c>
      <c r="L242" s="264">
        <f t="shared" si="63"/>
        <v>0</v>
      </c>
      <c r="M242" s="264">
        <f t="shared" si="63"/>
        <v>0</v>
      </c>
      <c r="N242" s="264">
        <f t="shared" si="63"/>
        <v>0</v>
      </c>
      <c r="O242" s="252">
        <v>0</v>
      </c>
      <c r="P242" s="252">
        <f>P252/(1+$R$18)</f>
        <v>0</v>
      </c>
      <c r="Q242" s="252">
        <v>0</v>
      </c>
      <c r="R242" s="263">
        <f t="shared" si="61"/>
        <v>0</v>
      </c>
      <c r="U242" s="506"/>
      <c r="V242" s="261" t="s">
        <v>391</v>
      </c>
      <c r="W242" s="252">
        <v>0</v>
      </c>
      <c r="X242" s="252">
        <v>0</v>
      </c>
      <c r="Y242" s="252">
        <v>0</v>
      </c>
      <c r="Z242" s="252">
        <v>0</v>
      </c>
      <c r="AA242" s="252">
        <v>0</v>
      </c>
      <c r="AB242" s="252">
        <v>0</v>
      </c>
      <c r="AC242" s="264">
        <f t="shared" ref="AC242:AH242" si="64">$AJ$242*$L$18*V$17</f>
        <v>0</v>
      </c>
      <c r="AD242" s="264">
        <f t="shared" si="64"/>
        <v>0</v>
      </c>
      <c r="AE242" s="264">
        <f t="shared" si="64"/>
        <v>0</v>
      </c>
      <c r="AF242" s="264">
        <f t="shared" si="64"/>
        <v>0</v>
      </c>
      <c r="AG242" s="264">
        <f t="shared" si="64"/>
        <v>0</v>
      </c>
      <c r="AH242" s="264">
        <f t="shared" si="64"/>
        <v>0</v>
      </c>
      <c r="AI242" s="252">
        <v>0</v>
      </c>
      <c r="AJ242" s="252">
        <f>AJ252/(1+$R$18)</f>
        <v>0</v>
      </c>
      <c r="AK242" s="252">
        <v>0</v>
      </c>
      <c r="AL242" s="263">
        <f t="shared" si="62"/>
        <v>0</v>
      </c>
    </row>
    <row r="243" spans="1:38" ht="14.4" customHeight="1">
      <c r="A243" s="506"/>
      <c r="B243" s="261" t="s">
        <v>392</v>
      </c>
      <c r="C243" s="252">
        <v>0</v>
      </c>
      <c r="D243" s="252">
        <v>0</v>
      </c>
      <c r="E243" s="252">
        <v>0</v>
      </c>
      <c r="F243" s="252">
        <v>0</v>
      </c>
      <c r="G243" s="252">
        <v>0</v>
      </c>
      <c r="H243" s="252">
        <v>0</v>
      </c>
      <c r="I243" s="265">
        <v>0</v>
      </c>
      <c r="J243" s="265">
        <v>0</v>
      </c>
      <c r="K243" s="265">
        <v>0</v>
      </c>
      <c r="L243" s="265">
        <v>0</v>
      </c>
      <c r="M243" s="265">
        <v>0</v>
      </c>
      <c r="N243" s="265">
        <v>0</v>
      </c>
      <c r="O243" s="252">
        <v>0</v>
      </c>
      <c r="P243" s="252">
        <v>0</v>
      </c>
      <c r="Q243" s="252">
        <v>0</v>
      </c>
      <c r="R243" s="263">
        <f t="shared" si="61"/>
        <v>0</v>
      </c>
      <c r="U243" s="506"/>
      <c r="V243" s="261" t="s">
        <v>392</v>
      </c>
      <c r="W243" s="252">
        <v>0</v>
      </c>
      <c r="X243" s="252">
        <v>0</v>
      </c>
      <c r="Y243" s="252">
        <v>0</v>
      </c>
      <c r="Z243" s="252">
        <v>0</v>
      </c>
      <c r="AA243" s="252">
        <v>0</v>
      </c>
      <c r="AB243" s="252">
        <v>0</v>
      </c>
      <c r="AC243" s="265">
        <v>0</v>
      </c>
      <c r="AD243" s="265">
        <v>0</v>
      </c>
      <c r="AE243" s="265">
        <v>0</v>
      </c>
      <c r="AF243" s="265">
        <v>0</v>
      </c>
      <c r="AG243" s="265">
        <v>0</v>
      </c>
      <c r="AH243" s="265">
        <v>0</v>
      </c>
      <c r="AI243" s="252">
        <v>0</v>
      </c>
      <c r="AJ243" s="252">
        <v>0</v>
      </c>
      <c r="AK243" s="252">
        <v>0</v>
      </c>
      <c r="AL243" s="263">
        <f t="shared" si="62"/>
        <v>0</v>
      </c>
    </row>
    <row r="244" spans="1:38" ht="14.4" customHeight="1">
      <c r="A244" s="506"/>
      <c r="B244" s="261" t="s">
        <v>393</v>
      </c>
      <c r="C244" s="252">
        <v>0</v>
      </c>
      <c r="D244" s="252">
        <v>0</v>
      </c>
      <c r="E244" s="252">
        <v>0</v>
      </c>
      <c r="F244" s="252">
        <v>0</v>
      </c>
      <c r="G244" s="252">
        <v>0</v>
      </c>
      <c r="H244" s="252">
        <v>0</v>
      </c>
      <c r="I244" s="252">
        <v>0</v>
      </c>
      <c r="J244" s="252">
        <v>0</v>
      </c>
      <c r="K244" s="252">
        <v>0</v>
      </c>
      <c r="L244" s="252">
        <v>0</v>
      </c>
      <c r="M244" s="252">
        <v>0</v>
      </c>
      <c r="N244" s="252">
        <v>0</v>
      </c>
      <c r="O244" s="252">
        <v>0</v>
      </c>
      <c r="P244" s="252">
        <v>0</v>
      </c>
      <c r="Q244" s="252">
        <v>0</v>
      </c>
      <c r="R244" s="263">
        <f t="shared" si="61"/>
        <v>0</v>
      </c>
      <c r="U244" s="506"/>
      <c r="V244" s="261" t="s">
        <v>393</v>
      </c>
      <c r="W244" s="252">
        <v>0</v>
      </c>
      <c r="X244" s="252">
        <v>0</v>
      </c>
      <c r="Y244" s="252">
        <v>0</v>
      </c>
      <c r="Z244" s="252">
        <v>0</v>
      </c>
      <c r="AA244" s="252">
        <v>0</v>
      </c>
      <c r="AB244" s="252">
        <v>0</v>
      </c>
      <c r="AC244" s="252">
        <v>0</v>
      </c>
      <c r="AD244" s="252">
        <v>0</v>
      </c>
      <c r="AE244" s="252">
        <v>0</v>
      </c>
      <c r="AF244" s="252">
        <v>0</v>
      </c>
      <c r="AG244" s="252">
        <v>0</v>
      </c>
      <c r="AH244" s="252">
        <v>0</v>
      </c>
      <c r="AI244" s="252">
        <v>0</v>
      </c>
      <c r="AJ244" s="252">
        <v>0</v>
      </c>
      <c r="AK244" s="252">
        <v>0</v>
      </c>
      <c r="AL244" s="263">
        <f t="shared" si="62"/>
        <v>0</v>
      </c>
    </row>
    <row r="245" spans="1:38" ht="14.4" customHeight="1">
      <c r="A245" s="506"/>
      <c r="B245" s="261" t="s">
        <v>36</v>
      </c>
      <c r="C245" s="252">
        <v>0</v>
      </c>
      <c r="D245" s="252">
        <v>0</v>
      </c>
      <c r="E245" s="252">
        <v>0</v>
      </c>
      <c r="F245" s="252">
        <v>0</v>
      </c>
      <c r="G245" s="252">
        <v>0</v>
      </c>
      <c r="H245" s="252">
        <v>0</v>
      </c>
      <c r="I245" s="252">
        <v>0</v>
      </c>
      <c r="J245" s="252">
        <v>0</v>
      </c>
      <c r="K245" s="252">
        <v>0</v>
      </c>
      <c r="L245" s="252">
        <v>0</v>
      </c>
      <c r="M245" s="252">
        <v>0</v>
      </c>
      <c r="N245" s="252">
        <v>0</v>
      </c>
      <c r="O245" s="252">
        <v>0</v>
      </c>
      <c r="P245" s="252">
        <v>0</v>
      </c>
      <c r="Q245" s="252">
        <v>0</v>
      </c>
      <c r="R245" s="263">
        <f t="shared" si="61"/>
        <v>0</v>
      </c>
      <c r="U245" s="506"/>
      <c r="V245" s="261" t="s">
        <v>36</v>
      </c>
      <c r="W245" s="252">
        <v>0</v>
      </c>
      <c r="X245" s="252">
        <v>0</v>
      </c>
      <c r="Y245" s="252">
        <v>0</v>
      </c>
      <c r="Z245" s="252">
        <v>0</v>
      </c>
      <c r="AA245" s="252">
        <v>0</v>
      </c>
      <c r="AB245" s="252">
        <v>0</v>
      </c>
      <c r="AC245" s="252">
        <v>0</v>
      </c>
      <c r="AD245" s="252">
        <v>0</v>
      </c>
      <c r="AE245" s="252">
        <v>0</v>
      </c>
      <c r="AF245" s="252">
        <v>0</v>
      </c>
      <c r="AG245" s="252">
        <v>0</v>
      </c>
      <c r="AH245" s="252">
        <v>0</v>
      </c>
      <c r="AI245" s="252">
        <v>0</v>
      </c>
      <c r="AJ245" s="252">
        <v>0</v>
      </c>
      <c r="AK245" s="252">
        <v>0</v>
      </c>
      <c r="AL245" s="263">
        <f t="shared" si="62"/>
        <v>0</v>
      </c>
    </row>
    <row r="246" spans="1:38" ht="14.4" customHeight="1">
      <c r="A246" s="506"/>
      <c r="B246" s="261" t="s">
        <v>394</v>
      </c>
      <c r="C246" s="252">
        <v>0</v>
      </c>
      <c r="D246" s="252">
        <v>0</v>
      </c>
      <c r="E246" s="252">
        <v>0</v>
      </c>
      <c r="F246" s="252">
        <v>0</v>
      </c>
      <c r="G246" s="252">
        <v>0</v>
      </c>
      <c r="H246" s="252">
        <v>0</v>
      </c>
      <c r="I246" s="252">
        <v>0</v>
      </c>
      <c r="J246" s="252">
        <v>0</v>
      </c>
      <c r="K246" s="252">
        <v>0</v>
      </c>
      <c r="L246" s="252">
        <v>0</v>
      </c>
      <c r="M246" s="252">
        <v>0</v>
      </c>
      <c r="N246" s="252">
        <v>0</v>
      </c>
      <c r="O246" s="252">
        <v>0</v>
      </c>
      <c r="P246" s="252">
        <v>0</v>
      </c>
      <c r="Q246" s="252">
        <v>0</v>
      </c>
      <c r="R246" s="263">
        <f t="shared" si="61"/>
        <v>0</v>
      </c>
      <c r="U246" s="506"/>
      <c r="V246" s="261" t="s">
        <v>394</v>
      </c>
      <c r="W246" s="252">
        <v>0</v>
      </c>
      <c r="X246" s="252">
        <v>0</v>
      </c>
      <c r="Y246" s="252">
        <v>0</v>
      </c>
      <c r="Z246" s="252">
        <v>0</v>
      </c>
      <c r="AA246" s="252">
        <v>0</v>
      </c>
      <c r="AB246" s="252">
        <v>0</v>
      </c>
      <c r="AC246" s="252">
        <v>0</v>
      </c>
      <c r="AD246" s="252">
        <v>0</v>
      </c>
      <c r="AE246" s="252">
        <v>0</v>
      </c>
      <c r="AF246" s="252">
        <v>0</v>
      </c>
      <c r="AG246" s="252">
        <v>0</v>
      </c>
      <c r="AH246" s="252">
        <v>0</v>
      </c>
      <c r="AI246" s="252">
        <v>0</v>
      </c>
      <c r="AJ246" s="252">
        <v>0</v>
      </c>
      <c r="AK246" s="252">
        <v>0</v>
      </c>
      <c r="AL246" s="263">
        <f t="shared" si="62"/>
        <v>0</v>
      </c>
    </row>
    <row r="247" spans="1:38" ht="14.4" customHeight="1">
      <c r="A247" s="506"/>
      <c r="B247" s="261" t="s">
        <v>395</v>
      </c>
      <c r="C247" s="252">
        <v>0</v>
      </c>
      <c r="D247" s="252">
        <v>0</v>
      </c>
      <c r="E247" s="252">
        <v>0</v>
      </c>
      <c r="F247" s="252">
        <v>0</v>
      </c>
      <c r="G247" s="252">
        <v>0</v>
      </c>
      <c r="H247" s="252">
        <v>0</v>
      </c>
      <c r="I247" s="252">
        <v>0</v>
      </c>
      <c r="J247" s="252">
        <v>0</v>
      </c>
      <c r="K247" s="252">
        <v>0</v>
      </c>
      <c r="L247" s="252">
        <v>0</v>
      </c>
      <c r="M247" s="252">
        <v>0</v>
      </c>
      <c r="N247" s="252">
        <v>0</v>
      </c>
      <c r="O247" s="252">
        <v>0</v>
      </c>
      <c r="P247" s="252">
        <v>0</v>
      </c>
      <c r="Q247" s="252">
        <v>0</v>
      </c>
      <c r="R247" s="263">
        <f t="shared" si="61"/>
        <v>0</v>
      </c>
      <c r="U247" s="506"/>
      <c r="V247" s="261" t="s">
        <v>395</v>
      </c>
      <c r="W247" s="252">
        <v>0</v>
      </c>
      <c r="X247" s="252">
        <v>0</v>
      </c>
      <c r="Y247" s="252">
        <v>0</v>
      </c>
      <c r="Z247" s="252">
        <v>0</v>
      </c>
      <c r="AA247" s="252">
        <v>0</v>
      </c>
      <c r="AB247" s="252">
        <v>0</v>
      </c>
      <c r="AC247" s="252">
        <v>0</v>
      </c>
      <c r="AD247" s="252">
        <v>0</v>
      </c>
      <c r="AE247" s="252">
        <v>0</v>
      </c>
      <c r="AF247" s="252">
        <v>0</v>
      </c>
      <c r="AG247" s="252">
        <v>0</v>
      </c>
      <c r="AH247" s="252">
        <v>0</v>
      </c>
      <c r="AI247" s="252">
        <v>0</v>
      </c>
      <c r="AJ247" s="252">
        <v>0</v>
      </c>
      <c r="AK247" s="252">
        <v>0</v>
      </c>
      <c r="AL247" s="263">
        <f t="shared" si="62"/>
        <v>0</v>
      </c>
    </row>
    <row r="248" spans="1:38" ht="14.4" customHeight="1">
      <c r="A248" s="506"/>
      <c r="B248" s="261" t="s">
        <v>396</v>
      </c>
      <c r="C248" s="252">
        <v>0</v>
      </c>
      <c r="D248" s="252">
        <v>0</v>
      </c>
      <c r="E248" s="252">
        <v>0</v>
      </c>
      <c r="F248" s="252">
        <v>0</v>
      </c>
      <c r="G248" s="252">
        <v>0</v>
      </c>
      <c r="H248" s="252">
        <v>0</v>
      </c>
      <c r="I248" s="252">
        <v>0</v>
      </c>
      <c r="J248" s="252">
        <v>0</v>
      </c>
      <c r="K248" s="252">
        <v>0</v>
      </c>
      <c r="L248" s="252">
        <v>0</v>
      </c>
      <c r="M248" s="252">
        <v>0</v>
      </c>
      <c r="N248" s="252">
        <v>0</v>
      </c>
      <c r="O248" s="252">
        <v>0</v>
      </c>
      <c r="P248" s="252">
        <v>0</v>
      </c>
      <c r="Q248" s="252">
        <v>0</v>
      </c>
      <c r="R248" s="263">
        <f t="shared" si="61"/>
        <v>0</v>
      </c>
      <c r="U248" s="506"/>
      <c r="V248" s="261" t="s">
        <v>396</v>
      </c>
      <c r="W248" s="252">
        <v>0</v>
      </c>
      <c r="X248" s="252">
        <v>0</v>
      </c>
      <c r="Y248" s="252">
        <v>0</v>
      </c>
      <c r="Z248" s="252">
        <v>0</v>
      </c>
      <c r="AA248" s="252">
        <v>0</v>
      </c>
      <c r="AB248" s="252">
        <v>0</v>
      </c>
      <c r="AC248" s="252">
        <v>0</v>
      </c>
      <c r="AD248" s="252">
        <v>0</v>
      </c>
      <c r="AE248" s="252">
        <v>0</v>
      </c>
      <c r="AF248" s="252">
        <v>0</v>
      </c>
      <c r="AG248" s="252">
        <v>0</v>
      </c>
      <c r="AH248" s="252">
        <v>0</v>
      </c>
      <c r="AI248" s="252">
        <v>0</v>
      </c>
      <c r="AJ248" s="252">
        <v>0</v>
      </c>
      <c r="AK248" s="252">
        <v>0</v>
      </c>
      <c r="AL248" s="263">
        <f t="shared" si="62"/>
        <v>0</v>
      </c>
    </row>
    <row r="249" spans="1:38" ht="14.4" customHeight="1">
      <c r="A249" s="506"/>
      <c r="B249" s="261" t="s">
        <v>37</v>
      </c>
      <c r="C249" s="252">
        <v>0</v>
      </c>
      <c r="D249" s="252">
        <v>0</v>
      </c>
      <c r="E249" s="252">
        <v>0</v>
      </c>
      <c r="F249" s="252">
        <v>0</v>
      </c>
      <c r="G249" s="252">
        <v>0</v>
      </c>
      <c r="H249" s="252">
        <v>0</v>
      </c>
      <c r="I249" s="252">
        <v>0</v>
      </c>
      <c r="J249" s="252">
        <v>0</v>
      </c>
      <c r="K249" s="252">
        <v>0</v>
      </c>
      <c r="L249" s="252">
        <v>0</v>
      </c>
      <c r="M249" s="252">
        <v>0</v>
      </c>
      <c r="N249" s="252">
        <v>0</v>
      </c>
      <c r="O249" s="252">
        <v>0</v>
      </c>
      <c r="P249" s="252">
        <v>0</v>
      </c>
      <c r="Q249" s="252">
        <v>0</v>
      </c>
      <c r="R249" s="263">
        <f t="shared" si="61"/>
        <v>0</v>
      </c>
      <c r="U249" s="506"/>
      <c r="V249" s="261" t="s">
        <v>37</v>
      </c>
      <c r="W249" s="252">
        <v>0</v>
      </c>
      <c r="X249" s="252">
        <v>0</v>
      </c>
      <c r="Y249" s="252">
        <v>0</v>
      </c>
      <c r="Z249" s="252">
        <v>0</v>
      </c>
      <c r="AA249" s="252">
        <v>0</v>
      </c>
      <c r="AB249" s="252">
        <v>0</v>
      </c>
      <c r="AC249" s="252">
        <v>0</v>
      </c>
      <c r="AD249" s="252">
        <v>0</v>
      </c>
      <c r="AE249" s="252">
        <v>0</v>
      </c>
      <c r="AF249" s="252">
        <v>0</v>
      </c>
      <c r="AG249" s="252">
        <v>0</v>
      </c>
      <c r="AH249" s="252">
        <v>0</v>
      </c>
      <c r="AI249" s="252">
        <v>0</v>
      </c>
      <c r="AJ249" s="252">
        <v>0</v>
      </c>
      <c r="AK249" s="252">
        <v>0</v>
      </c>
      <c r="AL249" s="263">
        <f t="shared" si="62"/>
        <v>0</v>
      </c>
    </row>
    <row r="250" spans="1:38" ht="14.4" customHeight="1">
      <c r="A250" s="506"/>
      <c r="B250" s="261" t="s">
        <v>38</v>
      </c>
      <c r="C250" s="252">
        <v>0</v>
      </c>
      <c r="D250" s="252">
        <v>0</v>
      </c>
      <c r="E250" s="252">
        <v>0</v>
      </c>
      <c r="F250" s="252">
        <v>0</v>
      </c>
      <c r="G250" s="252">
        <v>0</v>
      </c>
      <c r="H250" s="252">
        <v>0</v>
      </c>
      <c r="I250" s="252">
        <v>0</v>
      </c>
      <c r="J250" s="252">
        <v>0</v>
      </c>
      <c r="K250" s="252">
        <v>0</v>
      </c>
      <c r="L250" s="252">
        <v>0</v>
      </c>
      <c r="M250" s="252">
        <v>0</v>
      </c>
      <c r="N250" s="252">
        <v>0</v>
      </c>
      <c r="O250" s="252">
        <f>O241*$F$17</f>
        <v>0.12666267790830854</v>
      </c>
      <c r="P250" s="252">
        <v>0</v>
      </c>
      <c r="Q250" s="252">
        <v>0</v>
      </c>
      <c r="R250" s="263">
        <f t="shared" si="61"/>
        <v>0.12666267790830854</v>
      </c>
      <c r="U250" s="506"/>
      <c r="V250" s="261" t="s">
        <v>38</v>
      </c>
      <c r="W250" s="252">
        <v>0</v>
      </c>
      <c r="X250" s="252">
        <v>0</v>
      </c>
      <c r="Y250" s="252">
        <v>0</v>
      </c>
      <c r="Z250" s="252">
        <v>0</v>
      </c>
      <c r="AA250" s="252">
        <v>0</v>
      </c>
      <c r="AB250" s="252">
        <v>0</v>
      </c>
      <c r="AC250" s="252">
        <v>0</v>
      </c>
      <c r="AD250" s="252">
        <v>0</v>
      </c>
      <c r="AE250" s="252">
        <v>0</v>
      </c>
      <c r="AF250" s="252">
        <v>0</v>
      </c>
      <c r="AG250" s="252">
        <v>0</v>
      </c>
      <c r="AH250" s="252">
        <v>0</v>
      </c>
      <c r="AI250" s="252">
        <f>AI241*$F$17</f>
        <v>0.1354132147108634</v>
      </c>
      <c r="AJ250" s="252">
        <v>0</v>
      </c>
      <c r="AK250" s="252">
        <v>0</v>
      </c>
      <c r="AL250" s="263">
        <f t="shared" si="62"/>
        <v>0.1354132147108634</v>
      </c>
    </row>
    <row r="251" spans="1:38" ht="14.4" customHeight="1">
      <c r="A251" s="506"/>
      <c r="B251" s="261" t="s">
        <v>39</v>
      </c>
      <c r="C251" s="252">
        <v>0</v>
      </c>
      <c r="D251" s="252">
        <v>0</v>
      </c>
      <c r="E251" s="252">
        <v>0</v>
      </c>
      <c r="F251" s="252">
        <v>0</v>
      </c>
      <c r="G251" s="252">
        <v>0</v>
      </c>
      <c r="H251" s="252">
        <v>0</v>
      </c>
      <c r="I251" s="252">
        <v>0</v>
      </c>
      <c r="J251" s="252">
        <v>0</v>
      </c>
      <c r="K251" s="252">
        <v>0</v>
      </c>
      <c r="L251" s="252">
        <v>0</v>
      </c>
      <c r="M251" s="252">
        <v>0</v>
      </c>
      <c r="N251" s="252">
        <v>0</v>
      </c>
      <c r="O251" s="252">
        <f>O241*$F$18</f>
        <v>0.89369603721934887</v>
      </c>
      <c r="P251" s="252">
        <f>P242*$R$18</f>
        <v>0</v>
      </c>
      <c r="Q251" s="252">
        <v>0</v>
      </c>
      <c r="R251" s="263">
        <f t="shared" si="61"/>
        <v>0.89369603721934887</v>
      </c>
      <c r="U251" s="506"/>
      <c r="V251" s="261" t="s">
        <v>39</v>
      </c>
      <c r="W251" s="252">
        <v>0</v>
      </c>
      <c r="X251" s="252">
        <v>0</v>
      </c>
      <c r="Y251" s="252">
        <v>0</v>
      </c>
      <c r="Z251" s="252">
        <v>0</v>
      </c>
      <c r="AA251" s="252">
        <v>0</v>
      </c>
      <c r="AB251" s="252">
        <v>0</v>
      </c>
      <c r="AC251" s="252">
        <v>0</v>
      </c>
      <c r="AD251" s="252">
        <v>0</v>
      </c>
      <c r="AE251" s="252">
        <v>0</v>
      </c>
      <c r="AF251" s="252">
        <v>0</v>
      </c>
      <c r="AG251" s="252">
        <v>0</v>
      </c>
      <c r="AH251" s="252">
        <v>0</v>
      </c>
      <c r="AI251" s="252">
        <f>AI241*$F$18</f>
        <v>0.95543735039169875</v>
      </c>
      <c r="AJ251" s="252">
        <f>AJ242*$R$18</f>
        <v>0</v>
      </c>
      <c r="AK251" s="252">
        <v>0</v>
      </c>
      <c r="AL251" s="263">
        <f t="shared" si="62"/>
        <v>0.95543735039169875</v>
      </c>
    </row>
    <row r="252" spans="1:38" ht="14.4" customHeight="1">
      <c r="A252" s="506"/>
      <c r="B252" s="256" t="s">
        <v>40</v>
      </c>
      <c r="C252" s="257">
        <f>SUM(C240:C251)</f>
        <v>0</v>
      </c>
      <c r="D252" s="257">
        <f t="shared" ref="D252:N252" si="65">SUM(D240:D251)</f>
        <v>0</v>
      </c>
      <c r="E252" s="257">
        <f t="shared" si="65"/>
        <v>15.009216090683221</v>
      </c>
      <c r="F252" s="257">
        <f t="shared" si="65"/>
        <v>0</v>
      </c>
      <c r="G252" s="257">
        <f t="shared" si="65"/>
        <v>0</v>
      </c>
      <c r="H252" s="257">
        <f t="shared" si="65"/>
        <v>8.2750000000000004</v>
      </c>
      <c r="I252" s="257">
        <f t="shared" si="65"/>
        <v>10</v>
      </c>
      <c r="J252" s="257">
        <f t="shared" si="65"/>
        <v>0</v>
      </c>
      <c r="K252" s="257">
        <f t="shared" si="65"/>
        <v>0</v>
      </c>
      <c r="L252" s="257">
        <f t="shared" si="65"/>
        <v>1.3333333333333337</v>
      </c>
      <c r="M252" s="257">
        <f t="shared" si="65"/>
        <v>0</v>
      </c>
      <c r="N252" s="257">
        <f t="shared" si="65"/>
        <v>0</v>
      </c>
      <c r="O252" s="257">
        <f>-O262</f>
        <v>-18.658696364772958</v>
      </c>
      <c r="P252" s="257">
        <f>-P254</f>
        <v>0</v>
      </c>
      <c r="Q252" s="257">
        <f>SUM(Q240:Q251)</f>
        <v>0</v>
      </c>
      <c r="R252" s="257">
        <f t="shared" si="61"/>
        <v>15.958853059243602</v>
      </c>
      <c r="S252" s="268">
        <f>R262+R252</f>
        <v>81.4778624048366</v>
      </c>
      <c r="U252" s="506"/>
      <c r="V252" s="256" t="s">
        <v>40</v>
      </c>
      <c r="W252" s="257">
        <f>SUM(W240:W251)</f>
        <v>0</v>
      </c>
      <c r="X252" s="257">
        <f t="shared" ref="X252:AH252" si="66">SUM(X240:X251)</f>
        <v>0</v>
      </c>
      <c r="Y252" s="257">
        <f t="shared" si="66"/>
        <v>0</v>
      </c>
      <c r="Z252" s="257">
        <f t="shared" si="66"/>
        <v>0</v>
      </c>
      <c r="AA252" s="257">
        <f t="shared" si="66"/>
        <v>0</v>
      </c>
      <c r="AB252" s="257">
        <f t="shared" si="66"/>
        <v>11.19801630552659</v>
      </c>
      <c r="AC252" s="257">
        <f t="shared" si="66"/>
        <v>10.13613544896803</v>
      </c>
      <c r="AD252" s="257">
        <f t="shared" si="66"/>
        <v>1.9306924664701015</v>
      </c>
      <c r="AE252" s="257">
        <f t="shared" si="66"/>
        <v>10.543659697685213</v>
      </c>
      <c r="AF252" s="257">
        <f t="shared" si="66"/>
        <v>1.3272972490401158</v>
      </c>
      <c r="AG252" s="257">
        <f t="shared" si="66"/>
        <v>0</v>
      </c>
      <c r="AH252" s="257">
        <f t="shared" si="66"/>
        <v>0</v>
      </c>
      <c r="AI252" s="257">
        <f>-AI262</f>
        <v>-19.947739135097432</v>
      </c>
      <c r="AJ252" s="257">
        <f>-AJ254</f>
        <v>0</v>
      </c>
      <c r="AK252" s="257">
        <f>SUM(AK240:AK251)</f>
        <v>0</v>
      </c>
      <c r="AL252" s="257">
        <f t="shared" si="62"/>
        <v>15.188062032592615</v>
      </c>
    </row>
    <row r="253" spans="1:38" ht="14.4" customHeight="1">
      <c r="A253" s="506"/>
      <c r="B253" s="258"/>
      <c r="C253" s="259"/>
      <c r="D253" s="259"/>
      <c r="E253" s="266"/>
      <c r="F253" s="259"/>
      <c r="G253" s="259"/>
      <c r="H253" s="259"/>
      <c r="I253" s="266"/>
      <c r="J253" s="259"/>
      <c r="K253" s="259"/>
      <c r="L253" s="259"/>
      <c r="M253" s="267"/>
      <c r="N253" s="259"/>
      <c r="O253" s="259"/>
      <c r="P253" s="259"/>
      <c r="Q253" s="259"/>
      <c r="R253" s="259"/>
      <c r="U253" s="506"/>
      <c r="V253" s="258"/>
      <c r="W253" s="259"/>
      <c r="X253" s="259"/>
      <c r="Y253" s="266"/>
      <c r="Z253" s="259"/>
      <c r="AA253" s="259"/>
      <c r="AB253" s="259"/>
      <c r="AC253" s="266"/>
      <c r="AD253" s="259"/>
      <c r="AE253" s="259"/>
      <c r="AF253" s="259"/>
      <c r="AG253" s="267"/>
      <c r="AH253" s="259"/>
      <c r="AI253" s="259"/>
      <c r="AJ253" s="259"/>
      <c r="AK253" s="259"/>
      <c r="AL253" s="259"/>
    </row>
    <row r="254" spans="1:38" ht="14.4" customHeight="1">
      <c r="A254" s="506"/>
      <c r="B254" s="261" t="s">
        <v>41</v>
      </c>
      <c r="C254" s="252">
        <v>0</v>
      </c>
      <c r="D254" s="252">
        <v>0</v>
      </c>
      <c r="E254" s="252">
        <f>Industrie!$H$35</f>
        <v>0</v>
      </c>
      <c r="F254" s="252">
        <v>0</v>
      </c>
      <c r="G254" s="252">
        <v>0</v>
      </c>
      <c r="H254" s="252">
        <v>0</v>
      </c>
      <c r="I254" s="252">
        <v>0</v>
      </c>
      <c r="J254" s="252">
        <v>0</v>
      </c>
      <c r="K254" s="252">
        <v>0</v>
      </c>
      <c r="L254" s="252">
        <v>0</v>
      </c>
      <c r="M254" s="252">
        <v>0</v>
      </c>
      <c r="N254" s="252">
        <v>0</v>
      </c>
      <c r="O254" s="252">
        <f>Industrie!$H$36</f>
        <v>1.5313173552740136</v>
      </c>
      <c r="P254" s="252">
        <f>Industrie!$H$39</f>
        <v>0</v>
      </c>
      <c r="Q254" s="252">
        <v>0</v>
      </c>
      <c r="R254" s="263">
        <f>SUM(C254:Q254)</f>
        <v>1.5313173552740136</v>
      </c>
      <c r="U254" s="506"/>
      <c r="V254" s="261" t="s">
        <v>41</v>
      </c>
      <c r="W254" s="252">
        <v>0</v>
      </c>
      <c r="X254" s="252">
        <v>0</v>
      </c>
      <c r="Y254" s="252">
        <f>Industrie!$H$56</f>
        <v>0</v>
      </c>
      <c r="Z254" s="252">
        <v>0</v>
      </c>
      <c r="AA254" s="252">
        <v>0</v>
      </c>
      <c r="AB254" s="252">
        <v>0</v>
      </c>
      <c r="AC254" s="252">
        <f>Industrie!$H$62*$V$13/SUM($V$13:$AA$13)</f>
        <v>0</v>
      </c>
      <c r="AD254" s="252">
        <f>Industrie!$H$62*$W$13/SUM($V$13:$AA$13)</f>
        <v>0</v>
      </c>
      <c r="AE254" s="252">
        <f>Industrie!$H$62*$X$13/SUM($V$13:$AA$13)</f>
        <v>0</v>
      </c>
      <c r="AF254" s="252">
        <f>Industrie!$H$62*$Y$13/SUM($V$13:$AA$13)</f>
        <v>0</v>
      </c>
      <c r="AG254" s="252">
        <f>Industrie!$H$62*$Z$13/SUM($V$13:$AA$13)</f>
        <v>0</v>
      </c>
      <c r="AH254" s="252">
        <f>Industrie!$H$62*$AA$13/SUM($V$13:$AA$13)</f>
        <v>0</v>
      </c>
      <c r="AI254" s="252">
        <f>Industrie!$H$57</f>
        <v>0.99859145843925112</v>
      </c>
      <c r="AJ254" s="252">
        <f>Industrie!$H$63</f>
        <v>0</v>
      </c>
      <c r="AK254" s="252">
        <v>0</v>
      </c>
      <c r="AL254" s="263">
        <f>SUM(W254:AK254)</f>
        <v>0.99859145843925112</v>
      </c>
    </row>
    <row r="255" spans="1:38" ht="14.4" customHeight="1">
      <c r="A255" s="506"/>
      <c r="B255" s="261" t="s">
        <v>42</v>
      </c>
      <c r="C255" s="252">
        <v>0</v>
      </c>
      <c r="D255" s="252">
        <v>0</v>
      </c>
      <c r="E255" s="252">
        <f>Transports!$J$49+Transports!$H$203+Transports!$H$105</f>
        <v>43.807650646532409</v>
      </c>
      <c r="F255" s="252">
        <v>0</v>
      </c>
      <c r="G255" s="252">
        <v>0</v>
      </c>
      <c r="H255" s="252">
        <v>0</v>
      </c>
      <c r="I255" s="252">
        <v>0</v>
      </c>
      <c r="J255" s="252">
        <v>0</v>
      </c>
      <c r="K255" s="252">
        <v>0</v>
      </c>
      <c r="L255" s="252">
        <v>0</v>
      </c>
      <c r="M255" s="252">
        <v>0</v>
      </c>
      <c r="N255" s="252">
        <v>0</v>
      </c>
      <c r="O255" s="252">
        <f>Transports!$J$50+Transports!$H$106</f>
        <v>0.79077577406253585</v>
      </c>
      <c r="P255" s="252">
        <v>0</v>
      </c>
      <c r="Q255" s="252">
        <v>0</v>
      </c>
      <c r="R255" s="263">
        <f t="shared" ref="R255:R262" si="67">SUM(C255:Q255)</f>
        <v>44.598426420594947</v>
      </c>
      <c r="U255" s="506"/>
      <c r="V255" s="261" t="s">
        <v>42</v>
      </c>
      <c r="W255" s="252">
        <v>0</v>
      </c>
      <c r="X255" s="252">
        <v>0</v>
      </c>
      <c r="Y255" s="252">
        <f>Transports!$J76+Transports!$H$150+Transports!$H$238</f>
        <v>17.446521875961778</v>
      </c>
      <c r="Z255" s="252">
        <v>0</v>
      </c>
      <c r="AA255" s="252">
        <v>0</v>
      </c>
      <c r="AB255" s="252">
        <v>0</v>
      </c>
      <c r="AC255" s="252">
        <v>0</v>
      </c>
      <c r="AD255" s="252">
        <v>0</v>
      </c>
      <c r="AE255" s="252">
        <f>Transports!$H$236+Transports!$H$237</f>
        <v>3.8921913645453312</v>
      </c>
      <c r="AF255" s="252">
        <v>0</v>
      </c>
      <c r="AG255" s="252">
        <v>0</v>
      </c>
      <c r="AH255" s="252">
        <v>0</v>
      </c>
      <c r="AI255" s="252">
        <f>Transports!$J$77+Transports!$H$151</f>
        <v>9.0947348902263023</v>
      </c>
      <c r="AJ255" s="252">
        <v>0</v>
      </c>
      <c r="AK255" s="252">
        <v>0</v>
      </c>
      <c r="AL255" s="263">
        <f t="shared" ref="AL255:AL262" si="68">SUM(W255:AK255)</f>
        <v>30.433448130733414</v>
      </c>
    </row>
    <row r="256" spans="1:38" ht="14.4" customHeight="1">
      <c r="A256" s="506"/>
      <c r="B256" s="261" t="s">
        <v>43</v>
      </c>
      <c r="C256" s="252">
        <v>0</v>
      </c>
      <c r="D256" s="252">
        <v>0</v>
      </c>
      <c r="E256" s="252">
        <f>'Résidentiel-tertiaire'!$H$172</f>
        <v>1.9613175427201921</v>
      </c>
      <c r="F256" s="252">
        <v>0</v>
      </c>
      <c r="G256" s="252">
        <v>0</v>
      </c>
      <c r="H256" s="252">
        <v>0</v>
      </c>
      <c r="I256" s="252">
        <v>0</v>
      </c>
      <c r="J256" s="252">
        <v>0</v>
      </c>
      <c r="K256" s="252">
        <v>0</v>
      </c>
      <c r="L256" s="252">
        <v>0</v>
      </c>
      <c r="M256" s="252">
        <v>0</v>
      </c>
      <c r="N256" s="252">
        <v>0</v>
      </c>
      <c r="O256" s="252">
        <f>'Résidentiel-tertiaire'!$H$174</f>
        <v>8.1286920818489623</v>
      </c>
      <c r="P256" s="252">
        <v>0</v>
      </c>
      <c r="Q256" s="252">
        <v>0</v>
      </c>
      <c r="R256" s="263">
        <f t="shared" si="67"/>
        <v>10.090009624569154</v>
      </c>
      <c r="U256" s="506"/>
      <c r="V256" s="261" t="s">
        <v>43</v>
      </c>
      <c r="W256" s="252">
        <v>0</v>
      </c>
      <c r="X256" s="252">
        <v>0</v>
      </c>
      <c r="Y256" s="252">
        <f>'Résidentiel-tertiaire'!$H$187</f>
        <v>0.32583333333333303</v>
      </c>
      <c r="Z256" s="252">
        <v>0</v>
      </c>
      <c r="AA256" s="252">
        <v>0</v>
      </c>
      <c r="AB256" s="252">
        <v>0</v>
      </c>
      <c r="AC256" s="252">
        <f>'Résidentiel-tertiaire'!$H$188*$V$14/SUM($V$14:$AA$14)</f>
        <v>0</v>
      </c>
      <c r="AD256" s="252">
        <f>'Résidentiel-tertiaire'!$H$188*$W$14/SUM($V$14:$AA$14)</f>
        <v>0</v>
      </c>
      <c r="AE256" s="252">
        <f>'Résidentiel-tertiaire'!$H$188*$X$14/SUM($V$14:$AA$14)</f>
        <v>0</v>
      </c>
      <c r="AF256" s="252">
        <f>'Résidentiel-tertiaire'!$H$188*$Y$14/SUM($V$14:$AA$14)</f>
        <v>0</v>
      </c>
      <c r="AG256" s="252">
        <f>'Résidentiel-tertiaire'!$H$188*$Z$14/SUM($V$14:$AA$14)</f>
        <v>0</v>
      </c>
      <c r="AH256" s="252">
        <f>'Résidentiel-tertiaire'!$H$188*$AA$14/SUM($V$14:$AA$14)</f>
        <v>0.43417484034378462</v>
      </c>
      <c r="AI256" s="252">
        <f>'Résidentiel-tertiaire'!$H$189</f>
        <v>5.9408368792948263</v>
      </c>
      <c r="AJ256" s="252">
        <v>0</v>
      </c>
      <c r="AK256" s="252">
        <v>0</v>
      </c>
      <c r="AL256" s="263">
        <f t="shared" si="68"/>
        <v>6.7008450529719443</v>
      </c>
    </row>
    <row r="257" spans="1:40" ht="14.4" customHeight="1">
      <c r="A257" s="506"/>
      <c r="B257" s="261" t="s">
        <v>44</v>
      </c>
      <c r="C257" s="252">
        <v>0</v>
      </c>
      <c r="D257" s="252">
        <v>0</v>
      </c>
      <c r="E257" s="252">
        <f>'Résidentiel-tertiaire'!$H$177</f>
        <v>0.74869611541990366</v>
      </c>
      <c r="F257" s="252">
        <v>0</v>
      </c>
      <c r="G257" s="252">
        <v>0</v>
      </c>
      <c r="H257" s="252">
        <v>0</v>
      </c>
      <c r="I257" s="252">
        <v>0</v>
      </c>
      <c r="J257" s="252">
        <v>0</v>
      </c>
      <c r="K257" s="252">
        <v>0</v>
      </c>
      <c r="L257" s="252">
        <v>0</v>
      </c>
      <c r="M257" s="252">
        <v>0</v>
      </c>
      <c r="N257" s="252">
        <v>0</v>
      </c>
      <c r="O257" s="252">
        <f>'Résidentiel-tertiaire'!$H$179</f>
        <v>8.2079111535874461</v>
      </c>
      <c r="P257" s="252">
        <v>0</v>
      </c>
      <c r="Q257" s="252">
        <v>0</v>
      </c>
      <c r="R257" s="263">
        <f t="shared" si="67"/>
        <v>8.9566072690073497</v>
      </c>
      <c r="U257" s="506"/>
      <c r="V257" s="261" t="s">
        <v>44</v>
      </c>
      <c r="W257" s="252">
        <v>0</v>
      </c>
      <c r="X257" s="252">
        <v>0</v>
      </c>
      <c r="Y257" s="252">
        <f>'Résidentiel-tertiaire'!$H$192</f>
        <v>0.16398148148148142</v>
      </c>
      <c r="Z257" s="252">
        <v>0</v>
      </c>
      <c r="AA257" s="252">
        <v>0</v>
      </c>
      <c r="AB257" s="252">
        <v>0</v>
      </c>
      <c r="AC257" s="252">
        <f>'Résidentiel-tertiaire'!$H$193*$V$15/SUM($V$15:$AA$15)</f>
        <v>0</v>
      </c>
      <c r="AD257" s="252">
        <f>'Résidentiel-tertiaire'!$H$193*$W$15/SUM($V$15:$AA$15)</f>
        <v>0</v>
      </c>
      <c r="AE257" s="252">
        <f>'Résidentiel-tertiaire'!$H$193*$X$15/SUM($V$15:$AA$15)</f>
        <v>0</v>
      </c>
      <c r="AF257" s="252">
        <f>'Résidentiel-tertiaire'!$H$193*$Y$15/SUM($V$15:$AA$15)</f>
        <v>0</v>
      </c>
      <c r="AG257" s="252">
        <f>'Résidentiel-tertiaire'!$H$193*$Z$15/SUM($V$15:$AA$15)</f>
        <v>0</v>
      </c>
      <c r="AH257" s="252">
        <f>'Résidentiel-tertiaire'!$H$193*$AA$15/SUM($V$15:$AA$15)</f>
        <v>0</v>
      </c>
      <c r="AI257" s="252">
        <f>'Résidentiel-tertiaire'!$H$194</f>
        <v>3.9135759071370555</v>
      </c>
      <c r="AJ257" s="252">
        <v>0</v>
      </c>
      <c r="AK257" s="252">
        <v>0</v>
      </c>
      <c r="AL257" s="263">
        <f t="shared" si="68"/>
        <v>4.077557388618537</v>
      </c>
      <c r="AN257" s="268"/>
    </row>
    <row r="258" spans="1:40" ht="14.4" customHeight="1">
      <c r="A258" s="506"/>
      <c r="B258" s="261" t="s">
        <v>4</v>
      </c>
      <c r="C258" s="252">
        <v>0</v>
      </c>
      <c r="D258" s="252">
        <v>0</v>
      </c>
      <c r="E258" s="252">
        <f>Agriculture!$V$27</f>
        <v>0.34264867614753147</v>
      </c>
      <c r="F258" s="252">
        <v>0</v>
      </c>
      <c r="G258" s="252">
        <v>0</v>
      </c>
      <c r="H258" s="252">
        <v>0</v>
      </c>
      <c r="I258" s="252">
        <v>0</v>
      </c>
      <c r="J258" s="252">
        <v>0</v>
      </c>
      <c r="K258" s="252">
        <v>0</v>
      </c>
      <c r="L258" s="252">
        <v>0</v>
      </c>
      <c r="M258" s="252">
        <v>0</v>
      </c>
      <c r="N258" s="252">
        <v>0</v>
      </c>
      <c r="O258" s="252">
        <f>Agriculture!$V$28</f>
        <v>0</v>
      </c>
      <c r="P258" s="252">
        <v>0</v>
      </c>
      <c r="Q258" s="252">
        <v>0</v>
      </c>
      <c r="R258" s="263">
        <f t="shared" si="67"/>
        <v>0.34264867614753147</v>
      </c>
      <c r="U258" s="506"/>
      <c r="V258" s="261" t="s">
        <v>4</v>
      </c>
      <c r="W258" s="252">
        <v>0</v>
      </c>
      <c r="X258" s="252">
        <v>0</v>
      </c>
      <c r="Y258" s="252">
        <f>Agriculture!$AC$43</f>
        <v>5.3584229390680971E-2</v>
      </c>
      <c r="Z258" s="252">
        <v>0</v>
      </c>
      <c r="AA258" s="252">
        <v>0</v>
      </c>
      <c r="AB258" s="252">
        <v>0</v>
      </c>
      <c r="AC258" s="252">
        <v>0</v>
      </c>
      <c r="AD258" s="252">
        <v>0</v>
      </c>
      <c r="AE258" s="252">
        <f>Agriculture!$AC$45</f>
        <v>0.25955129032258056</v>
      </c>
      <c r="AF258" s="252">
        <v>0</v>
      </c>
      <c r="AG258" s="252">
        <v>0</v>
      </c>
      <c r="AH258" s="252">
        <v>0</v>
      </c>
      <c r="AI258" s="252">
        <f>Agriculture!$AC$44</f>
        <v>0</v>
      </c>
      <c r="AJ258" s="252">
        <v>0</v>
      </c>
      <c r="AK258" s="252">
        <v>0</v>
      </c>
      <c r="AL258" s="263">
        <f t="shared" si="68"/>
        <v>0.31313551971326153</v>
      </c>
    </row>
    <row r="259" spans="1:40" ht="14.4" customHeight="1">
      <c r="A259" s="506"/>
      <c r="B259" s="261" t="s">
        <v>397</v>
      </c>
      <c r="C259" s="252">
        <v>0</v>
      </c>
      <c r="D259" s="252">
        <v>0</v>
      </c>
      <c r="E259" s="252">
        <v>0</v>
      </c>
      <c r="F259" s="252">
        <v>0</v>
      </c>
      <c r="G259" s="252">
        <v>0</v>
      </c>
      <c r="H259" s="252">
        <v>0</v>
      </c>
      <c r="I259" s="252">
        <v>0</v>
      </c>
      <c r="J259" s="252">
        <v>0</v>
      </c>
      <c r="K259" s="252">
        <v>0</v>
      </c>
      <c r="L259" s="252">
        <v>0</v>
      </c>
      <c r="M259" s="252">
        <v>0</v>
      </c>
      <c r="N259" s="252">
        <v>0</v>
      </c>
      <c r="O259" s="252">
        <v>0</v>
      </c>
      <c r="P259" s="252">
        <v>0</v>
      </c>
      <c r="Q259" s="252">
        <v>0</v>
      </c>
      <c r="R259" s="263">
        <f t="shared" si="67"/>
        <v>0</v>
      </c>
      <c r="U259" s="506"/>
      <c r="V259" s="261" t="s">
        <v>397</v>
      </c>
      <c r="W259" s="252">
        <v>0</v>
      </c>
      <c r="X259" s="252">
        <v>0</v>
      </c>
      <c r="Y259" s="252">
        <v>0</v>
      </c>
      <c r="Z259" s="252">
        <v>0</v>
      </c>
      <c r="AA259" s="252">
        <v>0</v>
      </c>
      <c r="AB259" s="252">
        <v>0</v>
      </c>
      <c r="AC259" s="252">
        <v>0</v>
      </c>
      <c r="AD259" s="252">
        <v>0</v>
      </c>
      <c r="AE259" s="252">
        <v>0</v>
      </c>
      <c r="AF259" s="252">
        <v>0</v>
      </c>
      <c r="AG259" s="252">
        <v>0</v>
      </c>
      <c r="AH259" s="252">
        <v>0</v>
      </c>
      <c r="AI259" s="252">
        <v>0</v>
      </c>
      <c r="AJ259" s="252">
        <v>0</v>
      </c>
      <c r="AK259" s="252">
        <v>0</v>
      </c>
      <c r="AL259" s="263">
        <f t="shared" si="68"/>
        <v>0</v>
      </c>
    </row>
    <row r="260" spans="1:40" ht="14.4" customHeight="1">
      <c r="A260" s="506"/>
      <c r="B260" s="256" t="s">
        <v>45</v>
      </c>
      <c r="C260" s="257">
        <f>SUM(C254:C259)</f>
        <v>0</v>
      </c>
      <c r="D260" s="257">
        <f t="shared" ref="D260:Q260" si="69">SUM(D254:D259)</f>
        <v>0</v>
      </c>
      <c r="E260" s="257">
        <f t="shared" si="69"/>
        <v>46.860312980820041</v>
      </c>
      <c r="F260" s="257">
        <f t="shared" si="69"/>
        <v>0</v>
      </c>
      <c r="G260" s="257">
        <f t="shared" si="69"/>
        <v>0</v>
      </c>
      <c r="H260" s="257">
        <f t="shared" si="69"/>
        <v>0</v>
      </c>
      <c r="I260" s="257">
        <f t="shared" si="69"/>
        <v>0</v>
      </c>
      <c r="J260" s="257">
        <f t="shared" si="69"/>
        <v>0</v>
      </c>
      <c r="K260" s="257">
        <f t="shared" si="69"/>
        <v>0</v>
      </c>
      <c r="L260" s="257">
        <f t="shared" si="69"/>
        <v>0</v>
      </c>
      <c r="M260" s="257">
        <f t="shared" si="69"/>
        <v>0</v>
      </c>
      <c r="N260" s="257">
        <f t="shared" si="69"/>
        <v>0</v>
      </c>
      <c r="O260" s="257">
        <f t="shared" si="69"/>
        <v>18.658696364772958</v>
      </c>
      <c r="P260" s="257">
        <f t="shared" si="69"/>
        <v>0</v>
      </c>
      <c r="Q260" s="257">
        <f t="shared" si="69"/>
        <v>0</v>
      </c>
      <c r="R260" s="257">
        <f t="shared" si="67"/>
        <v>65.519009345592991</v>
      </c>
      <c r="U260" s="506"/>
      <c r="V260" s="256" t="s">
        <v>45</v>
      </c>
      <c r="W260" s="257">
        <f>SUM(W254:W259)</f>
        <v>0</v>
      </c>
      <c r="X260" s="257">
        <f t="shared" ref="X260:AK260" si="70">SUM(X254:X259)</f>
        <v>0</v>
      </c>
      <c r="Y260" s="257">
        <f t="shared" si="70"/>
        <v>17.989920920167272</v>
      </c>
      <c r="Z260" s="257">
        <f t="shared" si="70"/>
        <v>0</v>
      </c>
      <c r="AA260" s="257">
        <f t="shared" si="70"/>
        <v>0</v>
      </c>
      <c r="AB260" s="257">
        <f t="shared" si="70"/>
        <v>0</v>
      </c>
      <c r="AC260" s="257">
        <f t="shared" si="70"/>
        <v>0</v>
      </c>
      <c r="AD260" s="257">
        <f t="shared" si="70"/>
        <v>0</v>
      </c>
      <c r="AE260" s="257">
        <f t="shared" si="70"/>
        <v>4.1517426548679115</v>
      </c>
      <c r="AF260" s="257">
        <f t="shared" si="70"/>
        <v>0</v>
      </c>
      <c r="AG260" s="257">
        <f t="shared" si="70"/>
        <v>0</v>
      </c>
      <c r="AH260" s="257">
        <f t="shared" si="70"/>
        <v>0.43417484034378462</v>
      </c>
      <c r="AI260" s="257">
        <f t="shared" si="70"/>
        <v>19.947739135097432</v>
      </c>
      <c r="AJ260" s="257">
        <f t="shared" si="70"/>
        <v>0</v>
      </c>
      <c r="AK260" s="257">
        <f t="shared" si="70"/>
        <v>0</v>
      </c>
      <c r="AL260" s="257">
        <f t="shared" si="68"/>
        <v>42.523577550476404</v>
      </c>
    </row>
    <row r="261" spans="1:40" ht="14.4" customHeight="1">
      <c r="A261" s="506"/>
      <c r="B261" s="251" t="s">
        <v>46</v>
      </c>
      <c r="C261" s="252">
        <v>0</v>
      </c>
      <c r="D261" s="252">
        <v>0</v>
      </c>
      <c r="E261" s="252">
        <f>Industrie!$H$37</f>
        <v>0</v>
      </c>
      <c r="F261" s="252">
        <v>0</v>
      </c>
      <c r="G261" s="252">
        <v>0</v>
      </c>
      <c r="H261" s="252">
        <v>0</v>
      </c>
      <c r="I261" s="252">
        <v>0</v>
      </c>
      <c r="J261" s="252">
        <v>0</v>
      </c>
      <c r="K261" s="252">
        <v>0</v>
      </c>
      <c r="L261" s="252">
        <v>0</v>
      </c>
      <c r="M261" s="252">
        <v>0</v>
      </c>
      <c r="N261" s="252">
        <v>0</v>
      </c>
      <c r="O261" s="252">
        <v>0</v>
      </c>
      <c r="P261" s="252">
        <v>0</v>
      </c>
      <c r="Q261" s="252">
        <v>0</v>
      </c>
      <c r="R261" s="263">
        <f t="shared" si="67"/>
        <v>0</v>
      </c>
      <c r="U261" s="506"/>
      <c r="V261" s="251" t="s">
        <v>46</v>
      </c>
      <c r="W261" s="252">
        <v>0</v>
      </c>
      <c r="X261" s="252">
        <v>0</v>
      </c>
      <c r="Y261" s="252">
        <f>Industrie!$H$59</f>
        <v>0</v>
      </c>
      <c r="Z261" s="252">
        <v>0</v>
      </c>
      <c r="AA261" s="252">
        <v>0</v>
      </c>
      <c r="AB261" s="252">
        <v>0</v>
      </c>
      <c r="AC261" s="252">
        <v>0</v>
      </c>
      <c r="AD261" s="252">
        <v>0</v>
      </c>
      <c r="AE261" s="252">
        <v>0</v>
      </c>
      <c r="AF261" s="252">
        <v>0</v>
      </c>
      <c r="AG261" s="252">
        <v>0</v>
      </c>
      <c r="AH261" s="252">
        <v>0</v>
      </c>
      <c r="AI261" s="252">
        <v>0</v>
      </c>
      <c r="AJ261" s="252">
        <v>0</v>
      </c>
      <c r="AK261" s="252">
        <v>0</v>
      </c>
      <c r="AL261" s="263">
        <f t="shared" si="68"/>
        <v>0</v>
      </c>
    </row>
    <row r="262" spans="1:40" ht="14.4" customHeight="1">
      <c r="A262" s="506"/>
      <c r="B262" s="256" t="s">
        <v>47</v>
      </c>
      <c r="C262" s="257">
        <f>C261+C260</f>
        <v>0</v>
      </c>
      <c r="D262" s="257">
        <f t="shared" ref="D262:Q262" si="71">D261+D260</f>
        <v>0</v>
      </c>
      <c r="E262" s="257">
        <f t="shared" si="71"/>
        <v>46.860312980820041</v>
      </c>
      <c r="F262" s="257">
        <f t="shared" si="71"/>
        <v>0</v>
      </c>
      <c r="G262" s="257">
        <f t="shared" si="71"/>
        <v>0</v>
      </c>
      <c r="H262" s="257">
        <f t="shared" si="71"/>
        <v>0</v>
      </c>
      <c r="I262" s="257">
        <f t="shared" si="71"/>
        <v>0</v>
      </c>
      <c r="J262" s="257">
        <f t="shared" si="71"/>
        <v>0</v>
      </c>
      <c r="K262" s="257">
        <f t="shared" si="71"/>
        <v>0</v>
      </c>
      <c r="L262" s="257">
        <f t="shared" si="71"/>
        <v>0</v>
      </c>
      <c r="M262" s="257">
        <f t="shared" si="71"/>
        <v>0</v>
      </c>
      <c r="N262" s="257">
        <f t="shared" si="71"/>
        <v>0</v>
      </c>
      <c r="O262" s="257">
        <f t="shared" si="71"/>
        <v>18.658696364772958</v>
      </c>
      <c r="P262" s="257">
        <f t="shared" si="71"/>
        <v>0</v>
      </c>
      <c r="Q262" s="257">
        <f t="shared" si="71"/>
        <v>0</v>
      </c>
      <c r="R262" s="257">
        <f t="shared" si="67"/>
        <v>65.519009345592991</v>
      </c>
      <c r="U262" s="506"/>
      <c r="V262" s="256" t="s">
        <v>47</v>
      </c>
      <c r="W262" s="257">
        <f>W261+W260</f>
        <v>0</v>
      </c>
      <c r="X262" s="257">
        <f t="shared" ref="X262:AK262" si="72">X261+X260</f>
        <v>0</v>
      </c>
      <c r="Y262" s="257">
        <f t="shared" si="72"/>
        <v>17.989920920167272</v>
      </c>
      <c r="Z262" s="257">
        <f t="shared" si="72"/>
        <v>0</v>
      </c>
      <c r="AA262" s="257">
        <f t="shared" si="72"/>
        <v>0</v>
      </c>
      <c r="AB262" s="257">
        <f t="shared" si="72"/>
        <v>0</v>
      </c>
      <c r="AC262" s="257">
        <f t="shared" si="72"/>
        <v>0</v>
      </c>
      <c r="AD262" s="257">
        <f t="shared" si="72"/>
        <v>0</v>
      </c>
      <c r="AE262" s="257">
        <f t="shared" si="72"/>
        <v>4.1517426548679115</v>
      </c>
      <c r="AF262" s="257">
        <f t="shared" si="72"/>
        <v>0</v>
      </c>
      <c r="AG262" s="257">
        <f t="shared" si="72"/>
        <v>0</v>
      </c>
      <c r="AH262" s="257">
        <f t="shared" si="72"/>
        <v>0.43417484034378462</v>
      </c>
      <c r="AI262" s="257">
        <f t="shared" si="72"/>
        <v>19.947739135097432</v>
      </c>
      <c r="AJ262" s="257">
        <f t="shared" si="72"/>
        <v>0</v>
      </c>
      <c r="AK262" s="257">
        <f t="shared" si="72"/>
        <v>0</v>
      </c>
      <c r="AL262" s="257">
        <f t="shared" si="68"/>
        <v>42.523577550476404</v>
      </c>
    </row>
    <row r="271" spans="1:40" ht="14.4" customHeight="1">
      <c r="A271" s="506">
        <v>2050</v>
      </c>
      <c r="B271" s="510" t="s">
        <v>12</v>
      </c>
      <c r="C271" s="509" t="s">
        <v>14</v>
      </c>
      <c r="D271" s="509" t="s">
        <v>15</v>
      </c>
      <c r="E271" s="509" t="s">
        <v>16</v>
      </c>
      <c r="F271" s="509" t="s">
        <v>17</v>
      </c>
      <c r="G271" s="509" t="s">
        <v>382</v>
      </c>
      <c r="H271" s="509" t="s">
        <v>18</v>
      </c>
      <c r="I271" s="509" t="s">
        <v>19</v>
      </c>
      <c r="J271" s="509"/>
      <c r="K271" s="509"/>
      <c r="L271" s="509"/>
      <c r="M271" s="509"/>
      <c r="N271" s="509"/>
      <c r="O271" s="501" t="s">
        <v>383</v>
      </c>
      <c r="P271" s="501" t="s">
        <v>21</v>
      </c>
      <c r="Q271" s="501" t="s">
        <v>384</v>
      </c>
      <c r="R271" s="501" t="s">
        <v>23</v>
      </c>
      <c r="U271" s="506">
        <v>2050</v>
      </c>
      <c r="V271" s="507" t="s">
        <v>12</v>
      </c>
      <c r="W271" s="501" t="s">
        <v>14</v>
      </c>
      <c r="X271" s="501" t="s">
        <v>15</v>
      </c>
      <c r="Y271" s="501" t="s">
        <v>16</v>
      </c>
      <c r="Z271" s="501" t="s">
        <v>17</v>
      </c>
      <c r="AA271" s="501" t="s">
        <v>382</v>
      </c>
      <c r="AB271" s="501" t="s">
        <v>18</v>
      </c>
      <c r="AC271" s="503" t="s">
        <v>19</v>
      </c>
      <c r="AD271" s="504"/>
      <c r="AE271" s="504"/>
      <c r="AF271" s="504"/>
      <c r="AG271" s="504"/>
      <c r="AH271" s="505"/>
      <c r="AI271" s="501" t="s">
        <v>383</v>
      </c>
      <c r="AJ271" s="501" t="s">
        <v>21</v>
      </c>
      <c r="AK271" s="501" t="s">
        <v>384</v>
      </c>
      <c r="AL271" s="501" t="s">
        <v>23</v>
      </c>
    </row>
    <row r="272" spans="1:40" ht="45.6">
      <c r="A272" s="506"/>
      <c r="B272" s="510"/>
      <c r="C272" s="509"/>
      <c r="D272" s="509"/>
      <c r="E272" s="509"/>
      <c r="F272" s="509"/>
      <c r="G272" s="509"/>
      <c r="H272" s="509"/>
      <c r="I272" s="249" t="s">
        <v>371</v>
      </c>
      <c r="J272" s="249" t="s">
        <v>7</v>
      </c>
      <c r="K272" s="249" t="s">
        <v>372</v>
      </c>
      <c r="L272" s="249" t="s">
        <v>385</v>
      </c>
      <c r="M272" s="250" t="s">
        <v>386</v>
      </c>
      <c r="N272" s="249" t="s">
        <v>387</v>
      </c>
      <c r="O272" s="501"/>
      <c r="P272" s="501"/>
      <c r="Q272" s="501"/>
      <c r="R272" s="501"/>
      <c r="U272" s="506"/>
      <c r="V272" s="508"/>
      <c r="W272" s="502"/>
      <c r="X272" s="502"/>
      <c r="Y272" s="502"/>
      <c r="Z272" s="502"/>
      <c r="AA272" s="502"/>
      <c r="AB272" s="502"/>
      <c r="AC272" s="249" t="s">
        <v>371</v>
      </c>
      <c r="AD272" s="249" t="s">
        <v>7</v>
      </c>
      <c r="AE272" s="249" t="s">
        <v>372</v>
      </c>
      <c r="AF272" s="249" t="s">
        <v>385</v>
      </c>
      <c r="AG272" s="250" t="s">
        <v>386</v>
      </c>
      <c r="AH272" s="249" t="s">
        <v>387</v>
      </c>
      <c r="AI272" s="502"/>
      <c r="AJ272" s="502"/>
      <c r="AK272" s="502"/>
      <c r="AL272" s="501"/>
    </row>
    <row r="273" spans="1:38" ht="14.4" customHeight="1">
      <c r="A273" s="506"/>
      <c r="B273" s="251" t="s">
        <v>24</v>
      </c>
      <c r="C273" s="252">
        <v>0</v>
      </c>
      <c r="D273" s="253">
        <v>0</v>
      </c>
      <c r="E273" s="253">
        <v>0</v>
      </c>
      <c r="F273" s="252">
        <v>0</v>
      </c>
      <c r="G273" s="253">
        <v>0</v>
      </c>
      <c r="H273" s="253">
        <f>H279</f>
        <v>8.2750000000000004</v>
      </c>
      <c r="I273" s="253">
        <f>$I$27</f>
        <v>0</v>
      </c>
      <c r="J273" s="253">
        <f>J279</f>
        <v>0</v>
      </c>
      <c r="K273" s="253">
        <v>0</v>
      </c>
      <c r="L273" s="253">
        <f>L279</f>
        <v>1.3333333333333337</v>
      </c>
      <c r="M273" s="253">
        <v>0</v>
      </c>
      <c r="N273" s="253">
        <f>N279</f>
        <v>0</v>
      </c>
      <c r="O273" s="254">
        <v>0</v>
      </c>
      <c r="P273" s="253">
        <v>0</v>
      </c>
      <c r="Q273" s="253">
        <v>0</v>
      </c>
      <c r="R273" s="255">
        <f>SUM(C273:Q273)</f>
        <v>9.6083333333333343</v>
      </c>
      <c r="U273" s="506"/>
      <c r="V273" s="251" t="s">
        <v>24</v>
      </c>
      <c r="W273" s="252">
        <v>0</v>
      </c>
      <c r="X273" s="253">
        <v>0</v>
      </c>
      <c r="Y273" s="253">
        <v>0</v>
      </c>
      <c r="Z273" s="252">
        <v>0</v>
      </c>
      <c r="AA273" s="253">
        <v>0</v>
      </c>
      <c r="AB273" s="253">
        <f>AB279</f>
        <v>13.296830710792289</v>
      </c>
      <c r="AC273" s="253">
        <f>IF((AC279-$AC$27)&gt;0,$AC$27+(AC279-$AC$27)*0.5,AC279)</f>
        <v>6.0179621751430616</v>
      </c>
      <c r="AD273" s="253">
        <f>AD279</f>
        <v>2.292557019102119</v>
      </c>
      <c r="AE273" s="253">
        <f>IF((AE279-$AE$27)&gt;0,$AE$27+(AE279-AE276-AE277-$AE$27)*0.5,AE279-AE276-AE$72)</f>
        <v>6.4158566832241171</v>
      </c>
      <c r="AF273" s="253">
        <f>AF279</f>
        <v>1.57606904132444</v>
      </c>
      <c r="AG273" s="253">
        <v>0</v>
      </c>
      <c r="AH273" s="253">
        <f>AH279</f>
        <v>0.39234948912784584</v>
      </c>
      <c r="AI273" s="254">
        <v>0</v>
      </c>
      <c r="AJ273" s="253">
        <v>0</v>
      </c>
      <c r="AK273" s="253">
        <v>0</v>
      </c>
      <c r="AL273" s="255">
        <f>SUM(W273:AK273)</f>
        <v>29.991625118713873</v>
      </c>
    </row>
    <row r="274" spans="1:38" ht="14.4" customHeight="1">
      <c r="A274" s="506"/>
      <c r="B274" s="251" t="s">
        <v>28</v>
      </c>
      <c r="C274" s="252">
        <f>C279</f>
        <v>0</v>
      </c>
      <c r="D274" s="253">
        <f>D279</f>
        <v>0</v>
      </c>
      <c r="E274" s="253">
        <f>E279-E277</f>
        <v>63.138934968084293</v>
      </c>
      <c r="F274" s="252">
        <v>0</v>
      </c>
      <c r="G274" s="253">
        <v>0</v>
      </c>
      <c r="H274" s="253">
        <v>0</v>
      </c>
      <c r="I274" s="253">
        <f>I279-$I$27</f>
        <v>10</v>
      </c>
      <c r="J274" s="253">
        <v>0</v>
      </c>
      <c r="K274" s="253">
        <f>K279</f>
        <v>0</v>
      </c>
      <c r="L274" s="253">
        <v>0</v>
      </c>
      <c r="M274" s="253">
        <v>0</v>
      </c>
      <c r="N274" s="253">
        <v>0</v>
      </c>
      <c r="O274" s="254">
        <v>0</v>
      </c>
      <c r="P274" s="253">
        <v>0</v>
      </c>
      <c r="Q274" s="253">
        <v>0</v>
      </c>
      <c r="R274" s="255">
        <f t="shared" ref="R274:R279" si="73">SUM(C274:Q274)</f>
        <v>73.1389349680843</v>
      </c>
      <c r="U274" s="506"/>
      <c r="V274" s="251" t="s">
        <v>28</v>
      </c>
      <c r="W274" s="252">
        <f>W279</f>
        <v>0</v>
      </c>
      <c r="X274" s="253">
        <f>X279</f>
        <v>0</v>
      </c>
      <c r="Y274" s="253">
        <f>Y279-Y276-Y277</f>
        <v>11.455845117339264</v>
      </c>
      <c r="Z274" s="252">
        <v>0</v>
      </c>
      <c r="AA274" s="253">
        <v>0</v>
      </c>
      <c r="AB274" s="253">
        <v>0</v>
      </c>
      <c r="AC274" s="253">
        <f>IF((AC279-$AC$27)&gt;0,(AC279-$AC$27)*0.5,0)</f>
        <v>6.0179621751430616</v>
      </c>
      <c r="AD274" s="253">
        <v>0</v>
      </c>
      <c r="AE274" s="253">
        <f>IF((AE279-AE276-AE277-$AE$27)&gt;0,(AE279-AE276-AE277-$AE$27)*0.5,0)</f>
        <v>6.4158566832241171</v>
      </c>
      <c r="AF274" s="253">
        <v>0</v>
      </c>
      <c r="AG274" s="253">
        <v>0</v>
      </c>
      <c r="AH274" s="253">
        <v>0</v>
      </c>
      <c r="AI274" s="254">
        <v>0</v>
      </c>
      <c r="AJ274" s="253">
        <v>0</v>
      </c>
      <c r="AK274" s="253">
        <v>0</v>
      </c>
      <c r="AL274" s="255">
        <f t="shared" ref="AL274:AL279" si="74">SUM(W274:AK274)</f>
        <v>23.889663975706444</v>
      </c>
    </row>
    <row r="275" spans="1:38" ht="14.4" customHeight="1">
      <c r="A275" s="506"/>
      <c r="B275" s="251" t="s">
        <v>29</v>
      </c>
      <c r="C275" s="252">
        <v>0</v>
      </c>
      <c r="D275" s="253">
        <v>0</v>
      </c>
      <c r="E275" s="253">
        <v>0</v>
      </c>
      <c r="F275" s="252">
        <v>0</v>
      </c>
      <c r="G275" s="253">
        <v>0</v>
      </c>
      <c r="H275" s="253">
        <v>0</v>
      </c>
      <c r="I275" s="253">
        <v>0</v>
      </c>
      <c r="J275" s="253">
        <v>0</v>
      </c>
      <c r="K275" s="253">
        <v>0</v>
      </c>
      <c r="L275" s="253">
        <v>0</v>
      </c>
      <c r="M275" s="253">
        <v>0</v>
      </c>
      <c r="N275" s="253">
        <v>0</v>
      </c>
      <c r="O275" s="254">
        <v>0</v>
      </c>
      <c r="P275" s="253">
        <v>0</v>
      </c>
      <c r="Q275" s="253">
        <v>0</v>
      </c>
      <c r="R275" s="255">
        <f t="shared" si="73"/>
        <v>0</v>
      </c>
      <c r="U275" s="506"/>
      <c r="V275" s="251" t="s">
        <v>29</v>
      </c>
      <c r="W275" s="252">
        <v>0</v>
      </c>
      <c r="X275" s="253">
        <v>0</v>
      </c>
      <c r="Y275" s="253">
        <v>0</v>
      </c>
      <c r="Z275" s="252">
        <v>0</v>
      </c>
      <c r="AA275" s="253">
        <v>0</v>
      </c>
      <c r="AB275" s="253">
        <v>0</v>
      </c>
      <c r="AC275" s="253">
        <v>0</v>
      </c>
      <c r="AD275" s="253">
        <v>0</v>
      </c>
      <c r="AE275" s="253">
        <v>0</v>
      </c>
      <c r="AF275" s="253">
        <v>0</v>
      </c>
      <c r="AG275" s="253">
        <v>0</v>
      </c>
      <c r="AH275" s="253">
        <v>0</v>
      </c>
      <c r="AI275" s="254">
        <v>0</v>
      </c>
      <c r="AJ275" s="253">
        <v>0</v>
      </c>
      <c r="AK275" s="253">
        <v>0</v>
      </c>
      <c r="AL275" s="255">
        <f t="shared" si="74"/>
        <v>0</v>
      </c>
    </row>
    <row r="276" spans="1:38" ht="14.4" customHeight="1">
      <c r="A276" s="506"/>
      <c r="B276" s="251" t="s">
        <v>30</v>
      </c>
      <c r="C276" s="252">
        <v>0</v>
      </c>
      <c r="D276" s="253">
        <v>0</v>
      </c>
      <c r="E276" s="253">
        <v>0</v>
      </c>
      <c r="F276" s="252">
        <v>0</v>
      </c>
      <c r="G276" s="253">
        <v>0</v>
      </c>
      <c r="H276" s="253">
        <v>0</v>
      </c>
      <c r="I276" s="253">
        <v>0</v>
      </c>
      <c r="J276" s="253">
        <v>0</v>
      </c>
      <c r="K276" s="253">
        <v>0</v>
      </c>
      <c r="L276" s="253">
        <v>0</v>
      </c>
      <c r="M276" s="253">
        <v>0</v>
      </c>
      <c r="N276" s="253">
        <v>0</v>
      </c>
      <c r="O276" s="254">
        <v>0</v>
      </c>
      <c r="P276" s="253">
        <v>0</v>
      </c>
      <c r="Q276" s="253">
        <v>0</v>
      </c>
      <c r="R276" s="255">
        <f t="shared" si="73"/>
        <v>0</v>
      </c>
      <c r="U276" s="506"/>
      <c r="V276" s="251" t="s">
        <v>30</v>
      </c>
      <c r="W276" s="252">
        <v>0</v>
      </c>
      <c r="X276" s="253">
        <v>0</v>
      </c>
      <c r="Y276" s="253">
        <f>-Transports!$I$172-Transports!$I$171</f>
        <v>0</v>
      </c>
      <c r="Z276" s="252">
        <v>0</v>
      </c>
      <c r="AA276" s="253">
        <v>0</v>
      </c>
      <c r="AB276" s="253">
        <v>0</v>
      </c>
      <c r="AC276" s="253">
        <v>0</v>
      </c>
      <c r="AD276" s="253">
        <v>0</v>
      </c>
      <c r="AE276" s="253">
        <f>-Transports!$I$170</f>
        <v>0</v>
      </c>
      <c r="AF276" s="253">
        <v>0</v>
      </c>
      <c r="AG276" s="253">
        <v>0</v>
      </c>
      <c r="AH276" s="253">
        <v>0</v>
      </c>
      <c r="AI276" s="254">
        <v>0</v>
      </c>
      <c r="AJ276" s="253">
        <v>0</v>
      </c>
      <c r="AK276" s="253">
        <v>0</v>
      </c>
      <c r="AL276" s="255">
        <f t="shared" si="74"/>
        <v>0</v>
      </c>
    </row>
    <row r="277" spans="1:38" ht="14.4" customHeight="1">
      <c r="A277" s="506"/>
      <c r="B277" s="251" t="s">
        <v>31</v>
      </c>
      <c r="C277" s="252">
        <v>0</v>
      </c>
      <c r="D277" s="253">
        <v>0</v>
      </c>
      <c r="E277" s="253">
        <f>-Transports!$I$202</f>
        <v>-1.7761869265945247</v>
      </c>
      <c r="F277" s="252">
        <v>0</v>
      </c>
      <c r="G277" s="253">
        <v>0</v>
      </c>
      <c r="H277" s="253">
        <v>0</v>
      </c>
      <c r="I277" s="253">
        <v>0</v>
      </c>
      <c r="J277" s="253">
        <v>0</v>
      </c>
      <c r="K277" s="253">
        <v>0</v>
      </c>
      <c r="L277" s="253">
        <v>0</v>
      </c>
      <c r="M277" s="253">
        <v>0</v>
      </c>
      <c r="N277" s="253">
        <v>0</v>
      </c>
      <c r="O277" s="254">
        <v>0</v>
      </c>
      <c r="P277" s="253">
        <v>0</v>
      </c>
      <c r="Q277" s="253">
        <v>0</v>
      </c>
      <c r="R277" s="255">
        <f t="shared" si="73"/>
        <v>-1.7761869265945247</v>
      </c>
      <c r="U277" s="506"/>
      <c r="V277" s="251" t="s">
        <v>31</v>
      </c>
      <c r="W277" s="252">
        <v>0</v>
      </c>
      <c r="X277" s="253">
        <v>0</v>
      </c>
      <c r="Y277" s="253">
        <f>-Transports!$I$234</f>
        <v>-0.49136260294464251</v>
      </c>
      <c r="Z277" s="252">
        <v>0</v>
      </c>
      <c r="AA277" s="253">
        <v>0</v>
      </c>
      <c r="AB277" s="253">
        <v>0</v>
      </c>
      <c r="AC277" s="253">
        <v>0</v>
      </c>
      <c r="AD277" s="253">
        <v>0</v>
      </c>
      <c r="AE277" s="253">
        <f>-Transports!$D$233-Transports!$I$232</f>
        <v>-0.5299613141390398</v>
      </c>
      <c r="AF277" s="253">
        <v>0</v>
      </c>
      <c r="AG277" s="253">
        <v>0</v>
      </c>
      <c r="AH277" s="253">
        <v>0</v>
      </c>
      <c r="AI277" s="254">
        <v>0</v>
      </c>
      <c r="AJ277" s="253">
        <v>0</v>
      </c>
      <c r="AK277" s="253">
        <v>0</v>
      </c>
      <c r="AL277" s="255">
        <f t="shared" si="74"/>
        <v>-1.0213239170836823</v>
      </c>
    </row>
    <row r="278" spans="1:38" ht="14.4" customHeight="1">
      <c r="A278" s="506"/>
      <c r="B278" s="251" t="s">
        <v>32</v>
      </c>
      <c r="C278" s="252">
        <v>0</v>
      </c>
      <c r="D278" s="253">
        <v>0</v>
      </c>
      <c r="E278" s="253">
        <v>0</v>
      </c>
      <c r="F278" s="252">
        <v>0</v>
      </c>
      <c r="G278" s="253">
        <v>0</v>
      </c>
      <c r="H278" s="253">
        <v>0</v>
      </c>
      <c r="I278" s="253">
        <v>0</v>
      </c>
      <c r="J278" s="253">
        <v>0</v>
      </c>
      <c r="K278" s="253">
        <v>0</v>
      </c>
      <c r="L278" s="253">
        <v>0</v>
      </c>
      <c r="M278" s="253">
        <v>0</v>
      </c>
      <c r="N278" s="253">
        <v>0</v>
      </c>
      <c r="O278" s="254">
        <v>0</v>
      </c>
      <c r="P278" s="253">
        <v>0</v>
      </c>
      <c r="Q278" s="253">
        <v>0</v>
      </c>
      <c r="R278" s="255">
        <f t="shared" si="73"/>
        <v>0</v>
      </c>
      <c r="U278" s="506"/>
      <c r="V278" s="251" t="s">
        <v>32</v>
      </c>
      <c r="W278" s="252">
        <v>0</v>
      </c>
      <c r="X278" s="253">
        <v>0</v>
      </c>
      <c r="Y278" s="253">
        <v>0</v>
      </c>
      <c r="Z278" s="252">
        <v>0</v>
      </c>
      <c r="AA278" s="253">
        <v>0</v>
      </c>
      <c r="AB278" s="253">
        <v>0</v>
      </c>
      <c r="AC278" s="253">
        <v>0</v>
      </c>
      <c r="AD278" s="253">
        <v>0</v>
      </c>
      <c r="AE278" s="253">
        <v>0</v>
      </c>
      <c r="AF278" s="253">
        <v>0</v>
      </c>
      <c r="AG278" s="253">
        <v>0</v>
      </c>
      <c r="AH278" s="253">
        <v>0</v>
      </c>
      <c r="AI278" s="254">
        <v>0</v>
      </c>
      <c r="AJ278" s="253">
        <v>0</v>
      </c>
      <c r="AK278" s="253">
        <v>0</v>
      </c>
      <c r="AL278" s="255">
        <f t="shared" si="74"/>
        <v>0</v>
      </c>
    </row>
    <row r="279" spans="1:38" ht="14.4" customHeight="1">
      <c r="A279" s="506"/>
      <c r="B279" s="256" t="s">
        <v>388</v>
      </c>
      <c r="C279" s="257">
        <f>C303+C301</f>
        <v>0</v>
      </c>
      <c r="D279" s="257">
        <f>D293+D303</f>
        <v>0</v>
      </c>
      <c r="E279" s="257">
        <f>E293+E303</f>
        <v>61.362748041489766</v>
      </c>
      <c r="F279" s="257">
        <f>SUM(F273:F278)</f>
        <v>0</v>
      </c>
      <c r="G279" s="257">
        <f>SUM(G273:G278)</f>
        <v>0</v>
      </c>
      <c r="H279" s="257">
        <f>H293</f>
        <v>8.2750000000000004</v>
      </c>
      <c r="I279" s="257">
        <f>I293+I301</f>
        <v>10</v>
      </c>
      <c r="J279" s="257">
        <f>J293+J303</f>
        <v>0</v>
      </c>
      <c r="K279" s="257">
        <f>K293+K303</f>
        <v>0</v>
      </c>
      <c r="L279" s="257">
        <f>L293+L303</f>
        <v>1.3333333333333337</v>
      </c>
      <c r="M279" s="257">
        <f>SUM(M273:M278)</f>
        <v>0</v>
      </c>
      <c r="N279" s="257">
        <f>N293+N303</f>
        <v>0</v>
      </c>
      <c r="O279" s="257">
        <f>SUM(O273:O278)</f>
        <v>0</v>
      </c>
      <c r="P279" s="257">
        <f>SUM(P273:P278)</f>
        <v>0</v>
      </c>
      <c r="Q279" s="257">
        <f>SUM(Q273:Q278)</f>
        <v>0</v>
      </c>
      <c r="R279" s="257">
        <f t="shared" si="73"/>
        <v>80.9710813748231</v>
      </c>
      <c r="U279" s="506"/>
      <c r="V279" s="256" t="s">
        <v>388</v>
      </c>
      <c r="W279" s="257">
        <f>W303+W301</f>
        <v>0</v>
      </c>
      <c r="X279" s="257">
        <f>X293+X303</f>
        <v>0</v>
      </c>
      <c r="Y279" s="257">
        <f>Y293+Y303</f>
        <v>10.964482514394621</v>
      </c>
      <c r="Z279" s="257">
        <f>SUM(Z273:Z278)</f>
        <v>0</v>
      </c>
      <c r="AA279" s="257">
        <f>SUM(AA273:AA278)</f>
        <v>0</v>
      </c>
      <c r="AB279" s="257">
        <f>AB293</f>
        <v>13.296830710792289</v>
      </c>
      <c r="AC279" s="257">
        <f>AC293+AC301</f>
        <v>12.035924350286123</v>
      </c>
      <c r="AD279" s="257">
        <f>AD293+AD303</f>
        <v>2.292557019102119</v>
      </c>
      <c r="AE279" s="257">
        <f>AE293+AE303</f>
        <v>12.301752052309194</v>
      </c>
      <c r="AF279" s="257">
        <f>AF293+AF303</f>
        <v>1.57606904132444</v>
      </c>
      <c r="AG279" s="257">
        <f>SUM(AG273:AG278)</f>
        <v>0</v>
      </c>
      <c r="AH279" s="257">
        <f>AH293+AH303</f>
        <v>0.39234948912784584</v>
      </c>
      <c r="AI279" s="257">
        <f>SUM(AI273:AI278)</f>
        <v>0</v>
      </c>
      <c r="AJ279" s="257">
        <f>SUM(AJ273:AJ278)</f>
        <v>0</v>
      </c>
      <c r="AK279" s="257">
        <f>SUM(AK273:AK278)</f>
        <v>0</v>
      </c>
      <c r="AL279" s="257">
        <f t="shared" si="74"/>
        <v>52.859965177336633</v>
      </c>
    </row>
    <row r="280" spans="1:38" ht="14.4" customHeight="1">
      <c r="A280" s="506"/>
      <c r="B280" s="258"/>
      <c r="C280" s="259"/>
      <c r="D280" s="227"/>
      <c r="E280" s="260"/>
      <c r="F280" s="259"/>
      <c r="G280" s="259"/>
      <c r="H280" s="259"/>
      <c r="I280" s="259"/>
      <c r="J280" s="259"/>
      <c r="K280" s="259"/>
      <c r="L280" s="259"/>
      <c r="M280" s="259"/>
      <c r="N280" s="259"/>
      <c r="O280" s="268"/>
      <c r="P280" s="259"/>
      <c r="Q280" s="259"/>
      <c r="R280" s="259"/>
      <c r="U280" s="506"/>
      <c r="V280" s="258"/>
      <c r="W280" s="259"/>
      <c r="X280" s="227"/>
      <c r="Y280" s="260"/>
      <c r="Z280" s="259"/>
      <c r="AA280" s="259"/>
      <c r="AB280" s="259"/>
      <c r="AC280" s="259"/>
      <c r="AD280" s="259"/>
      <c r="AE280" s="259"/>
      <c r="AF280" s="259"/>
      <c r="AG280" s="259"/>
      <c r="AH280" s="259"/>
      <c r="AI280" s="268"/>
      <c r="AJ280" s="259"/>
      <c r="AK280" s="259"/>
      <c r="AL280" s="259"/>
    </row>
    <row r="281" spans="1:38" ht="14.4" customHeight="1">
      <c r="A281" s="506"/>
      <c r="B281" s="261" t="s">
        <v>389</v>
      </c>
      <c r="C281" s="252">
        <v>0</v>
      </c>
      <c r="D281" s="262">
        <v>0</v>
      </c>
      <c r="E281" s="262">
        <v>0</v>
      </c>
      <c r="F281" s="252">
        <v>0</v>
      </c>
      <c r="G281" s="252">
        <v>0</v>
      </c>
      <c r="H281" s="252">
        <v>0</v>
      </c>
      <c r="I281" s="252">
        <v>0</v>
      </c>
      <c r="J281" s="252">
        <v>0</v>
      </c>
      <c r="K281" s="252">
        <v>0</v>
      </c>
      <c r="L281" s="252">
        <v>0</v>
      </c>
      <c r="M281" s="252">
        <v>0</v>
      </c>
      <c r="N281" s="252">
        <v>0</v>
      </c>
      <c r="O281" s="252">
        <v>0</v>
      </c>
      <c r="P281" s="252">
        <v>0</v>
      </c>
      <c r="Q281" s="252">
        <v>0</v>
      </c>
      <c r="R281" s="263">
        <f>SUM(C281:Q281)</f>
        <v>0</v>
      </c>
      <c r="U281" s="506"/>
      <c r="V281" s="261" t="s">
        <v>389</v>
      </c>
      <c r="W281" s="252">
        <v>0</v>
      </c>
      <c r="X281" s="262">
        <v>0</v>
      </c>
      <c r="Y281" s="262">
        <v>0</v>
      </c>
      <c r="Z281" s="252">
        <v>0</v>
      </c>
      <c r="AA281" s="252">
        <v>0</v>
      </c>
      <c r="AB281" s="252">
        <v>0</v>
      </c>
      <c r="AC281" s="252">
        <v>0</v>
      </c>
      <c r="AD281" s="252">
        <v>0</v>
      </c>
      <c r="AE281" s="252">
        <v>0</v>
      </c>
      <c r="AF281" s="252">
        <v>0</v>
      </c>
      <c r="AG281" s="252">
        <v>0</v>
      </c>
      <c r="AH281" s="252">
        <v>0</v>
      </c>
      <c r="AI281" s="252">
        <v>0</v>
      </c>
      <c r="AJ281" s="252">
        <v>0</v>
      </c>
      <c r="AK281" s="252">
        <v>0</v>
      </c>
      <c r="AL281" s="263">
        <f>SUM(W281:AK281)</f>
        <v>0</v>
      </c>
    </row>
    <row r="282" spans="1:38" ht="14.4" customHeight="1">
      <c r="A282" s="506"/>
      <c r="B282" s="261" t="s">
        <v>390</v>
      </c>
      <c r="C282" s="252">
        <f>$O$282*'Prod Energie'!$I$32/(-$J$13)</f>
        <v>0</v>
      </c>
      <c r="D282" s="252">
        <v>0</v>
      </c>
      <c r="E282" s="252">
        <f>O282*'Prod Energie'!$I$33/(-$K$13)</f>
        <v>14.36301321499222</v>
      </c>
      <c r="F282" s="252">
        <v>0</v>
      </c>
      <c r="G282" s="252">
        <v>0</v>
      </c>
      <c r="H282" s="252">
        <f>(O282)*('Prod Energie'!$I$34+'Prod Energie'!$I$39+'Prod Energie'!$I$40)/(-$L$13)</f>
        <v>8.2750000000000004</v>
      </c>
      <c r="I282" s="264">
        <f>(O282)*('Prod Energie'!$I$38)/(-$M$13)</f>
        <v>10</v>
      </c>
      <c r="J282" s="264">
        <f>(O282)*('Prod Energie'!$I$36)/(-$N$13)</f>
        <v>0</v>
      </c>
      <c r="K282" s="264">
        <f>(O282)*('Prod Energie'!$I$37)/(-$O$13)</f>
        <v>0</v>
      </c>
      <c r="L282" s="264">
        <f>(O282)*('Prod Energie'!$I$41)/(-P13)</f>
        <v>1.3333333333333337</v>
      </c>
      <c r="M282" s="264">
        <v>0</v>
      </c>
      <c r="N282" s="264">
        <f>(O282)*'Prod Energie'!I35/(-$Q$13)</f>
        <v>0</v>
      </c>
      <c r="O282" s="252">
        <f>O293/(1+$F$17+$F$18)</f>
        <v>-19.394725814596576</v>
      </c>
      <c r="P282" s="252">
        <v>0</v>
      </c>
      <c r="Q282" s="252">
        <v>0</v>
      </c>
      <c r="R282" s="263">
        <f t="shared" ref="R282:R293" si="75">SUM(C282:Q282)</f>
        <v>14.57662073372898</v>
      </c>
      <c r="U282" s="506"/>
      <c r="V282" s="261" t="s">
        <v>390</v>
      </c>
      <c r="W282" s="252">
        <f>AI282*'Prod Energie'!$I$53/(-$J$13)</f>
        <v>0</v>
      </c>
      <c r="X282" s="252">
        <v>0</v>
      </c>
      <c r="Y282" s="252">
        <f>AI282*'Prod Energie'!$I$54/(-$K$13)</f>
        <v>0</v>
      </c>
      <c r="Z282" s="252">
        <v>0</v>
      </c>
      <c r="AA282" s="252">
        <v>0</v>
      </c>
      <c r="AB282" s="252">
        <f>(AI282)*('Prod Energie'!$I$55+'Prod Energie'!$I$60+'Prod Energie'!$I$61)/(-$L$13)</f>
        <v>13.296830710792289</v>
      </c>
      <c r="AC282" s="264">
        <f>(AI282)*'Prod Energie'!$I$59/(-$M$13)</f>
        <v>12.035924350286123</v>
      </c>
      <c r="AD282" s="264">
        <f>(AI282)*('Prod Energie'!$I$57)/(-$N$13)</f>
        <v>2.292557019102119</v>
      </c>
      <c r="AE282" s="264">
        <f>(AI282)*('Prod Energie'!$I$58)/(-$O$13)</f>
        <v>7.3792637691973448</v>
      </c>
      <c r="AF282" s="264">
        <f>(AI282)*('Prod Energie'!$I$62)/(-$P$13)</f>
        <v>1.57606904132444</v>
      </c>
      <c r="AG282" s="264">
        <v>0</v>
      </c>
      <c r="AH282" s="264">
        <f>(AI282)*'Prod Energie'!$I$56/(-$Q$13)</f>
        <v>0</v>
      </c>
      <c r="AI282" s="252">
        <f>AI293/(1+$F$17+$F$18)</f>
        <v>-22.92557019102119</v>
      </c>
      <c r="AJ282" s="252">
        <v>0</v>
      </c>
      <c r="AK282" s="252">
        <v>0</v>
      </c>
      <c r="AL282" s="263">
        <f t="shared" ref="AL282:AL293" si="76">SUM(W282:AK282)</f>
        <v>13.655074699681126</v>
      </c>
    </row>
    <row r="283" spans="1:38" ht="14.4" customHeight="1">
      <c r="A283" s="506"/>
      <c r="B283" s="261" t="s">
        <v>391</v>
      </c>
      <c r="C283" s="252">
        <v>0</v>
      </c>
      <c r="D283" s="252">
        <v>0</v>
      </c>
      <c r="E283" s="252">
        <v>0</v>
      </c>
      <c r="F283" s="252">
        <v>0</v>
      </c>
      <c r="G283" s="252">
        <v>0</v>
      </c>
      <c r="H283" s="252">
        <v>0</v>
      </c>
      <c r="I283" s="264">
        <f t="shared" ref="I283:N283" si="77">$P$283*$L$18*V$17</f>
        <v>0</v>
      </c>
      <c r="J283" s="264">
        <f t="shared" si="77"/>
        <v>0</v>
      </c>
      <c r="K283" s="264">
        <f t="shared" si="77"/>
        <v>0</v>
      </c>
      <c r="L283" s="264">
        <f t="shared" si="77"/>
        <v>0</v>
      </c>
      <c r="M283" s="264">
        <f t="shared" si="77"/>
        <v>0</v>
      </c>
      <c r="N283" s="264">
        <f t="shared" si="77"/>
        <v>0</v>
      </c>
      <c r="O283" s="252">
        <v>0</v>
      </c>
      <c r="P283" s="252">
        <f>P293/(1+$R$18)</f>
        <v>0</v>
      </c>
      <c r="Q283" s="252">
        <v>0</v>
      </c>
      <c r="R283" s="263">
        <f t="shared" si="75"/>
        <v>0</v>
      </c>
      <c r="U283" s="506"/>
      <c r="V283" s="261" t="s">
        <v>391</v>
      </c>
      <c r="W283" s="252">
        <v>0</v>
      </c>
      <c r="X283" s="252">
        <v>0</v>
      </c>
      <c r="Y283" s="252">
        <v>0</v>
      </c>
      <c r="Z283" s="252">
        <v>0</v>
      </c>
      <c r="AA283" s="252">
        <v>0</v>
      </c>
      <c r="AB283" s="252">
        <v>0</v>
      </c>
      <c r="AC283" s="264">
        <f t="shared" ref="AC283:AH283" si="78">$AJ$283*$L$18*V$17</f>
        <v>0</v>
      </c>
      <c r="AD283" s="264">
        <f t="shared" si="78"/>
        <v>0</v>
      </c>
      <c r="AE283" s="264">
        <f t="shared" si="78"/>
        <v>0</v>
      </c>
      <c r="AF283" s="264">
        <f t="shared" si="78"/>
        <v>0</v>
      </c>
      <c r="AG283" s="264">
        <f t="shared" si="78"/>
        <v>0</v>
      </c>
      <c r="AH283" s="264">
        <f t="shared" si="78"/>
        <v>0</v>
      </c>
      <c r="AI283" s="252">
        <v>0</v>
      </c>
      <c r="AJ283" s="252">
        <f>AJ293/(1+$R$18)</f>
        <v>0</v>
      </c>
      <c r="AK283" s="252">
        <v>0</v>
      </c>
      <c r="AL283" s="263">
        <f t="shared" si="76"/>
        <v>0</v>
      </c>
    </row>
    <row r="284" spans="1:38" ht="14.4" customHeight="1">
      <c r="A284" s="506"/>
      <c r="B284" s="261" t="s">
        <v>392</v>
      </c>
      <c r="C284" s="252">
        <v>0</v>
      </c>
      <c r="D284" s="252">
        <v>0</v>
      </c>
      <c r="E284" s="252">
        <v>0</v>
      </c>
      <c r="F284" s="252">
        <v>0</v>
      </c>
      <c r="G284" s="252">
        <v>0</v>
      </c>
      <c r="H284" s="252">
        <v>0</v>
      </c>
      <c r="I284" s="265">
        <v>0</v>
      </c>
      <c r="J284" s="265">
        <v>0</v>
      </c>
      <c r="K284" s="265">
        <v>0</v>
      </c>
      <c r="L284" s="265">
        <v>0</v>
      </c>
      <c r="M284" s="265">
        <v>0</v>
      </c>
      <c r="N284" s="265">
        <v>0</v>
      </c>
      <c r="O284" s="252">
        <v>0</v>
      </c>
      <c r="P284" s="252">
        <v>0</v>
      </c>
      <c r="Q284" s="252">
        <v>0</v>
      </c>
      <c r="R284" s="263">
        <f t="shared" si="75"/>
        <v>0</v>
      </c>
      <c r="U284" s="506"/>
      <c r="V284" s="261" t="s">
        <v>392</v>
      </c>
      <c r="W284" s="252">
        <v>0</v>
      </c>
      <c r="X284" s="252">
        <v>0</v>
      </c>
      <c r="Y284" s="252">
        <v>0</v>
      </c>
      <c r="Z284" s="252">
        <v>0</v>
      </c>
      <c r="AA284" s="252">
        <v>0</v>
      </c>
      <c r="AB284" s="252">
        <v>0</v>
      </c>
      <c r="AC284" s="265">
        <v>0</v>
      </c>
      <c r="AD284" s="265">
        <v>0</v>
      </c>
      <c r="AE284" s="265">
        <v>0</v>
      </c>
      <c r="AF284" s="265">
        <v>0</v>
      </c>
      <c r="AG284" s="265">
        <v>0</v>
      </c>
      <c r="AH284" s="265">
        <v>0</v>
      </c>
      <c r="AI284" s="252">
        <v>0</v>
      </c>
      <c r="AJ284" s="252">
        <v>0</v>
      </c>
      <c r="AK284" s="252">
        <v>0</v>
      </c>
      <c r="AL284" s="263">
        <f t="shared" si="76"/>
        <v>0</v>
      </c>
    </row>
    <row r="285" spans="1:38" ht="14.4" customHeight="1">
      <c r="A285" s="506"/>
      <c r="B285" s="261" t="s">
        <v>393</v>
      </c>
      <c r="C285" s="252">
        <v>0</v>
      </c>
      <c r="D285" s="252">
        <v>0</v>
      </c>
      <c r="E285" s="252">
        <v>0</v>
      </c>
      <c r="F285" s="252">
        <v>0</v>
      </c>
      <c r="G285" s="252">
        <v>0</v>
      </c>
      <c r="H285" s="252">
        <v>0</v>
      </c>
      <c r="I285" s="252">
        <v>0</v>
      </c>
      <c r="J285" s="252">
        <v>0</v>
      </c>
      <c r="K285" s="252">
        <v>0</v>
      </c>
      <c r="L285" s="252">
        <v>0</v>
      </c>
      <c r="M285" s="252">
        <v>0</v>
      </c>
      <c r="N285" s="252">
        <v>0</v>
      </c>
      <c r="O285" s="252">
        <v>0</v>
      </c>
      <c r="P285" s="252">
        <v>0</v>
      </c>
      <c r="Q285" s="252">
        <v>0</v>
      </c>
      <c r="R285" s="263">
        <f t="shared" si="75"/>
        <v>0</v>
      </c>
      <c r="U285" s="506"/>
      <c r="V285" s="261" t="s">
        <v>393</v>
      </c>
      <c r="W285" s="252">
        <v>0</v>
      </c>
      <c r="X285" s="252">
        <v>0</v>
      </c>
      <c r="Y285" s="252">
        <v>0</v>
      </c>
      <c r="Z285" s="252">
        <v>0</v>
      </c>
      <c r="AA285" s="252">
        <v>0</v>
      </c>
      <c r="AB285" s="252">
        <v>0</v>
      </c>
      <c r="AC285" s="252">
        <v>0</v>
      </c>
      <c r="AD285" s="252">
        <v>0</v>
      </c>
      <c r="AE285" s="252">
        <v>0</v>
      </c>
      <c r="AF285" s="252">
        <v>0</v>
      </c>
      <c r="AG285" s="252">
        <v>0</v>
      </c>
      <c r="AH285" s="252">
        <v>0</v>
      </c>
      <c r="AI285" s="252">
        <v>0</v>
      </c>
      <c r="AJ285" s="252">
        <v>0</v>
      </c>
      <c r="AK285" s="252">
        <v>0</v>
      </c>
      <c r="AL285" s="263">
        <f t="shared" si="76"/>
        <v>0</v>
      </c>
    </row>
    <row r="286" spans="1:38" ht="14.4" customHeight="1">
      <c r="A286" s="506"/>
      <c r="B286" s="261" t="s">
        <v>36</v>
      </c>
      <c r="C286" s="252">
        <v>0</v>
      </c>
      <c r="D286" s="252">
        <v>0</v>
      </c>
      <c r="E286" s="252">
        <v>0</v>
      </c>
      <c r="F286" s="252">
        <v>0</v>
      </c>
      <c r="G286" s="252">
        <v>0</v>
      </c>
      <c r="H286" s="252">
        <v>0</v>
      </c>
      <c r="I286" s="252">
        <v>0</v>
      </c>
      <c r="J286" s="252">
        <v>0</v>
      </c>
      <c r="K286" s="252">
        <v>0</v>
      </c>
      <c r="L286" s="252">
        <v>0</v>
      </c>
      <c r="M286" s="252">
        <v>0</v>
      </c>
      <c r="N286" s="252">
        <v>0</v>
      </c>
      <c r="O286" s="252">
        <v>0</v>
      </c>
      <c r="P286" s="252">
        <v>0</v>
      </c>
      <c r="Q286" s="252">
        <v>0</v>
      </c>
      <c r="R286" s="263">
        <f t="shared" si="75"/>
        <v>0</v>
      </c>
      <c r="U286" s="506"/>
      <c r="V286" s="261" t="s">
        <v>36</v>
      </c>
      <c r="W286" s="252">
        <v>0</v>
      </c>
      <c r="X286" s="252">
        <v>0</v>
      </c>
      <c r="Y286" s="252">
        <v>0</v>
      </c>
      <c r="Z286" s="252">
        <v>0</v>
      </c>
      <c r="AA286" s="252">
        <v>0</v>
      </c>
      <c r="AB286" s="252">
        <v>0</v>
      </c>
      <c r="AC286" s="252">
        <v>0</v>
      </c>
      <c r="AD286" s="252">
        <v>0</v>
      </c>
      <c r="AE286" s="252">
        <v>0</v>
      </c>
      <c r="AF286" s="252">
        <v>0</v>
      </c>
      <c r="AG286" s="252">
        <v>0</v>
      </c>
      <c r="AH286" s="252">
        <v>0</v>
      </c>
      <c r="AI286" s="252">
        <v>0</v>
      </c>
      <c r="AJ286" s="252">
        <v>0</v>
      </c>
      <c r="AK286" s="252">
        <v>0</v>
      </c>
      <c r="AL286" s="263">
        <f t="shared" si="76"/>
        <v>0</v>
      </c>
    </row>
    <row r="287" spans="1:38" ht="14.4" customHeight="1">
      <c r="A287" s="506"/>
      <c r="B287" s="261" t="s">
        <v>394</v>
      </c>
      <c r="C287" s="252">
        <v>0</v>
      </c>
      <c r="D287" s="252">
        <v>0</v>
      </c>
      <c r="E287" s="252">
        <v>0</v>
      </c>
      <c r="F287" s="252">
        <v>0</v>
      </c>
      <c r="G287" s="252">
        <v>0</v>
      </c>
      <c r="H287" s="252">
        <v>0</v>
      </c>
      <c r="I287" s="252">
        <v>0</v>
      </c>
      <c r="J287" s="252">
        <v>0</v>
      </c>
      <c r="K287" s="252">
        <v>0</v>
      </c>
      <c r="L287" s="252">
        <v>0</v>
      </c>
      <c r="M287" s="252">
        <v>0</v>
      </c>
      <c r="N287" s="252">
        <v>0</v>
      </c>
      <c r="O287" s="252">
        <v>0</v>
      </c>
      <c r="P287" s="252">
        <v>0</v>
      </c>
      <c r="Q287" s="252">
        <v>0</v>
      </c>
      <c r="R287" s="263">
        <f t="shared" si="75"/>
        <v>0</v>
      </c>
      <c r="U287" s="506"/>
      <c r="V287" s="261" t="s">
        <v>394</v>
      </c>
      <c r="W287" s="252">
        <v>0</v>
      </c>
      <c r="X287" s="252">
        <v>0</v>
      </c>
      <c r="Y287" s="252">
        <v>0</v>
      </c>
      <c r="Z287" s="252">
        <v>0</v>
      </c>
      <c r="AA287" s="252">
        <v>0</v>
      </c>
      <c r="AB287" s="252">
        <v>0</v>
      </c>
      <c r="AC287" s="252">
        <v>0</v>
      </c>
      <c r="AD287" s="252">
        <v>0</v>
      </c>
      <c r="AE287" s="252">
        <v>0</v>
      </c>
      <c r="AF287" s="252">
        <v>0</v>
      </c>
      <c r="AG287" s="252">
        <v>0</v>
      </c>
      <c r="AH287" s="252">
        <v>0</v>
      </c>
      <c r="AI287" s="252">
        <v>0</v>
      </c>
      <c r="AJ287" s="252">
        <v>0</v>
      </c>
      <c r="AK287" s="252">
        <v>0</v>
      </c>
      <c r="AL287" s="263">
        <f t="shared" si="76"/>
        <v>0</v>
      </c>
    </row>
    <row r="288" spans="1:38" ht="14.4" customHeight="1">
      <c r="A288" s="506"/>
      <c r="B288" s="261" t="s">
        <v>395</v>
      </c>
      <c r="C288" s="252">
        <v>0</v>
      </c>
      <c r="D288" s="252">
        <v>0</v>
      </c>
      <c r="E288" s="252">
        <v>0</v>
      </c>
      <c r="F288" s="252">
        <v>0</v>
      </c>
      <c r="G288" s="252">
        <v>0</v>
      </c>
      <c r="H288" s="252">
        <v>0</v>
      </c>
      <c r="I288" s="252">
        <v>0</v>
      </c>
      <c r="J288" s="252">
        <v>0</v>
      </c>
      <c r="K288" s="252">
        <v>0</v>
      </c>
      <c r="L288" s="252">
        <v>0</v>
      </c>
      <c r="M288" s="252">
        <v>0</v>
      </c>
      <c r="N288" s="252">
        <v>0</v>
      </c>
      <c r="O288" s="252">
        <v>0</v>
      </c>
      <c r="P288" s="252">
        <v>0</v>
      </c>
      <c r="Q288" s="252">
        <v>0</v>
      </c>
      <c r="R288" s="263">
        <f t="shared" si="75"/>
        <v>0</v>
      </c>
      <c r="U288" s="506"/>
      <c r="V288" s="261" t="s">
        <v>395</v>
      </c>
      <c r="W288" s="252">
        <v>0</v>
      </c>
      <c r="X288" s="252">
        <v>0</v>
      </c>
      <c r="Y288" s="252">
        <v>0</v>
      </c>
      <c r="Z288" s="252">
        <v>0</v>
      </c>
      <c r="AA288" s="252">
        <v>0</v>
      </c>
      <c r="AB288" s="252">
        <v>0</v>
      </c>
      <c r="AC288" s="252">
        <v>0</v>
      </c>
      <c r="AD288" s="252">
        <v>0</v>
      </c>
      <c r="AE288" s="252">
        <v>0</v>
      </c>
      <c r="AF288" s="252">
        <v>0</v>
      </c>
      <c r="AG288" s="252">
        <v>0</v>
      </c>
      <c r="AH288" s="252">
        <v>0</v>
      </c>
      <c r="AI288" s="252">
        <v>0</v>
      </c>
      <c r="AJ288" s="252">
        <v>0</v>
      </c>
      <c r="AK288" s="252">
        <v>0</v>
      </c>
      <c r="AL288" s="263">
        <f t="shared" si="76"/>
        <v>0</v>
      </c>
    </row>
    <row r="289" spans="1:38" ht="14.4" customHeight="1">
      <c r="A289" s="506"/>
      <c r="B289" s="261" t="s">
        <v>396</v>
      </c>
      <c r="C289" s="252">
        <v>0</v>
      </c>
      <c r="D289" s="252">
        <v>0</v>
      </c>
      <c r="E289" s="252">
        <v>0</v>
      </c>
      <c r="F289" s="252">
        <v>0</v>
      </c>
      <c r="G289" s="252">
        <v>0</v>
      </c>
      <c r="H289" s="252">
        <v>0</v>
      </c>
      <c r="I289" s="252">
        <v>0</v>
      </c>
      <c r="J289" s="252">
        <v>0</v>
      </c>
      <c r="K289" s="252">
        <v>0</v>
      </c>
      <c r="L289" s="252">
        <v>0</v>
      </c>
      <c r="M289" s="252">
        <v>0</v>
      </c>
      <c r="N289" s="252">
        <v>0</v>
      </c>
      <c r="O289" s="252">
        <v>0</v>
      </c>
      <c r="P289" s="252">
        <v>0</v>
      </c>
      <c r="Q289" s="252">
        <v>0</v>
      </c>
      <c r="R289" s="263">
        <f t="shared" si="75"/>
        <v>0</v>
      </c>
      <c r="U289" s="506"/>
      <c r="V289" s="261" t="s">
        <v>396</v>
      </c>
      <c r="W289" s="252">
        <v>0</v>
      </c>
      <c r="X289" s="252">
        <v>0</v>
      </c>
      <c r="Y289" s="252">
        <v>0</v>
      </c>
      <c r="Z289" s="252">
        <v>0</v>
      </c>
      <c r="AA289" s="252">
        <v>0</v>
      </c>
      <c r="AB289" s="252">
        <v>0</v>
      </c>
      <c r="AC289" s="252">
        <v>0</v>
      </c>
      <c r="AD289" s="252">
        <v>0</v>
      </c>
      <c r="AE289" s="252">
        <v>0</v>
      </c>
      <c r="AF289" s="252">
        <v>0</v>
      </c>
      <c r="AG289" s="252">
        <v>0</v>
      </c>
      <c r="AH289" s="252">
        <v>0</v>
      </c>
      <c r="AI289" s="252">
        <v>0</v>
      </c>
      <c r="AJ289" s="252">
        <v>0</v>
      </c>
      <c r="AK289" s="252">
        <v>0</v>
      </c>
      <c r="AL289" s="263">
        <f t="shared" si="76"/>
        <v>0</v>
      </c>
    </row>
    <row r="290" spans="1:38" ht="14.4" customHeight="1">
      <c r="A290" s="506"/>
      <c r="B290" s="261" t="s">
        <v>37</v>
      </c>
      <c r="C290" s="252">
        <v>0</v>
      </c>
      <c r="D290" s="252">
        <v>0</v>
      </c>
      <c r="E290" s="252">
        <v>0</v>
      </c>
      <c r="F290" s="252">
        <v>0</v>
      </c>
      <c r="G290" s="252">
        <v>0</v>
      </c>
      <c r="H290" s="252">
        <v>0</v>
      </c>
      <c r="I290" s="252">
        <v>0</v>
      </c>
      <c r="J290" s="252">
        <v>0</v>
      </c>
      <c r="K290" s="252">
        <v>0</v>
      </c>
      <c r="L290" s="252">
        <v>0</v>
      </c>
      <c r="M290" s="252">
        <v>0</v>
      </c>
      <c r="N290" s="252">
        <v>0</v>
      </c>
      <c r="O290" s="252">
        <v>0</v>
      </c>
      <c r="P290" s="252">
        <v>0</v>
      </c>
      <c r="Q290" s="252">
        <v>0</v>
      </c>
      <c r="R290" s="263">
        <f t="shared" si="75"/>
        <v>0</v>
      </c>
      <c r="U290" s="506"/>
      <c r="V290" s="261" t="s">
        <v>37</v>
      </c>
      <c r="W290" s="252">
        <v>0</v>
      </c>
      <c r="X290" s="252">
        <v>0</v>
      </c>
      <c r="Y290" s="252">
        <v>0</v>
      </c>
      <c r="Z290" s="252">
        <v>0</v>
      </c>
      <c r="AA290" s="252">
        <v>0</v>
      </c>
      <c r="AB290" s="252">
        <v>0</v>
      </c>
      <c r="AC290" s="252">
        <v>0</v>
      </c>
      <c r="AD290" s="252">
        <v>0</v>
      </c>
      <c r="AE290" s="252">
        <v>0</v>
      </c>
      <c r="AF290" s="252">
        <v>0</v>
      </c>
      <c r="AG290" s="252">
        <v>0</v>
      </c>
      <c r="AH290" s="252">
        <v>0</v>
      </c>
      <c r="AI290" s="252">
        <v>0</v>
      </c>
      <c r="AJ290" s="252">
        <v>0</v>
      </c>
      <c r="AK290" s="252">
        <v>0</v>
      </c>
      <c r="AL290" s="263">
        <f t="shared" si="76"/>
        <v>0</v>
      </c>
    </row>
    <row r="291" spans="1:38" ht="14.4" customHeight="1">
      <c r="A291" s="506"/>
      <c r="B291" s="261" t="s">
        <v>38</v>
      </c>
      <c r="C291" s="252">
        <v>0</v>
      </c>
      <c r="D291" s="252">
        <v>0</v>
      </c>
      <c r="E291" s="252">
        <v>0</v>
      </c>
      <c r="F291" s="252">
        <v>0</v>
      </c>
      <c r="G291" s="252">
        <v>0</v>
      </c>
      <c r="H291" s="252">
        <v>0</v>
      </c>
      <c r="I291" s="252">
        <v>0</v>
      </c>
      <c r="J291" s="252">
        <v>0</v>
      </c>
      <c r="K291" s="252">
        <v>0</v>
      </c>
      <c r="L291" s="252">
        <v>0</v>
      </c>
      <c r="M291" s="252">
        <v>0</v>
      </c>
      <c r="N291" s="252">
        <v>0</v>
      </c>
      <c r="O291" s="252">
        <f>O282*$F$17</f>
        <v>0.12483261513319617</v>
      </c>
      <c r="P291" s="252">
        <v>0</v>
      </c>
      <c r="Q291" s="252">
        <v>0</v>
      </c>
      <c r="R291" s="263">
        <f t="shared" si="75"/>
        <v>0.12483261513319617</v>
      </c>
      <c r="U291" s="506"/>
      <c r="V291" s="261" t="s">
        <v>38</v>
      </c>
      <c r="W291" s="252">
        <v>0</v>
      </c>
      <c r="X291" s="252">
        <v>0</v>
      </c>
      <c r="Y291" s="252">
        <v>0</v>
      </c>
      <c r="Z291" s="252">
        <v>0</v>
      </c>
      <c r="AA291" s="252">
        <v>0</v>
      </c>
      <c r="AB291" s="252">
        <v>0</v>
      </c>
      <c r="AC291" s="252">
        <v>0</v>
      </c>
      <c r="AD291" s="252">
        <v>0</v>
      </c>
      <c r="AE291" s="252">
        <v>0</v>
      </c>
      <c r="AF291" s="252">
        <v>0</v>
      </c>
      <c r="AG291" s="252">
        <v>0</v>
      </c>
      <c r="AH291" s="252">
        <v>0</v>
      </c>
      <c r="AI291" s="252">
        <f>AI282*$F$17</f>
        <v>0.14755861504424941</v>
      </c>
      <c r="AJ291" s="252">
        <v>0</v>
      </c>
      <c r="AK291" s="252">
        <v>0</v>
      </c>
      <c r="AL291" s="263">
        <f t="shared" si="76"/>
        <v>0.14755861504424941</v>
      </c>
    </row>
    <row r="292" spans="1:38" ht="14.4" customHeight="1">
      <c r="A292" s="506"/>
      <c r="B292" s="261" t="s">
        <v>39</v>
      </c>
      <c r="C292" s="252">
        <v>0</v>
      </c>
      <c r="D292" s="252">
        <v>0</v>
      </c>
      <c r="E292" s="252">
        <v>0</v>
      </c>
      <c r="F292" s="252">
        <v>0</v>
      </c>
      <c r="G292" s="252">
        <v>0</v>
      </c>
      <c r="H292" s="252">
        <v>0</v>
      </c>
      <c r="I292" s="252">
        <v>0</v>
      </c>
      <c r="J292" s="252">
        <v>0</v>
      </c>
      <c r="K292" s="252">
        <v>0</v>
      </c>
      <c r="L292" s="252">
        <v>0</v>
      </c>
      <c r="M292" s="252">
        <v>0</v>
      </c>
      <c r="N292" s="252">
        <v>0</v>
      </c>
      <c r="O292" s="252">
        <f>O282*$F$18</f>
        <v>0.88078363178951491</v>
      </c>
      <c r="P292" s="252">
        <f>P283*$R$18</f>
        <v>0</v>
      </c>
      <c r="Q292" s="252">
        <v>0</v>
      </c>
      <c r="R292" s="263">
        <f t="shared" si="75"/>
        <v>0.88078363178951491</v>
      </c>
      <c r="U292" s="506"/>
      <c r="V292" s="261" t="s">
        <v>39</v>
      </c>
      <c r="W292" s="252">
        <v>0</v>
      </c>
      <c r="X292" s="252">
        <v>0</v>
      </c>
      <c r="Y292" s="252">
        <v>0</v>
      </c>
      <c r="Z292" s="252">
        <v>0</v>
      </c>
      <c r="AA292" s="252">
        <v>0</v>
      </c>
      <c r="AB292" s="252">
        <v>0</v>
      </c>
      <c r="AC292" s="252">
        <v>0</v>
      </c>
      <c r="AD292" s="252">
        <v>0</v>
      </c>
      <c r="AE292" s="252">
        <v>0</v>
      </c>
      <c r="AF292" s="252">
        <v>0</v>
      </c>
      <c r="AG292" s="252">
        <v>0</v>
      </c>
      <c r="AH292" s="252">
        <v>0</v>
      </c>
      <c r="AI292" s="252">
        <f>AI282*$F$18</f>
        <v>1.0411318606265691</v>
      </c>
      <c r="AJ292" s="252">
        <f>AJ283*$R$18</f>
        <v>0</v>
      </c>
      <c r="AK292" s="252">
        <v>0</v>
      </c>
      <c r="AL292" s="263">
        <f t="shared" si="76"/>
        <v>1.0411318606265691</v>
      </c>
    </row>
    <row r="293" spans="1:38" ht="14.4" customHeight="1">
      <c r="A293" s="506"/>
      <c r="B293" s="256" t="s">
        <v>40</v>
      </c>
      <c r="C293" s="257">
        <f>SUM(C281:C292)</f>
        <v>0</v>
      </c>
      <c r="D293" s="257">
        <f t="shared" ref="D293:N293" si="79">SUM(D281:D292)</f>
        <v>0</v>
      </c>
      <c r="E293" s="257">
        <f t="shared" si="79"/>
        <v>14.36301321499222</v>
      </c>
      <c r="F293" s="257">
        <f t="shared" si="79"/>
        <v>0</v>
      </c>
      <c r="G293" s="257">
        <f t="shared" si="79"/>
        <v>0</v>
      </c>
      <c r="H293" s="257">
        <f t="shared" si="79"/>
        <v>8.2750000000000004</v>
      </c>
      <c r="I293" s="257">
        <f t="shared" si="79"/>
        <v>10</v>
      </c>
      <c r="J293" s="257">
        <f t="shared" si="79"/>
        <v>0</v>
      </c>
      <c r="K293" s="257">
        <f t="shared" si="79"/>
        <v>0</v>
      </c>
      <c r="L293" s="257">
        <f t="shared" si="79"/>
        <v>1.3333333333333337</v>
      </c>
      <c r="M293" s="257">
        <f t="shared" si="79"/>
        <v>0</v>
      </c>
      <c r="N293" s="257">
        <f t="shared" si="79"/>
        <v>0</v>
      </c>
      <c r="O293" s="257">
        <f>-O303</f>
        <v>-18.389109567673863</v>
      </c>
      <c r="P293" s="257">
        <f>-P295</f>
        <v>0</v>
      </c>
      <c r="Q293" s="257">
        <f>SUM(Q281:Q292)</f>
        <v>0</v>
      </c>
      <c r="R293" s="257">
        <f t="shared" si="75"/>
        <v>15.582236980651693</v>
      </c>
      <c r="S293" s="268">
        <f>R303+R293</f>
        <v>80.971081374823086</v>
      </c>
      <c r="U293" s="506"/>
      <c r="V293" s="256" t="s">
        <v>40</v>
      </c>
      <c r="W293" s="257">
        <f>SUM(W281:W292)</f>
        <v>0</v>
      </c>
      <c r="X293" s="257">
        <f t="shared" ref="X293:AH293" si="80">SUM(X281:X292)</f>
        <v>0</v>
      </c>
      <c r="Y293" s="257">
        <f t="shared" si="80"/>
        <v>0</v>
      </c>
      <c r="Z293" s="257">
        <f t="shared" si="80"/>
        <v>0</v>
      </c>
      <c r="AA293" s="257">
        <f t="shared" si="80"/>
        <v>0</v>
      </c>
      <c r="AB293" s="257">
        <f t="shared" si="80"/>
        <v>13.296830710792289</v>
      </c>
      <c r="AC293" s="257">
        <f t="shared" si="80"/>
        <v>12.035924350286123</v>
      </c>
      <c r="AD293" s="257">
        <f t="shared" si="80"/>
        <v>2.292557019102119</v>
      </c>
      <c r="AE293" s="257">
        <f t="shared" si="80"/>
        <v>7.3792637691973448</v>
      </c>
      <c r="AF293" s="257">
        <f t="shared" si="80"/>
        <v>1.57606904132444</v>
      </c>
      <c r="AG293" s="257">
        <f t="shared" si="80"/>
        <v>0</v>
      </c>
      <c r="AH293" s="257">
        <f t="shared" si="80"/>
        <v>0</v>
      </c>
      <c r="AI293" s="257">
        <f>-AI303</f>
        <v>-21.736879715350369</v>
      </c>
      <c r="AJ293" s="257">
        <f>-AJ295</f>
        <v>0</v>
      </c>
      <c r="AK293" s="257">
        <f>SUM(AK281:AK292)</f>
        <v>0</v>
      </c>
      <c r="AL293" s="257">
        <f t="shared" si="76"/>
        <v>14.843765175351948</v>
      </c>
    </row>
    <row r="294" spans="1:38" ht="14.4" customHeight="1">
      <c r="A294" s="506"/>
      <c r="B294" s="258"/>
      <c r="C294" s="259"/>
      <c r="D294" s="259"/>
      <c r="E294" s="266"/>
      <c r="F294" s="259"/>
      <c r="G294" s="259"/>
      <c r="H294" s="259"/>
      <c r="I294" s="266"/>
      <c r="J294" s="259"/>
      <c r="K294" s="259"/>
      <c r="L294" s="259"/>
      <c r="M294" s="267"/>
      <c r="N294" s="259"/>
      <c r="O294" s="259"/>
      <c r="P294" s="259"/>
      <c r="Q294" s="259"/>
      <c r="R294" s="259"/>
      <c r="U294" s="506"/>
      <c r="V294" s="258"/>
      <c r="W294" s="259"/>
      <c r="X294" s="259"/>
      <c r="Y294" s="266"/>
      <c r="Z294" s="259"/>
      <c r="AA294" s="259"/>
      <c r="AB294" s="259"/>
      <c r="AC294" s="266"/>
      <c r="AD294" s="259"/>
      <c r="AE294" s="259"/>
      <c r="AF294" s="259"/>
      <c r="AG294" s="267"/>
      <c r="AH294" s="259"/>
      <c r="AI294" s="259"/>
      <c r="AJ294" s="259"/>
      <c r="AK294" s="259"/>
      <c r="AL294" s="259"/>
    </row>
    <row r="295" spans="1:38" ht="14.4" customHeight="1">
      <c r="A295" s="506"/>
      <c r="B295" s="261" t="s">
        <v>41</v>
      </c>
      <c r="C295" s="252">
        <v>0</v>
      </c>
      <c r="D295" s="252">
        <v>0</v>
      </c>
      <c r="E295" s="252">
        <f>Industrie!$I$35</f>
        <v>0</v>
      </c>
      <c r="F295" s="252">
        <v>0</v>
      </c>
      <c r="G295" s="252">
        <v>0</v>
      </c>
      <c r="H295" s="252">
        <v>0</v>
      </c>
      <c r="I295" s="252">
        <v>0</v>
      </c>
      <c r="J295" s="252">
        <v>0</v>
      </c>
      <c r="K295" s="252">
        <v>0</v>
      </c>
      <c r="L295" s="252">
        <v>0</v>
      </c>
      <c r="M295" s="252">
        <v>0</v>
      </c>
      <c r="N295" s="252">
        <v>0</v>
      </c>
      <c r="O295" s="252">
        <f>Industrie!$I$36</f>
        <v>1.584748850042645</v>
      </c>
      <c r="P295" s="252">
        <f>Industrie!$I$39</f>
        <v>0</v>
      </c>
      <c r="Q295" s="252">
        <v>0</v>
      </c>
      <c r="R295" s="263">
        <f>SUM(C295:Q295)</f>
        <v>1.584748850042645</v>
      </c>
      <c r="U295" s="506"/>
      <c r="V295" s="261" t="s">
        <v>41</v>
      </c>
      <c r="W295" s="252">
        <v>0</v>
      </c>
      <c r="X295" s="252">
        <v>0</v>
      </c>
      <c r="Y295" s="252">
        <f>Industrie!$I$56</f>
        <v>0</v>
      </c>
      <c r="Z295" s="252">
        <v>0</v>
      </c>
      <c r="AA295" s="252">
        <v>0</v>
      </c>
      <c r="AB295" s="252">
        <v>0</v>
      </c>
      <c r="AC295" s="252">
        <f>Industrie!$I$62*$V$13/SUM($V$13:$AA$13)</f>
        <v>0</v>
      </c>
      <c r="AD295" s="252">
        <f>Industrie!$I$62*$W$13/SUM($V$13:$AA$13)</f>
        <v>0</v>
      </c>
      <c r="AE295" s="252">
        <f>Industrie!$I$62*$X$13/SUM($V$13:$AA$13)</f>
        <v>0</v>
      </c>
      <c r="AF295" s="252">
        <f>Industrie!$I$62*$Y$13/SUM($V$13:$AA$13)</f>
        <v>0</v>
      </c>
      <c r="AG295" s="252">
        <f>Industrie!$I$62*$Z$13/SUM($V$13:$AA$13)</f>
        <v>0</v>
      </c>
      <c r="AH295" s="252">
        <f>Industrie!$I$62*$AA$13/SUM($V$13:$AA$13)</f>
        <v>0</v>
      </c>
      <c r="AI295" s="252">
        <f>Industrie!$I$57</f>
        <v>0.91563266891352812</v>
      </c>
      <c r="AJ295" s="252">
        <f>Industrie!$I$63</f>
        <v>0</v>
      </c>
      <c r="AK295" s="252">
        <v>0</v>
      </c>
      <c r="AL295" s="263">
        <f>SUM(W295:AK295)</f>
        <v>0.91563266891352812</v>
      </c>
    </row>
    <row r="296" spans="1:38" ht="14.4" customHeight="1">
      <c r="A296" s="506"/>
      <c r="B296" s="261" t="s">
        <v>42</v>
      </c>
      <c r="C296" s="252">
        <v>0</v>
      </c>
      <c r="D296" s="252">
        <v>0</v>
      </c>
      <c r="E296" s="252">
        <f>Transports!$K$49+Transports!$I$203+Transports!$I$105</f>
        <v>43.989885635809138</v>
      </c>
      <c r="F296" s="252">
        <v>0</v>
      </c>
      <c r="G296" s="252">
        <v>0</v>
      </c>
      <c r="H296" s="252">
        <v>0</v>
      </c>
      <c r="I296" s="252">
        <v>0</v>
      </c>
      <c r="J296" s="252">
        <v>0</v>
      </c>
      <c r="K296" s="252">
        <v>0</v>
      </c>
      <c r="L296" s="252">
        <v>0</v>
      </c>
      <c r="M296" s="252">
        <v>0</v>
      </c>
      <c r="N296" s="252">
        <v>0</v>
      </c>
      <c r="O296" s="252">
        <f>Transports!$K$50+Transports!$I$106</f>
        <v>0.95856927980839379</v>
      </c>
      <c r="P296" s="252">
        <v>0</v>
      </c>
      <c r="Q296" s="252">
        <v>0</v>
      </c>
      <c r="R296" s="263">
        <f t="shared" ref="R296:R303" si="81">SUM(C296:Q296)</f>
        <v>44.948454915617532</v>
      </c>
      <c r="U296" s="506"/>
      <c r="V296" s="261" t="s">
        <v>42</v>
      </c>
      <c r="W296" s="252">
        <v>0</v>
      </c>
      <c r="X296" s="252">
        <v>0</v>
      </c>
      <c r="Y296" s="252">
        <f>Transports!$K76+Transports!$I$150+Transports!$I$238</f>
        <v>10.964482514394621</v>
      </c>
      <c r="Z296" s="252">
        <v>0</v>
      </c>
      <c r="AA296" s="252">
        <v>0</v>
      </c>
      <c r="AB296" s="252">
        <v>0</v>
      </c>
      <c r="AC296" s="252">
        <v>0</v>
      </c>
      <c r="AD296" s="252">
        <v>0</v>
      </c>
      <c r="AE296" s="252">
        <f>Transports!$I$236+Transports!$I$237</f>
        <v>4.6130232831118487</v>
      </c>
      <c r="AF296" s="252">
        <v>0</v>
      </c>
      <c r="AG296" s="252">
        <v>0</v>
      </c>
      <c r="AH296" s="252">
        <v>0</v>
      </c>
      <c r="AI296" s="252">
        <f>Transports!$K$77+Transports!$I$151</f>
        <v>11.450946177369767</v>
      </c>
      <c r="AJ296" s="252">
        <v>0</v>
      </c>
      <c r="AK296" s="252">
        <v>0</v>
      </c>
      <c r="AL296" s="263">
        <f t="shared" ref="AL296:AL303" si="82">SUM(W296:AK296)</f>
        <v>27.028451974876237</v>
      </c>
    </row>
    <row r="297" spans="1:38" ht="14.4" customHeight="1">
      <c r="A297" s="506"/>
      <c r="B297" s="261" t="s">
        <v>43</v>
      </c>
      <c r="C297" s="252">
        <v>0</v>
      </c>
      <c r="D297" s="252">
        <v>0</v>
      </c>
      <c r="E297" s="252">
        <f>'Résidentiel-tertiaire'!$I$172</f>
        <v>1.9625324547817673</v>
      </c>
      <c r="F297" s="252">
        <v>0</v>
      </c>
      <c r="G297" s="252">
        <v>0</v>
      </c>
      <c r="H297" s="252">
        <v>0</v>
      </c>
      <c r="I297" s="252">
        <v>0</v>
      </c>
      <c r="J297" s="252">
        <v>0</v>
      </c>
      <c r="K297" s="252">
        <v>0</v>
      </c>
      <c r="L297" s="252">
        <v>0</v>
      </c>
      <c r="M297" s="252">
        <v>0</v>
      </c>
      <c r="N297" s="252">
        <v>0</v>
      </c>
      <c r="O297" s="252">
        <f>'Résidentiel-tertiaire'!$I$174</f>
        <v>8.1337272920278156</v>
      </c>
      <c r="P297" s="252">
        <v>0</v>
      </c>
      <c r="Q297" s="252">
        <v>0</v>
      </c>
      <c r="R297" s="263">
        <f t="shared" si="81"/>
        <v>10.096259746809583</v>
      </c>
      <c r="U297" s="506"/>
      <c r="V297" s="261" t="s">
        <v>43</v>
      </c>
      <c r="W297" s="252">
        <v>0</v>
      </c>
      <c r="X297" s="252">
        <v>0</v>
      </c>
      <c r="Y297" s="252">
        <f>'Résidentiel-tertiaire'!$I$187</f>
        <v>0</v>
      </c>
      <c r="Z297" s="252">
        <v>0</v>
      </c>
      <c r="AA297" s="252">
        <v>0</v>
      </c>
      <c r="AB297" s="252">
        <v>0</v>
      </c>
      <c r="AC297" s="252">
        <f>'Résidentiel-tertiaire'!$I$188*$V$14/SUM($V$14:$AA$14)</f>
        <v>0</v>
      </c>
      <c r="AD297" s="252">
        <f>'Résidentiel-tertiaire'!$I$188*$W$14/SUM($V$14:$AA$14)</f>
        <v>0</v>
      </c>
      <c r="AE297" s="252">
        <f>'Résidentiel-tertiaire'!$I$188*$X$14/SUM($V$14:$AA$14)</f>
        <v>0</v>
      </c>
      <c r="AF297" s="252">
        <f>'Résidentiel-tertiaire'!$I$188*$Y$14/SUM($V$14:$AA$14)</f>
        <v>0</v>
      </c>
      <c r="AG297" s="252">
        <f>'Résidentiel-tertiaire'!$I$188*$Z$14/SUM($V$14:$AA$14)</f>
        <v>0</v>
      </c>
      <c r="AH297" s="252">
        <f>'Résidentiel-tertiaire'!$I$188*$AA$14/SUM($V$14:$AA$14)</f>
        <v>0.39234948912784584</v>
      </c>
      <c r="AI297" s="252">
        <f>'Résidentiel-tertiaire'!$I$189</f>
        <v>5.6629832684696799</v>
      </c>
      <c r="AJ297" s="252">
        <v>0</v>
      </c>
      <c r="AK297" s="252">
        <v>0</v>
      </c>
      <c r="AL297" s="263">
        <f t="shared" si="82"/>
        <v>6.055332757597526</v>
      </c>
    </row>
    <row r="298" spans="1:38" ht="14.4" customHeight="1">
      <c r="A298" s="506"/>
      <c r="B298" s="261" t="s">
        <v>44</v>
      </c>
      <c r="C298" s="252">
        <v>0</v>
      </c>
      <c r="D298" s="252">
        <v>0</v>
      </c>
      <c r="E298" s="252">
        <f>'Résidentiel-tertiaire'!$I$177</f>
        <v>0.703466735906637</v>
      </c>
      <c r="F298" s="252">
        <v>0</v>
      </c>
      <c r="G298" s="252">
        <v>0</v>
      </c>
      <c r="H298" s="252">
        <v>0</v>
      </c>
      <c r="I298" s="252">
        <v>0</v>
      </c>
      <c r="J298" s="252">
        <v>0</v>
      </c>
      <c r="K298" s="252">
        <v>0</v>
      </c>
      <c r="L298" s="252">
        <v>0</v>
      </c>
      <c r="M298" s="252">
        <v>0</v>
      </c>
      <c r="N298" s="252">
        <v>0</v>
      </c>
      <c r="O298" s="252">
        <f>'Résidentiel-tertiaire'!$I$179</f>
        <v>7.7120641457950088</v>
      </c>
      <c r="P298" s="252">
        <v>0</v>
      </c>
      <c r="Q298" s="252">
        <v>0</v>
      </c>
      <c r="R298" s="263">
        <f t="shared" si="81"/>
        <v>8.4155308817016454</v>
      </c>
      <c r="U298" s="506"/>
      <c r="V298" s="261" t="s">
        <v>44</v>
      </c>
      <c r="W298" s="252">
        <v>0</v>
      </c>
      <c r="X298" s="252">
        <v>0</v>
      </c>
      <c r="Y298" s="252">
        <f>'Résidentiel-tertiaire'!$I$192</f>
        <v>0</v>
      </c>
      <c r="Z298" s="252">
        <v>0</v>
      </c>
      <c r="AA298" s="252">
        <v>0</v>
      </c>
      <c r="AB298" s="252">
        <v>0</v>
      </c>
      <c r="AC298" s="252">
        <f>'Résidentiel-tertiaire'!$I$193*$V$15/SUM($V$15:$AA$15)</f>
        <v>0</v>
      </c>
      <c r="AD298" s="252">
        <f>'Résidentiel-tertiaire'!$I$193*$W$15/SUM($V$15:$AA$15)</f>
        <v>0</v>
      </c>
      <c r="AE298" s="252">
        <f>'Résidentiel-tertiaire'!$I$193*$X$15/SUM($V$15:$AA$15)</f>
        <v>0</v>
      </c>
      <c r="AF298" s="252">
        <f>'Résidentiel-tertiaire'!$I$193*$Y$15/SUM($V$15:$AA$15)</f>
        <v>0</v>
      </c>
      <c r="AG298" s="252">
        <f>'Résidentiel-tertiaire'!$I$193*$Z$15/SUM($V$15:$AA$15)</f>
        <v>0</v>
      </c>
      <c r="AH298" s="252">
        <f>'Résidentiel-tertiaire'!$I$193*$AA$15/SUM($V$15:$AA$15)</f>
        <v>0</v>
      </c>
      <c r="AI298" s="252">
        <f>'Résidentiel-tertiaire'!$I$194</f>
        <v>3.7073176005973956</v>
      </c>
      <c r="AJ298" s="252">
        <v>0</v>
      </c>
      <c r="AK298" s="252">
        <v>0</v>
      </c>
      <c r="AL298" s="263">
        <f t="shared" si="82"/>
        <v>3.7073176005973956</v>
      </c>
    </row>
    <row r="299" spans="1:38" ht="14.4" customHeight="1">
      <c r="A299" s="506"/>
      <c r="B299" s="261" t="s">
        <v>4</v>
      </c>
      <c r="C299" s="252">
        <v>0</v>
      </c>
      <c r="D299" s="252">
        <v>0</v>
      </c>
      <c r="E299" s="252">
        <f>Agriculture!$Y$27</f>
        <v>0.34384999999999993</v>
      </c>
      <c r="F299" s="252">
        <v>0</v>
      </c>
      <c r="G299" s="252">
        <v>0</v>
      </c>
      <c r="H299" s="252">
        <v>0</v>
      </c>
      <c r="I299" s="252">
        <v>0</v>
      </c>
      <c r="J299" s="252">
        <v>0</v>
      </c>
      <c r="K299" s="252">
        <v>0</v>
      </c>
      <c r="L299" s="252">
        <v>0</v>
      </c>
      <c r="M299" s="252">
        <v>0</v>
      </c>
      <c r="N299" s="252">
        <v>0</v>
      </c>
      <c r="O299" s="252">
        <f>Agriculture!$Y$28</f>
        <v>0</v>
      </c>
      <c r="P299" s="252">
        <v>0</v>
      </c>
      <c r="Q299" s="252">
        <v>0</v>
      </c>
      <c r="R299" s="263">
        <f t="shared" si="81"/>
        <v>0.34384999999999993</v>
      </c>
      <c r="U299" s="506"/>
      <c r="V299" s="261" t="s">
        <v>4</v>
      </c>
      <c r="W299" s="252">
        <v>0</v>
      </c>
      <c r="X299" s="252">
        <v>0</v>
      </c>
      <c r="Y299" s="252">
        <f>Agriculture!$AG$43</f>
        <v>0</v>
      </c>
      <c r="Z299" s="252">
        <v>0</v>
      </c>
      <c r="AA299" s="252">
        <v>0</v>
      </c>
      <c r="AB299" s="252">
        <v>0</v>
      </c>
      <c r="AC299" s="252">
        <v>0</v>
      </c>
      <c r="AD299" s="252">
        <v>0</v>
      </c>
      <c r="AE299" s="252">
        <f>Agriculture!$AG$45</f>
        <v>0.30946499999999993</v>
      </c>
      <c r="AF299" s="252">
        <v>0</v>
      </c>
      <c r="AG299" s="252">
        <v>0</v>
      </c>
      <c r="AH299" s="252">
        <v>0</v>
      </c>
      <c r="AI299" s="252">
        <f>Agriculture!$AG$44</f>
        <v>0</v>
      </c>
      <c r="AJ299" s="252">
        <v>0</v>
      </c>
      <c r="AK299" s="252">
        <v>0</v>
      </c>
      <c r="AL299" s="263">
        <f t="shared" si="82"/>
        <v>0.30946499999999993</v>
      </c>
    </row>
    <row r="300" spans="1:38" ht="14.4" customHeight="1">
      <c r="A300" s="506"/>
      <c r="B300" s="261" t="s">
        <v>397</v>
      </c>
      <c r="C300" s="252">
        <v>0</v>
      </c>
      <c r="D300" s="252">
        <v>0</v>
      </c>
      <c r="E300" s="252">
        <v>0</v>
      </c>
      <c r="F300" s="252">
        <v>0</v>
      </c>
      <c r="G300" s="252">
        <v>0</v>
      </c>
      <c r="H300" s="252">
        <v>0</v>
      </c>
      <c r="I300" s="252">
        <v>0</v>
      </c>
      <c r="J300" s="252">
        <v>0</v>
      </c>
      <c r="K300" s="252">
        <v>0</v>
      </c>
      <c r="L300" s="252">
        <v>0</v>
      </c>
      <c r="M300" s="252">
        <v>0</v>
      </c>
      <c r="N300" s="252">
        <v>0</v>
      </c>
      <c r="O300" s="252">
        <v>0</v>
      </c>
      <c r="P300" s="252">
        <v>0</v>
      </c>
      <c r="Q300" s="252">
        <v>0</v>
      </c>
      <c r="R300" s="263">
        <f t="shared" si="81"/>
        <v>0</v>
      </c>
      <c r="U300" s="506"/>
      <c r="V300" s="261" t="s">
        <v>397</v>
      </c>
      <c r="W300" s="252">
        <v>0</v>
      </c>
      <c r="X300" s="252">
        <v>0</v>
      </c>
      <c r="Y300" s="252">
        <v>0</v>
      </c>
      <c r="Z300" s="252">
        <v>0</v>
      </c>
      <c r="AA300" s="252">
        <v>0</v>
      </c>
      <c r="AB300" s="252">
        <v>0</v>
      </c>
      <c r="AC300" s="252">
        <v>0</v>
      </c>
      <c r="AD300" s="252">
        <v>0</v>
      </c>
      <c r="AE300" s="252">
        <v>0</v>
      </c>
      <c r="AF300" s="252">
        <v>0</v>
      </c>
      <c r="AG300" s="252">
        <v>0</v>
      </c>
      <c r="AH300" s="252">
        <v>0</v>
      </c>
      <c r="AI300" s="252">
        <v>0</v>
      </c>
      <c r="AJ300" s="252">
        <v>0</v>
      </c>
      <c r="AK300" s="252">
        <v>0</v>
      </c>
      <c r="AL300" s="263">
        <f t="shared" si="82"/>
        <v>0</v>
      </c>
    </row>
    <row r="301" spans="1:38" ht="14.4" customHeight="1">
      <c r="A301" s="506"/>
      <c r="B301" s="256" t="s">
        <v>45</v>
      </c>
      <c r="C301" s="257">
        <f>SUM(C295:C300)</f>
        <v>0</v>
      </c>
      <c r="D301" s="257">
        <f t="shared" ref="D301:Q301" si="83">SUM(D295:D300)</f>
        <v>0</v>
      </c>
      <c r="E301" s="257">
        <f t="shared" si="83"/>
        <v>46.999734826497544</v>
      </c>
      <c r="F301" s="257">
        <f t="shared" si="83"/>
        <v>0</v>
      </c>
      <c r="G301" s="257">
        <f t="shared" si="83"/>
        <v>0</v>
      </c>
      <c r="H301" s="257">
        <f t="shared" si="83"/>
        <v>0</v>
      </c>
      <c r="I301" s="257">
        <f t="shared" si="83"/>
        <v>0</v>
      </c>
      <c r="J301" s="257">
        <f t="shared" si="83"/>
        <v>0</v>
      </c>
      <c r="K301" s="257">
        <f t="shared" si="83"/>
        <v>0</v>
      </c>
      <c r="L301" s="257">
        <f t="shared" si="83"/>
        <v>0</v>
      </c>
      <c r="M301" s="257">
        <f t="shared" si="83"/>
        <v>0</v>
      </c>
      <c r="N301" s="257">
        <f t="shared" si="83"/>
        <v>0</v>
      </c>
      <c r="O301" s="257">
        <f t="shared" si="83"/>
        <v>18.389109567673863</v>
      </c>
      <c r="P301" s="257">
        <f t="shared" si="83"/>
        <v>0</v>
      </c>
      <c r="Q301" s="257">
        <f t="shared" si="83"/>
        <v>0</v>
      </c>
      <c r="R301" s="257">
        <f t="shared" si="81"/>
        <v>65.3888443941714</v>
      </c>
      <c r="U301" s="506"/>
      <c r="V301" s="256" t="s">
        <v>45</v>
      </c>
      <c r="W301" s="257">
        <f>SUM(W295:W300)</f>
        <v>0</v>
      </c>
      <c r="X301" s="257">
        <f t="shared" ref="X301:AK301" si="84">SUM(X295:X300)</f>
        <v>0</v>
      </c>
      <c r="Y301" s="257">
        <f t="shared" si="84"/>
        <v>10.964482514394621</v>
      </c>
      <c r="Z301" s="257">
        <f t="shared" si="84"/>
        <v>0</v>
      </c>
      <c r="AA301" s="257">
        <f t="shared" si="84"/>
        <v>0</v>
      </c>
      <c r="AB301" s="257">
        <f t="shared" si="84"/>
        <v>0</v>
      </c>
      <c r="AC301" s="257">
        <f t="shared" si="84"/>
        <v>0</v>
      </c>
      <c r="AD301" s="257">
        <f t="shared" si="84"/>
        <v>0</v>
      </c>
      <c r="AE301" s="257">
        <f t="shared" si="84"/>
        <v>4.9224882831118491</v>
      </c>
      <c r="AF301" s="257">
        <f t="shared" si="84"/>
        <v>0</v>
      </c>
      <c r="AG301" s="257">
        <f t="shared" si="84"/>
        <v>0</v>
      </c>
      <c r="AH301" s="257">
        <f t="shared" si="84"/>
        <v>0.39234948912784584</v>
      </c>
      <c r="AI301" s="257">
        <f t="shared" si="84"/>
        <v>21.736879715350369</v>
      </c>
      <c r="AJ301" s="257">
        <f t="shared" si="84"/>
        <v>0</v>
      </c>
      <c r="AK301" s="257">
        <f t="shared" si="84"/>
        <v>0</v>
      </c>
      <c r="AL301" s="257">
        <f t="shared" si="82"/>
        <v>38.016200001984686</v>
      </c>
    </row>
    <row r="302" spans="1:38" ht="14.4" customHeight="1">
      <c r="A302" s="506"/>
      <c r="B302" s="251" t="s">
        <v>46</v>
      </c>
      <c r="C302" s="252">
        <v>0</v>
      </c>
      <c r="D302" s="252">
        <v>0</v>
      </c>
      <c r="E302" s="252">
        <f>Industrie!$I$37</f>
        <v>0</v>
      </c>
      <c r="F302" s="252">
        <v>0</v>
      </c>
      <c r="G302" s="252">
        <v>0</v>
      </c>
      <c r="H302" s="252">
        <v>0</v>
      </c>
      <c r="I302" s="252">
        <v>0</v>
      </c>
      <c r="J302" s="252">
        <v>0</v>
      </c>
      <c r="K302" s="252">
        <v>0</v>
      </c>
      <c r="L302" s="252">
        <v>0</v>
      </c>
      <c r="M302" s="252">
        <v>0</v>
      </c>
      <c r="N302" s="252">
        <v>0</v>
      </c>
      <c r="O302" s="252">
        <v>0</v>
      </c>
      <c r="P302" s="252">
        <v>0</v>
      </c>
      <c r="Q302" s="252">
        <v>0</v>
      </c>
      <c r="R302" s="263">
        <f t="shared" si="81"/>
        <v>0</v>
      </c>
      <c r="U302" s="506"/>
      <c r="V302" s="251" t="s">
        <v>46</v>
      </c>
      <c r="W302" s="252">
        <v>0</v>
      </c>
      <c r="X302" s="252">
        <v>0</v>
      </c>
      <c r="Y302" s="252">
        <f>Industrie!$I$59</f>
        <v>0</v>
      </c>
      <c r="Z302" s="252">
        <v>0</v>
      </c>
      <c r="AA302" s="252">
        <v>0</v>
      </c>
      <c r="AB302" s="252">
        <v>0</v>
      </c>
      <c r="AC302" s="252">
        <v>0</v>
      </c>
      <c r="AD302" s="252">
        <v>0</v>
      </c>
      <c r="AE302" s="252">
        <v>0</v>
      </c>
      <c r="AF302" s="252">
        <v>0</v>
      </c>
      <c r="AG302" s="252">
        <v>0</v>
      </c>
      <c r="AH302" s="252">
        <v>0</v>
      </c>
      <c r="AI302" s="252">
        <v>0</v>
      </c>
      <c r="AJ302" s="252">
        <v>0</v>
      </c>
      <c r="AK302" s="252">
        <v>0</v>
      </c>
      <c r="AL302" s="263">
        <f t="shared" si="82"/>
        <v>0</v>
      </c>
    </row>
    <row r="303" spans="1:38" ht="14.4" customHeight="1">
      <c r="A303" s="506"/>
      <c r="B303" s="256" t="s">
        <v>47</v>
      </c>
      <c r="C303" s="257">
        <f>C302+C301</f>
        <v>0</v>
      </c>
      <c r="D303" s="257">
        <f t="shared" ref="D303:Q303" si="85">D302+D301</f>
        <v>0</v>
      </c>
      <c r="E303" s="257">
        <f t="shared" si="85"/>
        <v>46.999734826497544</v>
      </c>
      <c r="F303" s="257">
        <f t="shared" si="85"/>
        <v>0</v>
      </c>
      <c r="G303" s="257">
        <f t="shared" si="85"/>
        <v>0</v>
      </c>
      <c r="H303" s="257">
        <f t="shared" si="85"/>
        <v>0</v>
      </c>
      <c r="I303" s="257">
        <f t="shared" si="85"/>
        <v>0</v>
      </c>
      <c r="J303" s="257">
        <f t="shared" si="85"/>
        <v>0</v>
      </c>
      <c r="K303" s="257">
        <f t="shared" si="85"/>
        <v>0</v>
      </c>
      <c r="L303" s="257">
        <f t="shared" si="85"/>
        <v>0</v>
      </c>
      <c r="M303" s="257">
        <f t="shared" si="85"/>
        <v>0</v>
      </c>
      <c r="N303" s="257">
        <f t="shared" si="85"/>
        <v>0</v>
      </c>
      <c r="O303" s="257">
        <f t="shared" si="85"/>
        <v>18.389109567673863</v>
      </c>
      <c r="P303" s="257">
        <f t="shared" si="85"/>
        <v>0</v>
      </c>
      <c r="Q303" s="257">
        <f t="shared" si="85"/>
        <v>0</v>
      </c>
      <c r="R303" s="257">
        <f t="shared" si="81"/>
        <v>65.3888443941714</v>
      </c>
      <c r="U303" s="506"/>
      <c r="V303" s="256" t="s">
        <v>47</v>
      </c>
      <c r="W303" s="257">
        <f>W302+W301</f>
        <v>0</v>
      </c>
      <c r="X303" s="257">
        <f t="shared" ref="X303:AK303" si="86">X302+X301</f>
        <v>0</v>
      </c>
      <c r="Y303" s="257">
        <f t="shared" si="86"/>
        <v>10.964482514394621</v>
      </c>
      <c r="Z303" s="257">
        <f t="shared" si="86"/>
        <v>0</v>
      </c>
      <c r="AA303" s="257">
        <f t="shared" si="86"/>
        <v>0</v>
      </c>
      <c r="AB303" s="257">
        <f t="shared" si="86"/>
        <v>0</v>
      </c>
      <c r="AC303" s="257">
        <f t="shared" si="86"/>
        <v>0</v>
      </c>
      <c r="AD303" s="257">
        <f t="shared" si="86"/>
        <v>0</v>
      </c>
      <c r="AE303" s="257">
        <f t="shared" si="86"/>
        <v>4.9224882831118491</v>
      </c>
      <c r="AF303" s="257">
        <f t="shared" si="86"/>
        <v>0</v>
      </c>
      <c r="AG303" s="257">
        <f t="shared" si="86"/>
        <v>0</v>
      </c>
      <c r="AH303" s="257">
        <f t="shared" si="86"/>
        <v>0.39234948912784584</v>
      </c>
      <c r="AI303" s="257">
        <f t="shared" si="86"/>
        <v>21.736879715350369</v>
      </c>
      <c r="AJ303" s="257">
        <f t="shared" si="86"/>
        <v>0</v>
      </c>
      <c r="AK303" s="257">
        <f t="shared" si="86"/>
        <v>0</v>
      </c>
      <c r="AL303" s="257">
        <f t="shared" si="82"/>
        <v>38.016200001984686</v>
      </c>
    </row>
    <row r="309" spans="35:35">
      <c r="AI309" s="268">
        <f>AL303+AL293</f>
        <v>52.859965177336633</v>
      </c>
    </row>
  </sheetData>
  <mergeCells count="187">
    <mergeCell ref="B2:D2"/>
    <mergeCell ref="B14:D14"/>
    <mergeCell ref="B21:R21"/>
    <mergeCell ref="V21:AL21"/>
    <mergeCell ref="A25:A57"/>
    <mergeCell ref="B25:B26"/>
    <mergeCell ref="C25:C26"/>
    <mergeCell ref="D25:D26"/>
    <mergeCell ref="E25:E26"/>
    <mergeCell ref="F25:F26"/>
    <mergeCell ref="V25:V26"/>
    <mergeCell ref="W25:W26"/>
    <mergeCell ref="X25:X26"/>
    <mergeCell ref="Y25:Y26"/>
    <mergeCell ref="G25:G26"/>
    <mergeCell ref="H25:H26"/>
    <mergeCell ref="I25:N25"/>
    <mergeCell ref="O25:O26"/>
    <mergeCell ref="P25:P26"/>
    <mergeCell ref="Q25:Q26"/>
    <mergeCell ref="M5:S8"/>
    <mergeCell ref="I66:N66"/>
    <mergeCell ref="O66:O67"/>
    <mergeCell ref="P66:P67"/>
    <mergeCell ref="Q66:Q67"/>
    <mergeCell ref="R66:R67"/>
    <mergeCell ref="U66:U98"/>
    <mergeCell ref="AK25:AK26"/>
    <mergeCell ref="AL25:AL26"/>
    <mergeCell ref="A66:A98"/>
    <mergeCell ref="B66:B67"/>
    <mergeCell ref="C66:C67"/>
    <mergeCell ref="D66:D67"/>
    <mergeCell ref="E66:E67"/>
    <mergeCell ref="F66:F67"/>
    <mergeCell ref="G66:G67"/>
    <mergeCell ref="H66:H67"/>
    <mergeCell ref="Z25:Z26"/>
    <mergeCell ref="AA25:AA26"/>
    <mergeCell ref="AB25:AB26"/>
    <mergeCell ref="AC25:AH25"/>
    <mergeCell ref="AI25:AI26"/>
    <mergeCell ref="AJ25:AJ26"/>
    <mergeCell ref="R25:R26"/>
    <mergeCell ref="U25:U57"/>
    <mergeCell ref="AB66:AB67"/>
    <mergeCell ref="AC66:AH66"/>
    <mergeCell ref="AI66:AI67"/>
    <mergeCell ref="AJ66:AJ67"/>
    <mergeCell ref="AK66:AK67"/>
    <mergeCell ref="AL66:AL67"/>
    <mergeCell ref="V66:V67"/>
    <mergeCell ref="W66:W67"/>
    <mergeCell ref="X66:X67"/>
    <mergeCell ref="Y66:Y67"/>
    <mergeCell ref="Z66:Z67"/>
    <mergeCell ref="AA66:AA67"/>
    <mergeCell ref="I107:N107"/>
    <mergeCell ref="O107:O108"/>
    <mergeCell ref="P107:P108"/>
    <mergeCell ref="Q107:Q108"/>
    <mergeCell ref="A107:A139"/>
    <mergeCell ref="B107:B108"/>
    <mergeCell ref="C107:C108"/>
    <mergeCell ref="D107:D108"/>
    <mergeCell ref="E107:E108"/>
    <mergeCell ref="F107:F108"/>
    <mergeCell ref="AK107:AK108"/>
    <mergeCell ref="AL107:AL108"/>
    <mergeCell ref="A148:A180"/>
    <mergeCell ref="B148:B149"/>
    <mergeCell ref="C148:C149"/>
    <mergeCell ref="D148:D149"/>
    <mergeCell ref="E148:E149"/>
    <mergeCell ref="F148:F149"/>
    <mergeCell ref="G148:G149"/>
    <mergeCell ref="H148:H149"/>
    <mergeCell ref="Z107:Z108"/>
    <mergeCell ref="AA107:AA108"/>
    <mergeCell ref="AB107:AB108"/>
    <mergeCell ref="AC107:AH107"/>
    <mergeCell ref="AI107:AI108"/>
    <mergeCell ref="AJ107:AJ108"/>
    <mergeCell ref="R107:R108"/>
    <mergeCell ref="U107:U139"/>
    <mergeCell ref="V107:V108"/>
    <mergeCell ref="W107:W108"/>
    <mergeCell ref="X107:X108"/>
    <mergeCell ref="Y107:Y108"/>
    <mergeCell ref="G107:G108"/>
    <mergeCell ref="H107:H108"/>
    <mergeCell ref="AJ148:AJ149"/>
    <mergeCell ref="AK148:AK149"/>
    <mergeCell ref="AL148:AL149"/>
    <mergeCell ref="V148:V149"/>
    <mergeCell ref="W148:W149"/>
    <mergeCell ref="X148:X149"/>
    <mergeCell ref="Y148:Y149"/>
    <mergeCell ref="Z148:Z149"/>
    <mergeCell ref="AA148:AA149"/>
    <mergeCell ref="B189:B190"/>
    <mergeCell ref="C189:C190"/>
    <mergeCell ref="D189:D190"/>
    <mergeCell ref="E189:E190"/>
    <mergeCell ref="F189:F190"/>
    <mergeCell ref="AB148:AB149"/>
    <mergeCell ref="AC148:AH148"/>
    <mergeCell ref="AI148:AI149"/>
    <mergeCell ref="I148:N148"/>
    <mergeCell ref="O148:O149"/>
    <mergeCell ref="P148:P149"/>
    <mergeCell ref="Q148:Q149"/>
    <mergeCell ref="R148:R149"/>
    <mergeCell ref="U148:U180"/>
    <mergeCell ref="V189:V190"/>
    <mergeCell ref="W189:W190"/>
    <mergeCell ref="X189:X190"/>
    <mergeCell ref="Y189:Y190"/>
    <mergeCell ref="G189:G190"/>
    <mergeCell ref="H189:H190"/>
    <mergeCell ref="I189:N189"/>
    <mergeCell ref="O189:O190"/>
    <mergeCell ref="P189:P190"/>
    <mergeCell ref="AK189:AK190"/>
    <mergeCell ref="AL189:AL190"/>
    <mergeCell ref="AA189:AA190"/>
    <mergeCell ref="AB189:AB190"/>
    <mergeCell ref="AC189:AH189"/>
    <mergeCell ref="AI189:AI190"/>
    <mergeCell ref="AJ189:AJ190"/>
    <mergeCell ref="AB230:AB231"/>
    <mergeCell ref="AC230:AH230"/>
    <mergeCell ref="AI230:AI231"/>
    <mergeCell ref="AJ230:AJ231"/>
    <mergeCell ref="AK230:AK231"/>
    <mergeCell ref="AL230:AL231"/>
    <mergeCell ref="AA230:AA231"/>
    <mergeCell ref="A230:A262"/>
    <mergeCell ref="B230:B231"/>
    <mergeCell ref="C230:C231"/>
    <mergeCell ref="D230:D231"/>
    <mergeCell ref="E230:E231"/>
    <mergeCell ref="F230:F231"/>
    <mergeCell ref="G230:G231"/>
    <mergeCell ref="H230:H231"/>
    <mergeCell ref="Z189:Z190"/>
    <mergeCell ref="R189:R190"/>
    <mergeCell ref="U189:U221"/>
    <mergeCell ref="V230:V231"/>
    <mergeCell ref="W230:W231"/>
    <mergeCell ref="X230:X231"/>
    <mergeCell ref="Y230:Y231"/>
    <mergeCell ref="Z230:Z231"/>
    <mergeCell ref="Q189:Q190"/>
    <mergeCell ref="I230:N230"/>
    <mergeCell ref="O230:O231"/>
    <mergeCell ref="P230:P231"/>
    <mergeCell ref="Q230:Q231"/>
    <mergeCell ref="R230:R231"/>
    <mergeCell ref="U230:U262"/>
    <mergeCell ref="A189:A221"/>
    <mergeCell ref="G271:G272"/>
    <mergeCell ref="H271:H272"/>
    <mergeCell ref="I271:N271"/>
    <mergeCell ref="O271:O272"/>
    <mergeCell ref="P271:P272"/>
    <mergeCell ref="Q271:Q272"/>
    <mergeCell ref="A271:A303"/>
    <mergeCell ref="B271:B272"/>
    <mergeCell ref="C271:C272"/>
    <mergeCell ref="D271:D272"/>
    <mergeCell ref="E271:E272"/>
    <mergeCell ref="F271:F272"/>
    <mergeCell ref="AK271:AK272"/>
    <mergeCell ref="AL271:AL272"/>
    <mergeCell ref="Z271:Z272"/>
    <mergeCell ref="AA271:AA272"/>
    <mergeCell ref="AB271:AB272"/>
    <mergeCell ref="AC271:AH271"/>
    <mergeCell ref="AI271:AI272"/>
    <mergeCell ref="AJ271:AJ272"/>
    <mergeCell ref="R271:R272"/>
    <mergeCell ref="U271:U303"/>
    <mergeCell ref="V271:V272"/>
    <mergeCell ref="W271:W272"/>
    <mergeCell ref="X271:X272"/>
    <mergeCell ref="Y271:Y272"/>
  </mergeCells>
  <conditionalFormatting sqref="D44:F44 C45:F46 I26:M26 O48:R48 C48:H48 G44:H46 C40:H43 I40:Q46 O30:R32 D30:H32 I30:N31 P27:R29 F27:F29 C27:C32 C33:R35 C47:Q47 C36:H37 R36:R47 O36:Q37">
    <cfRule type="cellIs" dxfId="818" priority="1650" operator="equal">
      <formula>0</formula>
    </cfRule>
  </conditionalFormatting>
  <conditionalFormatting sqref="O27:O32">
    <cfRule type="cellIs" dxfId="817" priority="1651" operator="equal">
      <formula>0</formula>
    </cfRule>
  </conditionalFormatting>
  <conditionalFormatting sqref="C27:D32 G27:H32">
    <cfRule type="cellIs" dxfId="816" priority="1652" operator="equal">
      <formula>0</formula>
    </cfRule>
  </conditionalFormatting>
  <conditionalFormatting sqref="E27:E32">
    <cfRule type="cellIs" dxfId="815" priority="1653" operator="equal">
      <formula>0</formula>
    </cfRule>
  </conditionalFormatting>
  <conditionalFormatting sqref="C44">
    <cfRule type="cellIs" dxfId="814" priority="1654" operator="equal">
      <formula>0</formula>
    </cfRule>
  </conditionalFormatting>
  <conditionalFormatting sqref="N26">
    <cfRule type="cellIs" dxfId="813" priority="1655" operator="equal">
      <formula>0</formula>
    </cfRule>
  </conditionalFormatting>
  <conditionalFormatting sqref="I30:I32 I48">
    <cfRule type="cellIs" dxfId="812" priority="1656" operator="equal">
      <formula>0</formula>
    </cfRule>
  </conditionalFormatting>
  <conditionalFormatting sqref="I27:I32 J27:N27">
    <cfRule type="cellIs" dxfId="811" priority="1657" operator="equal">
      <formula>0</formula>
    </cfRule>
  </conditionalFormatting>
  <conditionalFormatting sqref="J30:J32 J48">
    <cfRule type="cellIs" dxfId="810" priority="1658" operator="equal">
      <formula>0</formula>
    </cfRule>
  </conditionalFormatting>
  <conditionalFormatting sqref="J27:J32">
    <cfRule type="cellIs" dxfId="809" priority="1659" operator="equal">
      <formula>0</formula>
    </cfRule>
  </conditionalFormatting>
  <conditionalFormatting sqref="K30:K32 K48">
    <cfRule type="cellIs" dxfId="808" priority="1660" operator="equal">
      <formula>0</formula>
    </cfRule>
  </conditionalFormatting>
  <conditionalFormatting sqref="K27:K32">
    <cfRule type="cellIs" dxfId="807" priority="1661" operator="equal">
      <formula>0</formula>
    </cfRule>
  </conditionalFormatting>
  <conditionalFormatting sqref="L30:L32 L48">
    <cfRule type="cellIs" dxfId="806" priority="1662" operator="equal">
      <formula>0</formula>
    </cfRule>
  </conditionalFormatting>
  <conditionalFormatting sqref="L27:L32">
    <cfRule type="cellIs" dxfId="805" priority="1663" operator="equal">
      <formula>0</formula>
    </cfRule>
  </conditionalFormatting>
  <conditionalFormatting sqref="M30:M32 M48">
    <cfRule type="cellIs" dxfId="804" priority="1664" operator="equal">
      <formula>0</formula>
    </cfRule>
  </conditionalFormatting>
  <conditionalFormatting sqref="M27:M32">
    <cfRule type="cellIs" dxfId="803" priority="1665" operator="equal">
      <formula>0</formula>
    </cfRule>
  </conditionalFormatting>
  <conditionalFormatting sqref="N30:N32 N48">
    <cfRule type="cellIs" dxfId="802" priority="1666" operator="equal">
      <formula>0</formula>
    </cfRule>
  </conditionalFormatting>
  <conditionalFormatting sqref="N27:N32">
    <cfRule type="cellIs" dxfId="801" priority="1667" operator="equal">
      <formula>0</formula>
    </cfRule>
  </conditionalFormatting>
  <conditionalFormatting sqref="C35:R35 C40:Q47 C36:H37 R36:R47 O36:Q37 C27:R33">
    <cfRule type="expression" dxfId="800" priority="1668">
      <formula>LEN(TRIM(C27))=0</formula>
    </cfRule>
  </conditionalFormatting>
  <conditionalFormatting sqref="K30:K31">
    <cfRule type="cellIs" dxfId="799" priority="1669" operator="equal">
      <formula>0</formula>
    </cfRule>
  </conditionalFormatting>
  <conditionalFormatting sqref="L30:L31">
    <cfRule type="cellIs" dxfId="798" priority="1670" operator="equal">
      <formula>0</formula>
    </cfRule>
  </conditionalFormatting>
  <conditionalFormatting sqref="C38:Q39">
    <cfRule type="cellIs" dxfId="797" priority="1671" operator="equal">
      <formula>0</formula>
    </cfRule>
  </conditionalFormatting>
  <conditionalFormatting sqref="O38:O39">
    <cfRule type="cellIs" dxfId="796" priority="1672" operator="equal">
      <formula>0</formula>
    </cfRule>
  </conditionalFormatting>
  <conditionalFormatting sqref="C38:Q39">
    <cfRule type="expression" dxfId="795" priority="1673">
      <formula>LEN(TRIM(C38))=0</formula>
    </cfRule>
  </conditionalFormatting>
  <conditionalFormatting sqref="M30:N30">
    <cfRule type="cellIs" dxfId="794" priority="1674" operator="equal">
      <formula>0</formula>
    </cfRule>
  </conditionalFormatting>
  <conditionalFormatting sqref="M31:N31">
    <cfRule type="cellIs" dxfId="793" priority="1675" operator="equal">
      <formula>0</formula>
    </cfRule>
  </conditionalFormatting>
  <conditionalFormatting sqref="C50:Q55 R49:R54 R56 C49:H49 O49:Q49">
    <cfRule type="cellIs" dxfId="792" priority="1676" operator="equal">
      <formula>0</formula>
    </cfRule>
  </conditionalFormatting>
  <conditionalFormatting sqref="C56:Q56">
    <cfRule type="cellIs" dxfId="791" priority="1677" operator="equal">
      <formula>0</formula>
    </cfRule>
  </conditionalFormatting>
  <conditionalFormatting sqref="C50:R54 C56:R56 C55:Q55 C49:H49 O49:R49">
    <cfRule type="expression" dxfId="790" priority="1678">
      <formula>LEN(TRIM(C49))=0</formula>
    </cfRule>
  </conditionalFormatting>
  <conditionalFormatting sqref="C56:Q56">
    <cfRule type="cellIs" dxfId="789" priority="1679" operator="equal">
      <formula>0</formula>
    </cfRule>
  </conditionalFormatting>
  <conditionalFormatting sqref="C57:Q57">
    <cfRule type="cellIs" dxfId="788" priority="1680" operator="equal">
      <formula>0</formula>
    </cfRule>
  </conditionalFormatting>
  <conditionalFormatting sqref="C57:Q57">
    <cfRule type="expression" dxfId="787" priority="1681">
      <formula>LEN(TRIM(C57))=0</formula>
    </cfRule>
  </conditionalFormatting>
  <conditionalFormatting sqref="R57">
    <cfRule type="cellIs" dxfId="786" priority="1648" operator="equal">
      <formula>0</formula>
    </cfRule>
  </conditionalFormatting>
  <conditionalFormatting sqref="R57">
    <cfRule type="expression" dxfId="785" priority="1649">
      <formula>LEN(TRIM(R57))=0</formula>
    </cfRule>
  </conditionalFormatting>
  <conditionalFormatting sqref="R55">
    <cfRule type="cellIs" dxfId="784" priority="1646" operator="equal">
      <formula>0</formula>
    </cfRule>
  </conditionalFormatting>
  <conditionalFormatting sqref="R55">
    <cfRule type="expression" dxfId="783" priority="1647">
      <formula>LEN(TRIM(R55))=0</formula>
    </cfRule>
  </conditionalFormatting>
  <conditionalFormatting sqref="I49:N49">
    <cfRule type="cellIs" dxfId="782" priority="1644" operator="equal">
      <formula>0</formula>
    </cfRule>
  </conditionalFormatting>
  <conditionalFormatting sqref="I49:N49">
    <cfRule type="expression" dxfId="781" priority="1645">
      <formula>LEN(TRIM(I49))=0</formula>
    </cfRule>
  </conditionalFormatting>
  <conditionalFormatting sqref="I36:N37">
    <cfRule type="cellIs" dxfId="780" priority="1642" operator="equal">
      <formula>0</formula>
    </cfRule>
  </conditionalFormatting>
  <conditionalFormatting sqref="I36:N37">
    <cfRule type="expression" dxfId="779" priority="1643">
      <formula>LEN(TRIM(I36))=0</formula>
    </cfRule>
  </conditionalFormatting>
  <conditionalFormatting sqref="AC26:AG26">
    <cfRule type="cellIs" dxfId="778" priority="1610" operator="equal">
      <formula>0</formula>
    </cfRule>
  </conditionalFormatting>
  <conditionalFormatting sqref="AH26">
    <cfRule type="cellIs" dxfId="777" priority="1615" operator="equal">
      <formula>0</formula>
    </cfRule>
  </conditionalFormatting>
  <conditionalFormatting sqref="AC190:AG190">
    <cfRule type="cellIs" dxfId="776" priority="1215" operator="equal">
      <formula>0</formula>
    </cfRule>
  </conditionalFormatting>
  <conditionalFormatting sqref="AH190">
    <cfRule type="cellIs" dxfId="775" priority="1220" operator="equal">
      <formula>0</formula>
    </cfRule>
  </conditionalFormatting>
  <conditionalFormatting sqref="W38:AK39">
    <cfRule type="cellIs" dxfId="774" priority="1094" operator="equal">
      <formula>0</formula>
    </cfRule>
  </conditionalFormatting>
  <conditionalFormatting sqref="I67:M67">
    <cfRule type="cellIs" dxfId="773" priority="1570" operator="equal">
      <formula>0</formula>
    </cfRule>
  </conditionalFormatting>
  <conditionalFormatting sqref="N67">
    <cfRule type="cellIs" dxfId="772" priority="1575" operator="equal">
      <formula>0</formula>
    </cfRule>
  </conditionalFormatting>
  <conditionalFormatting sqref="I108:M108">
    <cfRule type="cellIs" dxfId="771" priority="1530" operator="equal">
      <formula>0</formula>
    </cfRule>
  </conditionalFormatting>
  <conditionalFormatting sqref="N108">
    <cfRule type="cellIs" dxfId="770" priority="1535" operator="equal">
      <formula>0</formula>
    </cfRule>
  </conditionalFormatting>
  <conditionalFormatting sqref="I149:M149">
    <cfRule type="cellIs" dxfId="769" priority="1490" operator="equal">
      <formula>0</formula>
    </cfRule>
  </conditionalFormatting>
  <conditionalFormatting sqref="N149">
    <cfRule type="cellIs" dxfId="768" priority="1495" operator="equal">
      <formula>0</formula>
    </cfRule>
  </conditionalFormatting>
  <conditionalFormatting sqref="AC149:AG149">
    <cfRule type="cellIs" dxfId="767" priority="1255" operator="equal">
      <formula>0</formula>
    </cfRule>
  </conditionalFormatting>
  <conditionalFormatting sqref="AH149">
    <cfRule type="cellIs" dxfId="766" priority="1260" operator="equal">
      <formula>0</formula>
    </cfRule>
  </conditionalFormatting>
  <conditionalFormatting sqref="I190:M190">
    <cfRule type="cellIs" dxfId="765" priority="1450" operator="equal">
      <formula>0</formula>
    </cfRule>
  </conditionalFormatting>
  <conditionalFormatting sqref="N190">
    <cfRule type="cellIs" dxfId="764" priority="1455" operator="equal">
      <formula>0</formula>
    </cfRule>
  </conditionalFormatting>
  <conditionalFormatting sqref="I231:M231">
    <cfRule type="cellIs" dxfId="763" priority="1410" operator="equal">
      <formula>0</formula>
    </cfRule>
  </conditionalFormatting>
  <conditionalFormatting sqref="N231">
    <cfRule type="cellIs" dxfId="762" priority="1415" operator="equal">
      <formula>0</formula>
    </cfRule>
  </conditionalFormatting>
  <conditionalFormatting sqref="AC108:AG108">
    <cfRule type="cellIs" dxfId="761" priority="1295" operator="equal">
      <formula>0</formula>
    </cfRule>
  </conditionalFormatting>
  <conditionalFormatting sqref="AH108">
    <cfRule type="cellIs" dxfId="760" priority="1300" operator="equal">
      <formula>0</formula>
    </cfRule>
  </conditionalFormatting>
  <conditionalFormatting sqref="I272:M272">
    <cfRule type="cellIs" dxfId="759" priority="1370" operator="equal">
      <formula>0</formula>
    </cfRule>
  </conditionalFormatting>
  <conditionalFormatting sqref="N272">
    <cfRule type="cellIs" dxfId="758" priority="1375" operator="equal">
      <formula>0</formula>
    </cfRule>
  </conditionalFormatting>
  <conditionalFormatting sqref="AC67:AH67">
    <cfRule type="cellIs" dxfId="757" priority="1331" operator="equal">
      <formula>0</formula>
    </cfRule>
  </conditionalFormatting>
  <conditionalFormatting sqref="V68:V73">
    <cfRule type="cellIs" dxfId="756" priority="1333" operator="equal">
      <formula>0</formula>
    </cfRule>
  </conditionalFormatting>
  <conditionalFormatting sqref="V79:V80">
    <cfRule type="cellIs" dxfId="755" priority="1351" operator="equal">
      <formula>0</formula>
    </cfRule>
  </conditionalFormatting>
  <conditionalFormatting sqref="V90:V96">
    <cfRule type="cellIs" dxfId="754" priority="1356" operator="equal">
      <formula>0</formula>
    </cfRule>
  </conditionalFormatting>
  <conditionalFormatting sqref="V97">
    <cfRule type="cellIs" dxfId="753" priority="1357" operator="equal">
      <formula>0</formula>
    </cfRule>
  </conditionalFormatting>
  <conditionalFormatting sqref="V98">
    <cfRule type="cellIs" dxfId="752" priority="1360" operator="equal">
      <formula>0</formula>
    </cfRule>
  </conditionalFormatting>
  <conditionalFormatting sqref="D85:F85 C86:F87 O89:R89 C89:H89 G85:H87 C81:H84 I81:Q87 O71:R73 D71:H73 I71:N72 P68:R70 F68:F70 C68:C73 C76:R76 P75:R75 C75:N75 C88:Q88 R77:R88 C74:R74 R69:R74 C78:Q78 O77:Q77">
    <cfRule type="cellIs" dxfId="751" priority="1043" operator="equal">
      <formula>0</formula>
    </cfRule>
  </conditionalFormatting>
  <conditionalFormatting sqref="O68:O73">
    <cfRule type="cellIs" dxfId="750" priority="1044" operator="equal">
      <formula>0</formula>
    </cfRule>
  </conditionalFormatting>
  <conditionalFormatting sqref="C68:D73 G68:H73">
    <cfRule type="cellIs" dxfId="749" priority="1045" operator="equal">
      <formula>0</formula>
    </cfRule>
  </conditionalFormatting>
  <conditionalFormatting sqref="E68:E73">
    <cfRule type="cellIs" dxfId="748" priority="1046" operator="equal">
      <formula>0</formula>
    </cfRule>
  </conditionalFormatting>
  <conditionalFormatting sqref="C85">
    <cfRule type="cellIs" dxfId="747" priority="1047" operator="equal">
      <formula>0</formula>
    </cfRule>
  </conditionalFormatting>
  <conditionalFormatting sqref="I71:I73 I89">
    <cfRule type="cellIs" dxfId="746" priority="1048" operator="equal">
      <formula>0</formula>
    </cfRule>
  </conditionalFormatting>
  <conditionalFormatting sqref="I70:I73 J68:N68">
    <cfRule type="cellIs" dxfId="745" priority="1049" operator="equal">
      <formula>0</formula>
    </cfRule>
  </conditionalFormatting>
  <conditionalFormatting sqref="J71:J73 J89">
    <cfRule type="cellIs" dxfId="744" priority="1050" operator="equal">
      <formula>0</formula>
    </cfRule>
  </conditionalFormatting>
  <conditionalFormatting sqref="J68:J73">
    <cfRule type="cellIs" dxfId="743" priority="1051" operator="equal">
      <formula>0</formula>
    </cfRule>
  </conditionalFormatting>
  <conditionalFormatting sqref="K71:K73 K89">
    <cfRule type="cellIs" dxfId="742" priority="1052" operator="equal">
      <formula>0</formula>
    </cfRule>
  </conditionalFormatting>
  <conditionalFormatting sqref="K68:K73">
    <cfRule type="cellIs" dxfId="741" priority="1053" operator="equal">
      <formula>0</formula>
    </cfRule>
  </conditionalFormatting>
  <conditionalFormatting sqref="L68:L73">
    <cfRule type="cellIs" dxfId="740" priority="1055" operator="equal">
      <formula>0</formula>
    </cfRule>
  </conditionalFormatting>
  <conditionalFormatting sqref="M71:M73 M89">
    <cfRule type="cellIs" dxfId="739" priority="1056" operator="equal">
      <formula>0</formula>
    </cfRule>
  </conditionalFormatting>
  <conditionalFormatting sqref="M68:M73">
    <cfRule type="cellIs" dxfId="738" priority="1057" operator="equal">
      <formula>0</formula>
    </cfRule>
  </conditionalFormatting>
  <conditionalFormatting sqref="N71:N73 N89">
    <cfRule type="cellIs" dxfId="737" priority="1058" operator="equal">
      <formula>0</formula>
    </cfRule>
  </conditionalFormatting>
  <conditionalFormatting sqref="K71:K72">
    <cfRule type="cellIs" dxfId="736" priority="1061" operator="equal">
      <formula>0</formula>
    </cfRule>
  </conditionalFormatting>
  <conditionalFormatting sqref="L71:L72">
    <cfRule type="cellIs" dxfId="735" priority="1062" operator="equal">
      <formula>0</formula>
    </cfRule>
  </conditionalFormatting>
  <conditionalFormatting sqref="C79:Q80">
    <cfRule type="cellIs" dxfId="734" priority="1063" operator="equal">
      <formula>0</formula>
    </cfRule>
  </conditionalFormatting>
  <conditionalFormatting sqref="M71:N71">
    <cfRule type="cellIs" dxfId="733" priority="1066" operator="equal">
      <formula>0</formula>
    </cfRule>
  </conditionalFormatting>
  <conditionalFormatting sqref="N68:N73">
    <cfRule type="cellIs" dxfId="732" priority="1059" operator="equal">
      <formula>0</formula>
    </cfRule>
  </conditionalFormatting>
  <conditionalFormatting sqref="O79:O80">
    <cfRule type="cellIs" dxfId="731" priority="1064" operator="equal">
      <formula>0</formula>
    </cfRule>
  </conditionalFormatting>
  <conditionalFormatting sqref="M72:N72">
    <cfRule type="cellIs" dxfId="730" priority="1067" operator="equal">
      <formula>0</formula>
    </cfRule>
  </conditionalFormatting>
  <conditionalFormatting sqref="R90:R97 C90:Q96">
    <cfRule type="cellIs" dxfId="729" priority="1068" operator="equal">
      <formula>0</formula>
    </cfRule>
  </conditionalFormatting>
  <conditionalFormatting sqref="C97:Q97">
    <cfRule type="cellIs" dxfId="728" priority="1069" operator="equal">
      <formula>0</formula>
    </cfRule>
  </conditionalFormatting>
  <conditionalFormatting sqref="C97:Q97">
    <cfRule type="cellIs" dxfId="727" priority="1071" operator="equal">
      <formula>0</formula>
    </cfRule>
  </conditionalFormatting>
  <conditionalFormatting sqref="C98:Q98">
    <cfRule type="cellIs" dxfId="726" priority="1072" operator="equal">
      <formula>0</formula>
    </cfRule>
  </conditionalFormatting>
  <conditionalFormatting sqref="X44:Z44 W45:Z46 AI48:AL48 W48:AB48 AA44:AB46 W40:AB43 AC40:AK46 AI30:AL32 X30:AB32 AC30:AH31 AJ27:AL29 Z27:Z29 W27:W32 W47:AL47 AL36:AL46 W33:AL33 W35:AL35 AJ34:AL34 W34:AH34 W36:AK37">
    <cfRule type="cellIs" dxfId="725" priority="1074" operator="equal">
      <formula>0</formula>
    </cfRule>
  </conditionalFormatting>
  <conditionalFormatting sqref="AI27:AI32">
    <cfRule type="cellIs" dxfId="724" priority="1075" operator="equal">
      <formula>0</formula>
    </cfRule>
  </conditionalFormatting>
  <conditionalFormatting sqref="Y27:Y32">
    <cfRule type="cellIs" dxfId="723" priority="1077" operator="equal">
      <formula>0</formula>
    </cfRule>
  </conditionalFormatting>
  <conditionalFormatting sqref="W44">
    <cfRule type="cellIs" dxfId="722" priority="1078" operator="equal">
      <formula>0</formula>
    </cfRule>
  </conditionalFormatting>
  <conditionalFormatting sqref="AC30:AC32 AC48">
    <cfRule type="cellIs" dxfId="721" priority="1079" operator="equal">
      <formula>0</formula>
    </cfRule>
  </conditionalFormatting>
  <conditionalFormatting sqref="AC27:AC32 AD27:AH27">
    <cfRule type="cellIs" dxfId="720" priority="1080" operator="equal">
      <formula>0</formula>
    </cfRule>
  </conditionalFormatting>
  <conditionalFormatting sqref="AD27:AD32">
    <cfRule type="cellIs" dxfId="719" priority="1082" operator="equal">
      <formula>0</formula>
    </cfRule>
  </conditionalFormatting>
  <conditionalFormatting sqref="AE30:AE32 AE48">
    <cfRule type="cellIs" dxfId="718" priority="1083" operator="equal">
      <formula>0</formula>
    </cfRule>
  </conditionalFormatting>
  <conditionalFormatting sqref="AE27:AE32">
    <cfRule type="cellIs" dxfId="717" priority="1084" operator="equal">
      <formula>0</formula>
    </cfRule>
  </conditionalFormatting>
  <conditionalFormatting sqref="AF30:AF32 AF48">
    <cfRule type="cellIs" dxfId="716" priority="1085" operator="equal">
      <formula>0</formula>
    </cfRule>
  </conditionalFormatting>
  <conditionalFormatting sqref="AG30:AG32 AG48">
    <cfRule type="cellIs" dxfId="715" priority="1087" operator="equal">
      <formula>0</formula>
    </cfRule>
  </conditionalFormatting>
  <conditionalFormatting sqref="AG27:AG32">
    <cfRule type="cellIs" dxfId="714" priority="1088" operator="equal">
      <formula>0</formula>
    </cfRule>
  </conditionalFormatting>
  <conditionalFormatting sqref="L71:L73 L89">
    <cfRule type="cellIs" dxfId="713" priority="1054" operator="equal">
      <formula>0</formula>
    </cfRule>
  </conditionalFormatting>
  <conditionalFormatting sqref="AC231:AG231">
    <cfRule type="cellIs" dxfId="712" priority="1175" operator="equal">
      <formula>0</formula>
    </cfRule>
  </conditionalFormatting>
  <conditionalFormatting sqref="AD30:AD32 AD48">
    <cfRule type="cellIs" dxfId="711" priority="1081" operator="equal">
      <formula>0</formula>
    </cfRule>
  </conditionalFormatting>
  <conditionalFormatting sqref="AH231">
    <cfRule type="cellIs" dxfId="710" priority="1180" operator="equal">
      <formula>0</formula>
    </cfRule>
  </conditionalFormatting>
  <conditionalFormatting sqref="AF27:AF32">
    <cfRule type="cellIs" dxfId="709" priority="1086" operator="equal">
      <formula>0</formula>
    </cfRule>
  </conditionalFormatting>
  <conditionalFormatting sqref="AH30:AH32 AH48">
    <cfRule type="cellIs" dxfId="708" priority="1089" operator="equal">
      <formula>0</formula>
    </cfRule>
  </conditionalFormatting>
  <conditionalFormatting sqref="AH27:AH32">
    <cfRule type="cellIs" dxfId="707" priority="1090" operator="equal">
      <formula>0</formula>
    </cfRule>
  </conditionalFormatting>
  <conditionalFormatting sqref="AE30:AE31">
    <cfRule type="cellIs" dxfId="706" priority="1092" operator="equal">
      <formula>0</formula>
    </cfRule>
  </conditionalFormatting>
  <conditionalFormatting sqref="AF30:AF31">
    <cfRule type="cellIs" dxfId="705" priority="1093" operator="equal">
      <formula>0</formula>
    </cfRule>
  </conditionalFormatting>
  <conditionalFormatting sqref="AI38:AI39">
    <cfRule type="cellIs" dxfId="704" priority="1095" operator="equal">
      <formula>0</formula>
    </cfRule>
  </conditionalFormatting>
  <conditionalFormatting sqref="AG30:AH30">
    <cfRule type="cellIs" dxfId="703" priority="1097" operator="equal">
      <formula>0</formula>
    </cfRule>
  </conditionalFormatting>
  <conditionalFormatting sqref="AL49:AL56 W49:AK55">
    <cfRule type="cellIs" dxfId="702" priority="1099" operator="equal">
      <formula>0</formula>
    </cfRule>
  </conditionalFormatting>
  <conditionalFormatting sqref="W56:AK56">
    <cfRule type="cellIs" dxfId="701" priority="1100" operator="equal">
      <formula>0</formula>
    </cfRule>
  </conditionalFormatting>
  <conditionalFormatting sqref="W56:AK56">
    <cfRule type="cellIs" dxfId="700" priority="1102" operator="equal">
      <formula>0</formula>
    </cfRule>
  </conditionalFormatting>
  <conditionalFormatting sqref="W27:X32 AA27:AB32">
    <cfRule type="cellIs" dxfId="699" priority="1076" operator="equal">
      <formula>0</formula>
    </cfRule>
  </conditionalFormatting>
  <conditionalFormatting sqref="C98:Q98">
    <cfRule type="expression" dxfId="698" priority="1073">
      <formula>LEN(TRIM(C98))=0</formula>
    </cfRule>
  </conditionalFormatting>
  <conditionalFormatting sqref="AC272:AG272">
    <cfRule type="cellIs" dxfId="697" priority="1135" operator="equal">
      <formula>0</formula>
    </cfRule>
  </conditionalFormatting>
  <conditionalFormatting sqref="W57:AL57">
    <cfRule type="cellIs" dxfId="696" priority="1103" operator="equal">
      <formula>0</formula>
    </cfRule>
  </conditionalFormatting>
  <conditionalFormatting sqref="AH272">
    <cfRule type="cellIs" dxfId="695" priority="1140" operator="equal">
      <formula>0</formula>
    </cfRule>
  </conditionalFormatting>
  <conditionalFormatting sqref="AH67">
    <cfRule type="cellIs" dxfId="694" priority="1112" operator="equal">
      <formula>0</formula>
    </cfRule>
  </conditionalFormatting>
  <conditionalFormatting sqref="W49:AL56">
    <cfRule type="expression" dxfId="693" priority="1101">
      <formula>LEN(TRIM(W49))=0</formula>
    </cfRule>
  </conditionalFormatting>
  <conditionalFormatting sqref="AG31:AH31">
    <cfRule type="cellIs" dxfId="692" priority="1098" operator="equal">
      <formula>0</formula>
    </cfRule>
  </conditionalFormatting>
  <conditionalFormatting sqref="R98">
    <cfRule type="cellIs" dxfId="691" priority="700" operator="equal">
      <formula>0</formula>
    </cfRule>
  </conditionalFormatting>
  <conditionalFormatting sqref="W35:AL35 W40:AK46 W27:AL33 W47:AL47 AL36:AL46 W36:AK37">
    <cfRule type="expression" dxfId="690" priority="1091">
      <formula>LEN(TRIM(W27))=0</formula>
    </cfRule>
  </conditionalFormatting>
  <conditionalFormatting sqref="W38:AK39">
    <cfRule type="expression" dxfId="689" priority="1096">
      <formula>LEN(TRIM(W38))=0</formula>
    </cfRule>
  </conditionalFormatting>
  <conditionalFormatting sqref="W57:AL57">
    <cfRule type="expression" dxfId="688" priority="1104">
      <formula>LEN(TRIM(W57))=0</formula>
    </cfRule>
  </conditionalFormatting>
  <conditionalFormatting sqref="C76:R76 C81:Q88 R77:R88 C70:R74 C78:Q78 C68:H69 J68:R69 O77:Q77">
    <cfRule type="expression" dxfId="687" priority="1060">
      <formula>LEN(TRIM(C68))=0</formula>
    </cfRule>
  </conditionalFormatting>
  <conditionalFormatting sqref="C79:Q80">
    <cfRule type="expression" dxfId="686" priority="1065">
      <formula>LEN(TRIM(C79))=0</formula>
    </cfRule>
  </conditionalFormatting>
  <conditionalFormatting sqref="C90:R97">
    <cfRule type="expression" dxfId="685" priority="1070">
      <formula>LEN(TRIM(C90))=0</formula>
    </cfRule>
  </conditionalFormatting>
  <conditionalFormatting sqref="R98">
    <cfRule type="expression" dxfId="684" priority="701">
      <formula>LEN(TRIM(R98))=0</formula>
    </cfRule>
  </conditionalFormatting>
  <conditionalFormatting sqref="X85:Z85 W86:Z87 AI89:AL89 W89:AB89 AA85:AB87 W81:AB84 AC81:AK85 AI71:AL73 X73:AB73 AF71:AH72 AJ68:AL70 W68:W73 W76:AL76 AJ75:AL75 W75:AH75 W88:AK88 AL77:AL88 W74:AL74 AC86:AH87 AK86:AK87 W78:AK78 AI77:AK77 X71:X72">
    <cfRule type="cellIs" dxfId="683" priority="669" operator="equal">
      <formula>0</formula>
    </cfRule>
  </conditionalFormatting>
  <conditionalFormatting sqref="AI68:AI73">
    <cfRule type="cellIs" dxfId="682" priority="670" operator="equal">
      <formula>0</formula>
    </cfRule>
  </conditionalFormatting>
  <conditionalFormatting sqref="W68:X73 AA73:AB73">
    <cfRule type="cellIs" dxfId="681" priority="671" operator="equal">
      <formula>0</formula>
    </cfRule>
  </conditionalFormatting>
  <conditionalFormatting sqref="Y73">
    <cfRule type="cellIs" dxfId="680" priority="672" operator="equal">
      <formula>0</formula>
    </cfRule>
  </conditionalFormatting>
  <conditionalFormatting sqref="W85">
    <cfRule type="cellIs" dxfId="679" priority="673" operator="equal">
      <formula>0</formula>
    </cfRule>
  </conditionalFormatting>
  <conditionalFormatting sqref="AC73 AC89">
    <cfRule type="cellIs" dxfId="678" priority="674" operator="equal">
      <formula>0</formula>
    </cfRule>
  </conditionalFormatting>
  <conditionalFormatting sqref="AC73 AF68:AH68">
    <cfRule type="cellIs" dxfId="677" priority="675" operator="equal">
      <formula>0</formula>
    </cfRule>
  </conditionalFormatting>
  <conditionalFormatting sqref="AD73 AD89">
    <cfRule type="cellIs" dxfId="676" priority="676" operator="equal">
      <formula>0</formula>
    </cfRule>
  </conditionalFormatting>
  <conditionalFormatting sqref="AD73">
    <cfRule type="cellIs" dxfId="675" priority="677" operator="equal">
      <formula>0</formula>
    </cfRule>
  </conditionalFormatting>
  <conditionalFormatting sqref="AE73 AE89">
    <cfRule type="cellIs" dxfId="674" priority="678" operator="equal">
      <formula>0</formula>
    </cfRule>
  </conditionalFormatting>
  <conditionalFormatting sqref="AE73">
    <cfRule type="cellIs" dxfId="673" priority="679" operator="equal">
      <formula>0</formula>
    </cfRule>
  </conditionalFormatting>
  <conditionalFormatting sqref="AF68:AF73">
    <cfRule type="cellIs" dxfId="672" priority="681" operator="equal">
      <formula>0</formula>
    </cfRule>
  </conditionalFormatting>
  <conditionalFormatting sqref="AG71:AG73 AG89">
    <cfRule type="cellIs" dxfId="671" priority="682" operator="equal">
      <formula>0</formula>
    </cfRule>
  </conditionalFormatting>
  <conditionalFormatting sqref="AG68:AG73">
    <cfRule type="cellIs" dxfId="670" priority="683" operator="equal">
      <formula>0</formula>
    </cfRule>
  </conditionalFormatting>
  <conditionalFormatting sqref="AH71:AH73 AH89">
    <cfRule type="cellIs" dxfId="669" priority="684" operator="equal">
      <formula>0</formula>
    </cfRule>
  </conditionalFormatting>
  <conditionalFormatting sqref="AF71:AF72">
    <cfRule type="cellIs" dxfId="667" priority="688" operator="equal">
      <formula>0</formula>
    </cfRule>
  </conditionalFormatting>
  <conditionalFormatting sqref="W79:AK80">
    <cfRule type="cellIs" dxfId="666" priority="689" operator="equal">
      <formula>0</formula>
    </cfRule>
  </conditionalFormatting>
  <conditionalFormatting sqref="AG71:AH71">
    <cfRule type="cellIs" dxfId="665" priority="692" operator="equal">
      <formula>0</formula>
    </cfRule>
  </conditionalFormatting>
  <conditionalFormatting sqref="AH68:AH73">
    <cfRule type="cellIs" dxfId="664" priority="685" operator="equal">
      <formula>0</formula>
    </cfRule>
  </conditionalFormatting>
  <conditionalFormatting sqref="AI79:AI80">
    <cfRule type="cellIs" dxfId="663" priority="690" operator="equal">
      <formula>0</formula>
    </cfRule>
  </conditionalFormatting>
  <conditionalFormatting sqref="AG72:AH72">
    <cfRule type="cellIs" dxfId="662" priority="693" operator="equal">
      <formula>0</formula>
    </cfRule>
  </conditionalFormatting>
  <conditionalFormatting sqref="AL90:AL97 W94:AK96 W90:AB90 AI90:AK90 AI92:AK93 AJ91:AK91 W92:AB93">
    <cfRule type="cellIs" dxfId="661" priority="694" operator="equal">
      <formula>0</formula>
    </cfRule>
  </conditionalFormatting>
  <conditionalFormatting sqref="W97:AK97">
    <cfRule type="cellIs" dxfId="660" priority="695" operator="equal">
      <formula>0</formula>
    </cfRule>
  </conditionalFormatting>
  <conditionalFormatting sqref="W97:AK97">
    <cfRule type="cellIs" dxfId="659" priority="697" operator="equal">
      <formula>0</formula>
    </cfRule>
  </conditionalFormatting>
  <conditionalFormatting sqref="W98:AK98">
    <cfRule type="cellIs" dxfId="658" priority="698" operator="equal">
      <formula>0</formula>
    </cfRule>
  </conditionalFormatting>
  <conditionalFormatting sqref="AF71:AF73 AF89">
    <cfRule type="cellIs" dxfId="657" priority="680" operator="equal">
      <formula>0</formula>
    </cfRule>
  </conditionalFormatting>
  <conditionalFormatting sqref="W98:AK98">
    <cfRule type="expression" dxfId="656" priority="699">
      <formula>LEN(TRIM(W98))=0</formula>
    </cfRule>
  </conditionalFormatting>
  <conditionalFormatting sqref="AL98">
    <cfRule type="cellIs" dxfId="655" priority="667" operator="equal">
      <formula>0</formula>
    </cfRule>
  </conditionalFormatting>
  <conditionalFormatting sqref="W76:AL76 W81:AK85 AL77:AL88 W73:AL74 W88:AK88 W86:AH87 AK86:AK87 W78:AK78 AI77:AK77 W68:X72 AF68:AL72">
    <cfRule type="expression" dxfId="654" priority="686">
      <formula>LEN(TRIM(W68))=0</formula>
    </cfRule>
  </conditionalFormatting>
  <conditionalFormatting sqref="W79:AK80">
    <cfRule type="expression" dxfId="653" priority="691">
      <formula>LEN(TRIM(W79))=0</formula>
    </cfRule>
  </conditionalFormatting>
  <conditionalFormatting sqref="W94:AL97 W90:AB90 AI90:AL90 AI92:AL93 AJ91:AL91 W92:AB93">
    <cfRule type="expression" dxfId="652" priority="696">
      <formula>LEN(TRIM(W90))=0</formula>
    </cfRule>
  </conditionalFormatting>
  <conditionalFormatting sqref="AL98">
    <cfRule type="expression" dxfId="651" priority="668">
      <formula>LEN(TRIM(AL98))=0</formula>
    </cfRule>
  </conditionalFormatting>
  <conditionalFormatting sqref="D126:F126 C127:F128 O130:R130 C130:H130 G126:H128 C122:H125 I122:Q126 O112:R114 D114:H114 P109:R111 F109:F111 C109:C114 C117:R117 P116:R116 C116:N116 C129:Q129 R118:R129 C115:R115 I127:N128 Q127:Q128 C119:Q119 O118:Q118 D112:D113 F112:N113">
    <cfRule type="cellIs" dxfId="650" priority="603" operator="equal">
      <formula>0</formula>
    </cfRule>
  </conditionalFormatting>
  <conditionalFormatting sqref="O109:O114">
    <cfRule type="cellIs" dxfId="649" priority="604" operator="equal">
      <formula>0</formula>
    </cfRule>
  </conditionalFormatting>
  <conditionalFormatting sqref="C109:D114 G109:H114">
    <cfRule type="cellIs" dxfId="648" priority="605" operator="equal">
      <formula>0</formula>
    </cfRule>
  </conditionalFormatting>
  <conditionalFormatting sqref="E109 E114">
    <cfRule type="cellIs" dxfId="647" priority="606" operator="equal">
      <formula>0</formula>
    </cfRule>
  </conditionalFormatting>
  <conditionalFormatting sqref="C126">
    <cfRule type="cellIs" dxfId="646" priority="607" operator="equal">
      <formula>0</formula>
    </cfRule>
  </conditionalFormatting>
  <conditionalFormatting sqref="I112:I114 I130">
    <cfRule type="cellIs" dxfId="645" priority="608" operator="equal">
      <formula>0</formula>
    </cfRule>
  </conditionalFormatting>
  <conditionalFormatting sqref="I111:I114 J109:N109">
    <cfRule type="cellIs" dxfId="644" priority="609" operator="equal">
      <formula>0</formula>
    </cfRule>
  </conditionalFormatting>
  <conditionalFormatting sqref="J112:J114 J130">
    <cfRule type="cellIs" dxfId="643" priority="610" operator="equal">
      <formula>0</formula>
    </cfRule>
  </conditionalFormatting>
  <conditionalFormatting sqref="J109:J114">
    <cfRule type="cellIs" dxfId="642" priority="611" operator="equal">
      <formula>0</formula>
    </cfRule>
  </conditionalFormatting>
  <conditionalFormatting sqref="K112:K114 K130">
    <cfRule type="cellIs" dxfId="641" priority="612" operator="equal">
      <formula>0</formula>
    </cfRule>
  </conditionalFormatting>
  <conditionalFormatting sqref="K109:K114">
    <cfRule type="cellIs" dxfId="640" priority="613" operator="equal">
      <formula>0</formula>
    </cfRule>
  </conditionalFormatting>
  <conditionalFormatting sqref="L109:L114">
    <cfRule type="cellIs" dxfId="639" priority="615" operator="equal">
      <formula>0</formula>
    </cfRule>
  </conditionalFormatting>
  <conditionalFormatting sqref="M112:M114 M130">
    <cfRule type="cellIs" dxfId="638" priority="616" operator="equal">
      <formula>0</formula>
    </cfRule>
  </conditionalFormatting>
  <conditionalFormatting sqref="M109:M114">
    <cfRule type="cellIs" dxfId="637" priority="617" operator="equal">
      <formula>0</formula>
    </cfRule>
  </conditionalFormatting>
  <conditionalFormatting sqref="N112:N114 N130">
    <cfRule type="cellIs" dxfId="636" priority="618" operator="equal">
      <formula>0</formula>
    </cfRule>
  </conditionalFormatting>
  <conditionalFormatting sqref="K112:K113">
    <cfRule type="cellIs" dxfId="635" priority="621" operator="equal">
      <formula>0</formula>
    </cfRule>
  </conditionalFormatting>
  <conditionalFormatting sqref="L112:L113">
    <cfRule type="cellIs" dxfId="634" priority="622" operator="equal">
      <formula>0</formula>
    </cfRule>
  </conditionalFormatting>
  <conditionalFormatting sqref="C120:Q121">
    <cfRule type="cellIs" dxfId="633" priority="623" operator="equal">
      <formula>0</formula>
    </cfRule>
  </conditionalFormatting>
  <conditionalFormatting sqref="M112:N112">
    <cfRule type="cellIs" dxfId="632" priority="626" operator="equal">
      <formula>0</formula>
    </cfRule>
  </conditionalFormatting>
  <conditionalFormatting sqref="N109:N114">
    <cfRule type="cellIs" dxfId="631" priority="619" operator="equal">
      <formula>0</formula>
    </cfRule>
  </conditionalFormatting>
  <conditionalFormatting sqref="O120:O121">
    <cfRule type="cellIs" dxfId="630" priority="624" operator="equal">
      <formula>0</formula>
    </cfRule>
  </conditionalFormatting>
  <conditionalFormatting sqref="M113:N113">
    <cfRule type="cellIs" dxfId="629" priority="627" operator="equal">
      <formula>0</formula>
    </cfRule>
  </conditionalFormatting>
  <conditionalFormatting sqref="R131:R138 C137:Q137 C131:H136 O131:Q136">
    <cfRule type="cellIs" dxfId="628" priority="628" operator="equal">
      <formula>0</formula>
    </cfRule>
  </conditionalFormatting>
  <conditionalFormatting sqref="C138:Q138">
    <cfRule type="cellIs" dxfId="627" priority="629" operator="equal">
      <formula>0</formula>
    </cfRule>
  </conditionalFormatting>
  <conditionalFormatting sqref="C138:Q138">
    <cfRule type="cellIs" dxfId="626" priority="631" operator="equal">
      <formula>0</formula>
    </cfRule>
  </conditionalFormatting>
  <conditionalFormatting sqref="C139:Q139">
    <cfRule type="cellIs" dxfId="625" priority="632" operator="equal">
      <formula>0</formula>
    </cfRule>
  </conditionalFormatting>
  <conditionalFormatting sqref="L112:L114 L130">
    <cfRule type="cellIs" dxfId="624" priority="614" operator="equal">
      <formula>0</formula>
    </cfRule>
  </conditionalFormatting>
  <conditionalFormatting sqref="C139:Q139">
    <cfRule type="expression" dxfId="623" priority="633">
      <formula>LEN(TRIM(C139))=0</formula>
    </cfRule>
  </conditionalFormatting>
  <conditionalFormatting sqref="R139">
    <cfRule type="cellIs" dxfId="622" priority="601" operator="equal">
      <formula>0</formula>
    </cfRule>
  </conditionalFormatting>
  <conditionalFormatting sqref="C117:R117 C122:Q126 R118:R129 C114:R115 C129:Q129 C127:N128 Q127:Q128 C119:Q119 C109:H109 J109:R110 O118:Q118 F110:H110 C110:D113 F111:R113">
    <cfRule type="expression" dxfId="621" priority="620">
      <formula>LEN(TRIM(C109))=0</formula>
    </cfRule>
  </conditionalFormatting>
  <conditionalFormatting sqref="C120:Q121">
    <cfRule type="expression" dxfId="620" priority="625">
      <formula>LEN(TRIM(C120))=0</formula>
    </cfRule>
  </conditionalFormatting>
  <conditionalFormatting sqref="C137:R138 C131:H136 O131:R136">
    <cfRule type="expression" dxfId="619" priority="630">
      <formula>LEN(TRIM(C131))=0</formula>
    </cfRule>
  </conditionalFormatting>
  <conditionalFormatting sqref="R139">
    <cfRule type="expression" dxfId="618" priority="602">
      <formula>LEN(TRIM(R139))=0</formula>
    </cfRule>
  </conditionalFormatting>
  <conditionalFormatting sqref="O127:P128">
    <cfRule type="cellIs" dxfId="617" priority="599" operator="equal">
      <formula>0</formula>
    </cfRule>
  </conditionalFormatting>
  <conditionalFormatting sqref="O127:P128">
    <cfRule type="expression" dxfId="616" priority="600">
      <formula>LEN(TRIM(O127))=0</formula>
    </cfRule>
  </conditionalFormatting>
  <conditionalFormatting sqref="D167:F167 C168:F169 O171:R171 C171:H171 G167:H169 C163:H166 I163:Q167 O153:R155 D155:H155 P150:R152 F150:F152 C150:C155 C158:R158 P157:R157 C157:N157 C170:Q170 R159:R170 C156:R156 I168:N169 Q168:Q169 C160:Q160 O159:Q159 D153:D154 F153:N154">
    <cfRule type="cellIs" dxfId="615" priority="568" operator="equal">
      <formula>0</formula>
    </cfRule>
  </conditionalFormatting>
  <conditionalFormatting sqref="O150:O155">
    <cfRule type="cellIs" dxfId="614" priority="569" operator="equal">
      <formula>0</formula>
    </cfRule>
  </conditionalFormatting>
  <conditionalFormatting sqref="C150:D155 G150:H155">
    <cfRule type="cellIs" dxfId="613" priority="570" operator="equal">
      <formula>0</formula>
    </cfRule>
  </conditionalFormatting>
  <conditionalFormatting sqref="E150 E155">
    <cfRule type="cellIs" dxfId="612" priority="571" operator="equal">
      <formula>0</formula>
    </cfRule>
  </conditionalFormatting>
  <conditionalFormatting sqref="C167">
    <cfRule type="cellIs" dxfId="611" priority="572" operator="equal">
      <formula>0</formula>
    </cfRule>
  </conditionalFormatting>
  <conditionalFormatting sqref="I153:I155 I171">
    <cfRule type="cellIs" dxfId="610" priority="573" operator="equal">
      <formula>0</formula>
    </cfRule>
  </conditionalFormatting>
  <conditionalFormatting sqref="I152:I155 J150:N150">
    <cfRule type="cellIs" dxfId="609" priority="574" operator="equal">
      <formula>0</formula>
    </cfRule>
  </conditionalFormatting>
  <conditionalFormatting sqref="J153:J155 J171">
    <cfRule type="cellIs" dxfId="608" priority="575" operator="equal">
      <formula>0</formula>
    </cfRule>
  </conditionalFormatting>
  <conditionalFormatting sqref="J150:J155">
    <cfRule type="cellIs" dxfId="607" priority="576" operator="equal">
      <formula>0</formula>
    </cfRule>
  </conditionalFormatting>
  <conditionalFormatting sqref="K153:K155 K171">
    <cfRule type="cellIs" dxfId="606" priority="577" operator="equal">
      <formula>0</formula>
    </cfRule>
  </conditionalFormatting>
  <conditionalFormatting sqref="K150:K155">
    <cfRule type="cellIs" dxfId="605" priority="578" operator="equal">
      <formula>0</formula>
    </cfRule>
  </conditionalFormatting>
  <conditionalFormatting sqref="L150:L155">
    <cfRule type="cellIs" dxfId="604" priority="580" operator="equal">
      <formula>0</formula>
    </cfRule>
  </conditionalFormatting>
  <conditionalFormatting sqref="M153:M155 M171">
    <cfRule type="cellIs" dxfId="603" priority="581" operator="equal">
      <formula>0</formula>
    </cfRule>
  </conditionalFormatting>
  <conditionalFormatting sqref="M150:M155">
    <cfRule type="cellIs" dxfId="602" priority="582" operator="equal">
      <formula>0</formula>
    </cfRule>
  </conditionalFormatting>
  <conditionalFormatting sqref="N153:N155 N171">
    <cfRule type="cellIs" dxfId="601" priority="583" operator="equal">
      <formula>0</formula>
    </cfRule>
  </conditionalFormatting>
  <conditionalFormatting sqref="K153:K154">
    <cfRule type="cellIs" dxfId="600" priority="586" operator="equal">
      <formula>0</formula>
    </cfRule>
  </conditionalFormatting>
  <conditionalFormatting sqref="L153:L154">
    <cfRule type="cellIs" dxfId="599" priority="587" operator="equal">
      <formula>0</formula>
    </cfRule>
  </conditionalFormatting>
  <conditionalFormatting sqref="C161:Q162">
    <cfRule type="cellIs" dxfId="598" priority="588" operator="equal">
      <formula>0</formula>
    </cfRule>
  </conditionalFormatting>
  <conditionalFormatting sqref="M153:N153">
    <cfRule type="cellIs" dxfId="597" priority="591" operator="equal">
      <formula>0</formula>
    </cfRule>
  </conditionalFormatting>
  <conditionalFormatting sqref="N150:N155">
    <cfRule type="cellIs" dxfId="596" priority="584" operator="equal">
      <formula>0</formula>
    </cfRule>
  </conditionalFormatting>
  <conditionalFormatting sqref="O161:O162">
    <cfRule type="cellIs" dxfId="595" priority="589" operator="equal">
      <formula>0</formula>
    </cfRule>
  </conditionalFormatting>
  <conditionalFormatting sqref="M154:N154">
    <cfRule type="cellIs" dxfId="594" priority="592" operator="equal">
      <formula>0</formula>
    </cfRule>
  </conditionalFormatting>
  <conditionalFormatting sqref="R172:R179 C178:Q178 C172:H177 O172:Q177">
    <cfRule type="cellIs" dxfId="593" priority="593" operator="equal">
      <formula>0</formula>
    </cfRule>
  </conditionalFormatting>
  <conditionalFormatting sqref="C179:Q179">
    <cfRule type="cellIs" dxfId="592" priority="594" operator="equal">
      <formula>0</formula>
    </cfRule>
  </conditionalFormatting>
  <conditionalFormatting sqref="C179:Q179">
    <cfRule type="cellIs" dxfId="591" priority="596" operator="equal">
      <formula>0</formula>
    </cfRule>
  </conditionalFormatting>
  <conditionalFormatting sqref="C180:Q180">
    <cfRule type="cellIs" dxfId="590" priority="597" operator="equal">
      <formula>0</formula>
    </cfRule>
  </conditionalFormatting>
  <conditionalFormatting sqref="L153:L155 L171">
    <cfRule type="cellIs" dxfId="589" priority="579" operator="equal">
      <formula>0</formula>
    </cfRule>
  </conditionalFormatting>
  <conditionalFormatting sqref="C180:Q180">
    <cfRule type="expression" dxfId="588" priority="598">
      <formula>LEN(TRIM(C180))=0</formula>
    </cfRule>
  </conditionalFormatting>
  <conditionalFormatting sqref="R180">
    <cfRule type="cellIs" dxfId="587" priority="566" operator="equal">
      <formula>0</formula>
    </cfRule>
  </conditionalFormatting>
  <conditionalFormatting sqref="C158:R158 C163:Q167 R159:R170 C155:R156 C170:Q170 C168:N169 Q168:Q169 C160:Q160 C150:H150 J150:R151 O159:Q159 F151:H151 C151:D154 F152:R154">
    <cfRule type="expression" dxfId="586" priority="585">
      <formula>LEN(TRIM(C150))=0</formula>
    </cfRule>
  </conditionalFormatting>
  <conditionalFormatting sqref="C161:Q162">
    <cfRule type="expression" dxfId="585" priority="590">
      <formula>LEN(TRIM(C161))=0</formula>
    </cfRule>
  </conditionalFormatting>
  <conditionalFormatting sqref="C178:R179 C172:H177 O172:R177">
    <cfRule type="expression" dxfId="584" priority="595">
      <formula>LEN(TRIM(C172))=0</formula>
    </cfRule>
  </conditionalFormatting>
  <conditionalFormatting sqref="R180">
    <cfRule type="expression" dxfId="583" priority="567">
      <formula>LEN(TRIM(R180))=0</formula>
    </cfRule>
  </conditionalFormatting>
  <conditionalFormatting sqref="O168:P169">
    <cfRule type="cellIs" dxfId="582" priority="564" operator="equal">
      <formula>0</formula>
    </cfRule>
  </conditionalFormatting>
  <conditionalFormatting sqref="O168:P169">
    <cfRule type="expression" dxfId="581" priority="565">
      <formula>LEN(TRIM(O168))=0</formula>
    </cfRule>
  </conditionalFormatting>
  <conditionalFormatting sqref="D208:F208 C209:F210 O212:R212 C212:H212 G208:H210 C204:H207 I204:Q208 O194:R196 D196:H196 P191:R193 F191:F193 C191:C196 C199:R199 P198:R198 C198:N198 C211:Q211 R200:R211 C197:R197 I209:N210 Q209:Q210 C201:Q201 O200:Q200 D194:D195 F194:N195">
    <cfRule type="cellIs" dxfId="580" priority="533" operator="equal">
      <formula>0</formula>
    </cfRule>
  </conditionalFormatting>
  <conditionalFormatting sqref="O191:O196">
    <cfRule type="cellIs" dxfId="579" priority="534" operator="equal">
      <formula>0</formula>
    </cfRule>
  </conditionalFormatting>
  <conditionalFormatting sqref="C191:D196 G191:H196">
    <cfRule type="cellIs" dxfId="578" priority="535" operator="equal">
      <formula>0</formula>
    </cfRule>
  </conditionalFormatting>
  <conditionalFormatting sqref="E191 E196">
    <cfRule type="cellIs" dxfId="577" priority="536" operator="equal">
      <formula>0</formula>
    </cfRule>
  </conditionalFormatting>
  <conditionalFormatting sqref="C208">
    <cfRule type="cellIs" dxfId="576" priority="537" operator="equal">
      <formula>0</formula>
    </cfRule>
  </conditionalFormatting>
  <conditionalFormatting sqref="I194:I196 I212">
    <cfRule type="cellIs" dxfId="575" priority="538" operator="equal">
      <formula>0</formula>
    </cfRule>
  </conditionalFormatting>
  <conditionalFormatting sqref="I193:I196 J191:N191">
    <cfRule type="cellIs" dxfId="574" priority="539" operator="equal">
      <formula>0</formula>
    </cfRule>
  </conditionalFormatting>
  <conditionalFormatting sqref="J194:J196 J212">
    <cfRule type="cellIs" dxfId="573" priority="540" operator="equal">
      <formula>0</formula>
    </cfRule>
  </conditionalFormatting>
  <conditionalFormatting sqref="J191:J196">
    <cfRule type="cellIs" dxfId="572" priority="541" operator="equal">
      <formula>0</formula>
    </cfRule>
  </conditionalFormatting>
  <conditionalFormatting sqref="K194:K196 K212">
    <cfRule type="cellIs" dxfId="571" priority="542" operator="equal">
      <formula>0</formula>
    </cfRule>
  </conditionalFormatting>
  <conditionalFormatting sqref="K191:K196">
    <cfRule type="cellIs" dxfId="570" priority="543" operator="equal">
      <formula>0</formula>
    </cfRule>
  </conditionalFormatting>
  <conditionalFormatting sqref="L191:L196">
    <cfRule type="cellIs" dxfId="569" priority="545" operator="equal">
      <formula>0</formula>
    </cfRule>
  </conditionalFormatting>
  <conditionalFormatting sqref="M194:M196 M212">
    <cfRule type="cellIs" dxfId="568" priority="546" operator="equal">
      <formula>0</formula>
    </cfRule>
  </conditionalFormatting>
  <conditionalFormatting sqref="M191:M196">
    <cfRule type="cellIs" dxfId="567" priority="547" operator="equal">
      <formula>0</formula>
    </cfRule>
  </conditionalFormatting>
  <conditionalFormatting sqref="N194:N196 N212">
    <cfRule type="cellIs" dxfId="566" priority="548" operator="equal">
      <formula>0</formula>
    </cfRule>
  </conditionalFormatting>
  <conditionalFormatting sqref="K194:K195">
    <cfRule type="cellIs" dxfId="565" priority="551" operator="equal">
      <formula>0</formula>
    </cfRule>
  </conditionalFormatting>
  <conditionalFormatting sqref="L194:L195">
    <cfRule type="cellIs" dxfId="564" priority="552" operator="equal">
      <formula>0</formula>
    </cfRule>
  </conditionalFormatting>
  <conditionalFormatting sqref="C202:Q203">
    <cfRule type="cellIs" dxfId="563" priority="553" operator="equal">
      <formula>0</formula>
    </cfRule>
  </conditionalFormatting>
  <conditionalFormatting sqref="M194:N194">
    <cfRule type="cellIs" dxfId="562" priority="556" operator="equal">
      <formula>0</formula>
    </cfRule>
  </conditionalFormatting>
  <conditionalFormatting sqref="N191:N196">
    <cfRule type="cellIs" dxfId="561" priority="549" operator="equal">
      <formula>0</formula>
    </cfRule>
  </conditionalFormatting>
  <conditionalFormatting sqref="O202:O203">
    <cfRule type="cellIs" dxfId="560" priority="554" operator="equal">
      <formula>0</formula>
    </cfRule>
  </conditionalFormatting>
  <conditionalFormatting sqref="M195:N195">
    <cfRule type="cellIs" dxfId="559" priority="557" operator="equal">
      <formula>0</formula>
    </cfRule>
  </conditionalFormatting>
  <conditionalFormatting sqref="R213:R220 C219:Q219 C213:H218 O213:Q218">
    <cfRule type="cellIs" dxfId="558" priority="558" operator="equal">
      <formula>0</formula>
    </cfRule>
  </conditionalFormatting>
  <conditionalFormatting sqref="C220:Q220">
    <cfRule type="cellIs" dxfId="557" priority="559" operator="equal">
      <formula>0</formula>
    </cfRule>
  </conditionalFormatting>
  <conditionalFormatting sqref="C220:Q220">
    <cfRule type="cellIs" dxfId="556" priority="561" operator="equal">
      <formula>0</formula>
    </cfRule>
  </conditionalFormatting>
  <conditionalFormatting sqref="C221:Q221">
    <cfRule type="cellIs" dxfId="555" priority="562" operator="equal">
      <formula>0</formula>
    </cfRule>
  </conditionalFormatting>
  <conditionalFormatting sqref="L194:L196 L212">
    <cfRule type="cellIs" dxfId="554" priority="544" operator="equal">
      <formula>0</formula>
    </cfRule>
  </conditionalFormatting>
  <conditionalFormatting sqref="C221:Q221">
    <cfRule type="expression" dxfId="553" priority="563">
      <formula>LEN(TRIM(C221))=0</formula>
    </cfRule>
  </conditionalFormatting>
  <conditionalFormatting sqref="R221">
    <cfRule type="cellIs" dxfId="552" priority="531" operator="equal">
      <formula>0</formula>
    </cfRule>
  </conditionalFormatting>
  <conditionalFormatting sqref="C199:R199 C204:Q208 R200:R211 C196:R197 C211:Q211 C209:N210 Q209:Q210 C201:Q201 C191:H191 J191:R192 O200:Q200 F192:H192 C192:D195 F193:R195">
    <cfRule type="expression" dxfId="551" priority="550">
      <formula>LEN(TRIM(C191))=0</formula>
    </cfRule>
  </conditionalFormatting>
  <conditionalFormatting sqref="C202:Q203">
    <cfRule type="expression" dxfId="550" priority="555">
      <formula>LEN(TRIM(C202))=0</formula>
    </cfRule>
  </conditionalFormatting>
  <conditionalFormatting sqref="C219:R220 C213:H218 O213:R218">
    <cfRule type="expression" dxfId="549" priority="560">
      <formula>LEN(TRIM(C213))=0</formula>
    </cfRule>
  </conditionalFormatting>
  <conditionalFormatting sqref="R221">
    <cfRule type="expression" dxfId="548" priority="532">
      <formula>LEN(TRIM(R221))=0</formula>
    </cfRule>
  </conditionalFormatting>
  <conditionalFormatting sqref="O209:P210">
    <cfRule type="cellIs" dxfId="547" priority="529" operator="equal">
      <formula>0</formula>
    </cfRule>
  </conditionalFormatting>
  <conditionalFormatting sqref="O209:P210">
    <cfRule type="expression" dxfId="546" priority="530">
      <formula>LEN(TRIM(O209))=0</formula>
    </cfRule>
  </conditionalFormatting>
  <conditionalFormatting sqref="D249:F249 C250:F251 O253:R253 C253:H253 G249:H251 C245:H248 I245:Q249 O235:R237 D237:H237 P232:R234 F232:F234 C232:C237 C240:R240 P239:R239 C239:N239 C252:Q252 R241:R252 C238:R238 I250:N251 Q250:Q251 C242:Q242 O241:Q241 D235:D236 F235:N236">
    <cfRule type="cellIs" dxfId="545" priority="498" operator="equal">
      <formula>0</formula>
    </cfRule>
  </conditionalFormatting>
  <conditionalFormatting sqref="O232:O237">
    <cfRule type="cellIs" dxfId="544" priority="499" operator="equal">
      <formula>0</formula>
    </cfRule>
  </conditionalFormatting>
  <conditionalFormatting sqref="C232:D237 G232:H237">
    <cfRule type="cellIs" dxfId="543" priority="500" operator="equal">
      <formula>0</formula>
    </cfRule>
  </conditionalFormatting>
  <conditionalFormatting sqref="E232 E237">
    <cfRule type="cellIs" dxfId="542" priority="501" operator="equal">
      <formula>0</formula>
    </cfRule>
  </conditionalFormatting>
  <conditionalFormatting sqref="C249">
    <cfRule type="cellIs" dxfId="541" priority="502" operator="equal">
      <formula>0</formula>
    </cfRule>
  </conditionalFormatting>
  <conditionalFormatting sqref="I235:I237 I253">
    <cfRule type="cellIs" dxfId="540" priority="503" operator="equal">
      <formula>0</formula>
    </cfRule>
  </conditionalFormatting>
  <conditionalFormatting sqref="I234:I237 J232:N232">
    <cfRule type="cellIs" dxfId="539" priority="504" operator="equal">
      <formula>0</formula>
    </cfRule>
  </conditionalFormatting>
  <conditionalFormatting sqref="J235:J237 J253">
    <cfRule type="cellIs" dxfId="538" priority="505" operator="equal">
      <formula>0</formula>
    </cfRule>
  </conditionalFormatting>
  <conditionalFormatting sqref="J232:J237">
    <cfRule type="cellIs" dxfId="537" priority="506" operator="equal">
      <formula>0</formula>
    </cfRule>
  </conditionalFormatting>
  <conditionalFormatting sqref="K235:K237 K253">
    <cfRule type="cellIs" dxfId="536" priority="507" operator="equal">
      <formula>0</formula>
    </cfRule>
  </conditionalFormatting>
  <conditionalFormatting sqref="K232:K237">
    <cfRule type="cellIs" dxfId="535" priority="508" operator="equal">
      <formula>0</formula>
    </cfRule>
  </conditionalFormatting>
  <conditionalFormatting sqref="L232:L237">
    <cfRule type="cellIs" dxfId="534" priority="510" operator="equal">
      <formula>0</formula>
    </cfRule>
  </conditionalFormatting>
  <conditionalFormatting sqref="M235:M237 M253">
    <cfRule type="cellIs" dxfId="533" priority="511" operator="equal">
      <formula>0</formula>
    </cfRule>
  </conditionalFormatting>
  <conditionalFormatting sqref="M232:M237">
    <cfRule type="cellIs" dxfId="532" priority="512" operator="equal">
      <formula>0</formula>
    </cfRule>
  </conditionalFormatting>
  <conditionalFormatting sqref="N235:N237 N253">
    <cfRule type="cellIs" dxfId="531" priority="513" operator="equal">
      <formula>0</formula>
    </cfRule>
  </conditionalFormatting>
  <conditionalFormatting sqref="K235:K236">
    <cfRule type="cellIs" dxfId="530" priority="516" operator="equal">
      <formula>0</formula>
    </cfRule>
  </conditionalFormatting>
  <conditionalFormatting sqref="L235:L236">
    <cfRule type="cellIs" dxfId="529" priority="517" operator="equal">
      <formula>0</formula>
    </cfRule>
  </conditionalFormatting>
  <conditionalFormatting sqref="C243:Q244">
    <cfRule type="cellIs" dxfId="528" priority="518" operator="equal">
      <formula>0</formula>
    </cfRule>
  </conditionalFormatting>
  <conditionalFormatting sqref="M235:N235">
    <cfRule type="cellIs" dxfId="527" priority="521" operator="equal">
      <formula>0</formula>
    </cfRule>
  </conditionalFormatting>
  <conditionalFormatting sqref="N232:N237">
    <cfRule type="cellIs" dxfId="526" priority="514" operator="equal">
      <formula>0</formula>
    </cfRule>
  </conditionalFormatting>
  <conditionalFormatting sqref="O243:O244">
    <cfRule type="cellIs" dxfId="525" priority="519" operator="equal">
      <formula>0</formula>
    </cfRule>
  </conditionalFormatting>
  <conditionalFormatting sqref="M236:N236">
    <cfRule type="cellIs" dxfId="524" priority="522" operator="equal">
      <formula>0</formula>
    </cfRule>
  </conditionalFormatting>
  <conditionalFormatting sqref="R254:R261 C260:Q260 C254:H259 O254:Q259">
    <cfRule type="cellIs" dxfId="523" priority="523" operator="equal">
      <formula>0</formula>
    </cfRule>
  </conditionalFormatting>
  <conditionalFormatting sqref="C261:Q261">
    <cfRule type="cellIs" dxfId="522" priority="524" operator="equal">
      <formula>0</formula>
    </cfRule>
  </conditionalFormatting>
  <conditionalFormatting sqref="C261:Q261">
    <cfRule type="cellIs" dxfId="521" priority="526" operator="equal">
      <formula>0</formula>
    </cfRule>
  </conditionalFormatting>
  <conditionalFormatting sqref="C262:Q262">
    <cfRule type="cellIs" dxfId="520" priority="527" operator="equal">
      <formula>0</formula>
    </cfRule>
  </conditionalFormatting>
  <conditionalFormatting sqref="L235:L237 L253">
    <cfRule type="cellIs" dxfId="519" priority="509" operator="equal">
      <formula>0</formula>
    </cfRule>
  </conditionalFormatting>
  <conditionalFormatting sqref="C262:Q262">
    <cfRule type="expression" dxfId="518" priority="528">
      <formula>LEN(TRIM(C262))=0</formula>
    </cfRule>
  </conditionalFormatting>
  <conditionalFormatting sqref="R262">
    <cfRule type="cellIs" dxfId="517" priority="496" operator="equal">
      <formula>0</formula>
    </cfRule>
  </conditionalFormatting>
  <conditionalFormatting sqref="C240:R240 C245:Q249 R241:R252 C237:R238 C252:Q252 C250:N251 Q250:Q251 C242:Q242 C232:H232 J232:R233 O241:Q241 F233:H233 C233:D236 F234:R236">
    <cfRule type="expression" dxfId="516" priority="515">
      <formula>LEN(TRIM(C232))=0</formula>
    </cfRule>
  </conditionalFormatting>
  <conditionalFormatting sqref="C243:Q244">
    <cfRule type="expression" dxfId="515" priority="520">
      <formula>LEN(TRIM(C243))=0</formula>
    </cfRule>
  </conditionalFormatting>
  <conditionalFormatting sqref="C260:R261 C254:H259 O254:R259">
    <cfRule type="expression" dxfId="514" priority="525">
      <formula>LEN(TRIM(C254))=0</formula>
    </cfRule>
  </conditionalFormatting>
  <conditionalFormatting sqref="R262">
    <cfRule type="expression" dxfId="513" priority="497">
      <formula>LEN(TRIM(R262))=0</formula>
    </cfRule>
  </conditionalFormatting>
  <conditionalFormatting sqref="O250:P251">
    <cfRule type="cellIs" dxfId="512" priority="494" operator="equal">
      <formula>0</formula>
    </cfRule>
  </conditionalFormatting>
  <conditionalFormatting sqref="O250:P251">
    <cfRule type="expression" dxfId="511" priority="495">
      <formula>LEN(TRIM(O250))=0</formula>
    </cfRule>
  </conditionalFormatting>
  <conditionalFormatting sqref="D290:F290 C291:F292 O294:R294 C294:H294 G290:H292 C286:H289 I286:Q290 O276:R278 D278:H278 P273:R275 F273:F275 C273:C278 C281:R281 P280:R280 C280:N280 C293:Q293 R282:R293 C279:R279 I291:N292 Q291:Q292 C283:Q283 O282:Q282 D276:D277 F276:N277">
    <cfRule type="cellIs" dxfId="510" priority="463" operator="equal">
      <formula>0</formula>
    </cfRule>
  </conditionalFormatting>
  <conditionalFormatting sqref="O273:O278">
    <cfRule type="cellIs" dxfId="509" priority="464" operator="equal">
      <formula>0</formula>
    </cfRule>
  </conditionalFormatting>
  <conditionalFormatting sqref="C273:D278 G273:H278">
    <cfRule type="cellIs" dxfId="508" priority="465" operator="equal">
      <formula>0</formula>
    </cfRule>
  </conditionalFormatting>
  <conditionalFormatting sqref="E273 E278">
    <cfRule type="cellIs" dxfId="507" priority="466" operator="equal">
      <formula>0</formula>
    </cfRule>
  </conditionalFormatting>
  <conditionalFormatting sqref="C290">
    <cfRule type="cellIs" dxfId="506" priority="467" operator="equal">
      <formula>0</formula>
    </cfRule>
  </conditionalFormatting>
  <conditionalFormatting sqref="I276:I278 I294">
    <cfRule type="cellIs" dxfId="505" priority="468" operator="equal">
      <formula>0</formula>
    </cfRule>
  </conditionalFormatting>
  <conditionalFormatting sqref="I275:I278 J273:N273">
    <cfRule type="cellIs" dxfId="504" priority="469" operator="equal">
      <formula>0</formula>
    </cfRule>
  </conditionalFormatting>
  <conditionalFormatting sqref="J276:J278 J294">
    <cfRule type="cellIs" dxfId="503" priority="470" operator="equal">
      <formula>0</formula>
    </cfRule>
  </conditionalFormatting>
  <conditionalFormatting sqref="J273:J278">
    <cfRule type="cellIs" dxfId="502" priority="471" operator="equal">
      <formula>0</formula>
    </cfRule>
  </conditionalFormatting>
  <conditionalFormatting sqref="K276:K278 K294">
    <cfRule type="cellIs" dxfId="501" priority="472" operator="equal">
      <formula>0</formula>
    </cfRule>
  </conditionalFormatting>
  <conditionalFormatting sqref="K273:K278">
    <cfRule type="cellIs" dxfId="500" priority="473" operator="equal">
      <formula>0</formula>
    </cfRule>
  </conditionalFormatting>
  <conditionalFormatting sqref="L273:L278">
    <cfRule type="cellIs" dxfId="499" priority="475" operator="equal">
      <formula>0</formula>
    </cfRule>
  </conditionalFormatting>
  <conditionalFormatting sqref="M276:M278 M294">
    <cfRule type="cellIs" dxfId="498" priority="476" operator="equal">
      <formula>0</formula>
    </cfRule>
  </conditionalFormatting>
  <conditionalFormatting sqref="M273:M278">
    <cfRule type="cellIs" dxfId="497" priority="477" operator="equal">
      <formula>0</formula>
    </cfRule>
  </conditionalFormatting>
  <conditionalFormatting sqref="N276:N278 N294">
    <cfRule type="cellIs" dxfId="496" priority="478" operator="equal">
      <formula>0</formula>
    </cfRule>
  </conditionalFormatting>
  <conditionalFormatting sqref="K276:K277">
    <cfRule type="cellIs" dxfId="495" priority="481" operator="equal">
      <formula>0</formula>
    </cfRule>
  </conditionalFormatting>
  <conditionalFormatting sqref="L276:L277">
    <cfRule type="cellIs" dxfId="494" priority="482" operator="equal">
      <formula>0</formula>
    </cfRule>
  </conditionalFormatting>
  <conditionalFormatting sqref="C284:Q285">
    <cfRule type="cellIs" dxfId="493" priority="483" operator="equal">
      <formula>0</formula>
    </cfRule>
  </conditionalFormatting>
  <conditionalFormatting sqref="M276:N276">
    <cfRule type="cellIs" dxfId="492" priority="486" operator="equal">
      <formula>0</formula>
    </cfRule>
  </conditionalFormatting>
  <conditionalFormatting sqref="N273:N278">
    <cfRule type="cellIs" dxfId="491" priority="479" operator="equal">
      <formula>0</formula>
    </cfRule>
  </conditionalFormatting>
  <conditionalFormatting sqref="O284:O285">
    <cfRule type="cellIs" dxfId="490" priority="484" operator="equal">
      <formula>0</formula>
    </cfRule>
  </conditionalFormatting>
  <conditionalFormatting sqref="M277:N277">
    <cfRule type="cellIs" dxfId="489" priority="487" operator="equal">
      <formula>0</formula>
    </cfRule>
  </conditionalFormatting>
  <conditionalFormatting sqref="R295:R302 C301:Q301 C295:H300 O295:Q300">
    <cfRule type="cellIs" dxfId="488" priority="488" operator="equal">
      <formula>0</formula>
    </cfRule>
  </conditionalFormatting>
  <conditionalFormatting sqref="C302:Q302">
    <cfRule type="cellIs" dxfId="487" priority="489" operator="equal">
      <formula>0</formula>
    </cfRule>
  </conditionalFormatting>
  <conditionalFormatting sqref="C302:Q302">
    <cfRule type="cellIs" dxfId="486" priority="491" operator="equal">
      <formula>0</formula>
    </cfRule>
  </conditionalFormatting>
  <conditionalFormatting sqref="C303:Q303">
    <cfRule type="cellIs" dxfId="485" priority="492" operator="equal">
      <formula>0</formula>
    </cfRule>
  </conditionalFormatting>
  <conditionalFormatting sqref="L276:L278 L294">
    <cfRule type="cellIs" dxfId="484" priority="474" operator="equal">
      <formula>0</formula>
    </cfRule>
  </conditionalFormatting>
  <conditionalFormatting sqref="C303:Q303">
    <cfRule type="expression" dxfId="483" priority="493">
      <formula>LEN(TRIM(C303))=0</formula>
    </cfRule>
  </conditionalFormatting>
  <conditionalFormatting sqref="R303">
    <cfRule type="cellIs" dxfId="482" priority="461" operator="equal">
      <formula>0</formula>
    </cfRule>
  </conditionalFormatting>
  <conditionalFormatting sqref="C281:R281 C286:Q290 R282:R293 C278:R279 C293:Q293 C291:N292 Q291:Q292 C283:Q283 C273:H273 J273:R274 O282:Q282 F274:H274 C274:D277 F275:R277">
    <cfRule type="expression" dxfId="481" priority="480">
      <formula>LEN(TRIM(C273))=0</formula>
    </cfRule>
  </conditionalFormatting>
  <conditionalFormatting sqref="C284:Q285">
    <cfRule type="expression" dxfId="480" priority="485">
      <formula>LEN(TRIM(C284))=0</formula>
    </cfRule>
  </conditionalFormatting>
  <conditionalFormatting sqref="C301:R302 C295:H300 O295:R300">
    <cfRule type="expression" dxfId="479" priority="490">
      <formula>LEN(TRIM(C295))=0</formula>
    </cfRule>
  </conditionalFormatting>
  <conditionalFormatting sqref="R303">
    <cfRule type="expression" dxfId="478" priority="462">
      <formula>LEN(TRIM(R303))=0</formula>
    </cfRule>
  </conditionalFormatting>
  <conditionalFormatting sqref="O291:P292">
    <cfRule type="cellIs" dxfId="477" priority="459" operator="equal">
      <formula>0</formula>
    </cfRule>
  </conditionalFormatting>
  <conditionalFormatting sqref="O291:P292">
    <cfRule type="expression" dxfId="476" priority="460">
      <formula>LEN(TRIM(O291))=0</formula>
    </cfRule>
  </conditionalFormatting>
  <conditionalFormatting sqref="AI86:AJ87">
    <cfRule type="cellIs" dxfId="475" priority="457" operator="equal">
      <formula>0</formula>
    </cfRule>
  </conditionalFormatting>
  <conditionalFormatting sqref="AI86:AJ87">
    <cfRule type="expression" dxfId="474" priority="458">
      <formula>LEN(TRIM(AI86))=0</formula>
    </cfRule>
  </conditionalFormatting>
  <conditionalFormatting sqref="X126:Z126 W127:Z128 AI130:AL130 W130:AB130 AA126:AB128 W122:AB125 AC122:AK126 AI112:AL114 X114:AB114 AF112:AH113 AJ109:AL111 W109:W114 W117:AL117 AJ116:AL116 W116:AH116 W129:AK129 AL118:AL129 W115:AL115 AC127:AH128 AK127:AK128 W119:AK119 AI118:AK118 X112:X113">
    <cfRule type="cellIs" dxfId="473" priority="426" operator="equal">
      <formula>0</formula>
    </cfRule>
  </conditionalFormatting>
  <conditionalFormatting sqref="AI109:AI114">
    <cfRule type="cellIs" dxfId="472" priority="427" operator="equal">
      <formula>0</formula>
    </cfRule>
  </conditionalFormatting>
  <conditionalFormatting sqref="W109:X114 AA114:AB114">
    <cfRule type="cellIs" dxfId="471" priority="428" operator="equal">
      <formula>0</formula>
    </cfRule>
  </conditionalFormatting>
  <conditionalFormatting sqref="Y114">
    <cfRule type="cellIs" dxfId="470" priority="429" operator="equal">
      <formula>0</formula>
    </cfRule>
  </conditionalFormatting>
  <conditionalFormatting sqref="W126">
    <cfRule type="cellIs" dxfId="469" priority="430" operator="equal">
      <formula>0</formula>
    </cfRule>
  </conditionalFormatting>
  <conditionalFormatting sqref="AC114 AC130">
    <cfRule type="cellIs" dxfId="468" priority="431" operator="equal">
      <formula>0</formula>
    </cfRule>
  </conditionalFormatting>
  <conditionalFormatting sqref="AC114 AF109:AH109">
    <cfRule type="cellIs" dxfId="467" priority="432" operator="equal">
      <formula>0</formula>
    </cfRule>
  </conditionalFormatting>
  <conditionalFormatting sqref="AD114 AD130">
    <cfRule type="cellIs" dxfId="466" priority="433" operator="equal">
      <formula>0</formula>
    </cfRule>
  </conditionalFormatting>
  <conditionalFormatting sqref="AD114">
    <cfRule type="cellIs" dxfId="465" priority="434" operator="equal">
      <formula>0</formula>
    </cfRule>
  </conditionalFormatting>
  <conditionalFormatting sqref="AE114 AE130">
    <cfRule type="cellIs" dxfId="464" priority="435" operator="equal">
      <formula>0</formula>
    </cfRule>
  </conditionalFormatting>
  <conditionalFormatting sqref="AE114">
    <cfRule type="cellIs" dxfId="463" priority="436" operator="equal">
      <formula>0</formula>
    </cfRule>
  </conditionalFormatting>
  <conditionalFormatting sqref="AF109:AF114">
    <cfRule type="cellIs" dxfId="462" priority="438" operator="equal">
      <formula>0</formula>
    </cfRule>
  </conditionalFormatting>
  <conditionalFormatting sqref="AG112:AG114 AG130">
    <cfRule type="cellIs" dxfId="461" priority="439" operator="equal">
      <formula>0</formula>
    </cfRule>
  </conditionalFormatting>
  <conditionalFormatting sqref="AG109:AG114">
    <cfRule type="cellIs" dxfId="460" priority="440" operator="equal">
      <formula>0</formula>
    </cfRule>
  </conditionalFormatting>
  <conditionalFormatting sqref="AH112:AH114 AH130">
    <cfRule type="cellIs" dxfId="459" priority="441" operator="equal">
      <formula>0</formula>
    </cfRule>
  </conditionalFormatting>
  <conditionalFormatting sqref="AF112:AF113">
    <cfRule type="cellIs" dxfId="457" priority="445" operator="equal">
      <formula>0</formula>
    </cfRule>
  </conditionalFormatting>
  <conditionalFormatting sqref="W120:AK121">
    <cfRule type="cellIs" dxfId="456" priority="446" operator="equal">
      <formula>0</formula>
    </cfRule>
  </conditionalFormatting>
  <conditionalFormatting sqref="AG112:AH112">
    <cfRule type="cellIs" dxfId="455" priority="449" operator="equal">
      <formula>0</formula>
    </cfRule>
  </conditionalFormatting>
  <conditionalFormatting sqref="AH109:AH114">
    <cfRule type="cellIs" dxfId="454" priority="442" operator="equal">
      <formula>0</formula>
    </cfRule>
  </conditionalFormatting>
  <conditionalFormatting sqref="AI120:AI121">
    <cfRule type="cellIs" dxfId="453" priority="447" operator="equal">
      <formula>0</formula>
    </cfRule>
  </conditionalFormatting>
  <conditionalFormatting sqref="AG113:AH113">
    <cfRule type="cellIs" dxfId="452" priority="450" operator="equal">
      <formula>0</formula>
    </cfRule>
  </conditionalFormatting>
  <conditionalFormatting sqref="AL131:AL138 W135:AK137 W131:AB131 AI131:AK131 AI133:AK134 AJ132:AK132 W133:AB134">
    <cfRule type="cellIs" dxfId="451" priority="451" operator="equal">
      <formula>0</formula>
    </cfRule>
  </conditionalFormatting>
  <conditionalFormatting sqref="W138:AK138">
    <cfRule type="cellIs" dxfId="450" priority="452" operator="equal">
      <formula>0</formula>
    </cfRule>
  </conditionalFormatting>
  <conditionalFormatting sqref="W138:AK138">
    <cfRule type="cellIs" dxfId="449" priority="454" operator="equal">
      <formula>0</formula>
    </cfRule>
  </conditionalFormatting>
  <conditionalFormatting sqref="W139:AK139">
    <cfRule type="cellIs" dxfId="448" priority="455" operator="equal">
      <formula>0</formula>
    </cfRule>
  </conditionalFormatting>
  <conditionalFormatting sqref="AF112:AF114 AF130">
    <cfRule type="cellIs" dxfId="447" priority="437" operator="equal">
      <formula>0</formula>
    </cfRule>
  </conditionalFormatting>
  <conditionalFormatting sqref="W139:AK139">
    <cfRule type="expression" dxfId="446" priority="456">
      <formula>LEN(TRIM(W139))=0</formula>
    </cfRule>
  </conditionalFormatting>
  <conditionalFormatting sqref="AL139">
    <cfRule type="cellIs" dxfId="445" priority="424" operator="equal">
      <formula>0</formula>
    </cfRule>
  </conditionalFormatting>
  <conditionalFormatting sqref="W117:AL117 W122:AK126 AL118:AL129 W114:AL115 W129:AK129 W127:AH128 AK127:AK128 W119:AK119 AI118:AK118 W109:X113 AF109:AL113">
    <cfRule type="expression" dxfId="444" priority="443">
      <formula>LEN(TRIM(W109))=0</formula>
    </cfRule>
  </conditionalFormatting>
  <conditionalFormatting sqref="W120:AK121">
    <cfRule type="expression" dxfId="443" priority="448">
      <formula>LEN(TRIM(W120))=0</formula>
    </cfRule>
  </conditionalFormatting>
  <conditionalFormatting sqref="W135:AL138 W131:AB131 AI131:AL131 AI133:AL134 AJ132:AL132 W133:AB134">
    <cfRule type="expression" dxfId="442" priority="453">
      <formula>LEN(TRIM(W131))=0</formula>
    </cfRule>
  </conditionalFormatting>
  <conditionalFormatting sqref="AL139">
    <cfRule type="expression" dxfId="441" priority="425">
      <formula>LEN(TRIM(AL139))=0</formula>
    </cfRule>
  </conditionalFormatting>
  <conditionalFormatting sqref="AI127:AJ128">
    <cfRule type="cellIs" dxfId="440" priority="422" operator="equal">
      <formula>0</formula>
    </cfRule>
  </conditionalFormatting>
  <conditionalFormatting sqref="AI127:AJ128">
    <cfRule type="expression" dxfId="439" priority="423">
      <formula>LEN(TRIM(AI127))=0</formula>
    </cfRule>
  </conditionalFormatting>
  <conditionalFormatting sqref="X167:Z167 W168:Z169 AI171:AL171 W171:AB171 AA167:AB169 W163:AB166 AC163:AK167 AI153:AL155 X155:AB155 AF153:AH154 AJ150:AL152 W150:W155 W158:AL158 AJ157:AL157 W157:AH157 W170:AK170 AL159:AL170 W156:AL156 AC168:AH169 AK168:AK169 W160:AK160 AI159:AK159 X153:X154">
    <cfRule type="cellIs" dxfId="438" priority="391" operator="equal">
      <formula>0</formula>
    </cfRule>
  </conditionalFormatting>
  <conditionalFormatting sqref="AI150:AI155">
    <cfRule type="cellIs" dxfId="437" priority="392" operator="equal">
      <formula>0</formula>
    </cfRule>
  </conditionalFormatting>
  <conditionalFormatting sqref="W150:X155 AA155:AB155">
    <cfRule type="cellIs" dxfId="436" priority="393" operator="equal">
      <formula>0</formula>
    </cfRule>
  </conditionalFormatting>
  <conditionalFormatting sqref="Y155">
    <cfRule type="cellIs" dxfId="435" priority="394" operator="equal">
      <formula>0</formula>
    </cfRule>
  </conditionalFormatting>
  <conditionalFormatting sqref="W167">
    <cfRule type="cellIs" dxfId="434" priority="395" operator="equal">
      <formula>0</formula>
    </cfRule>
  </conditionalFormatting>
  <conditionalFormatting sqref="AC155 AC171">
    <cfRule type="cellIs" dxfId="433" priority="396" operator="equal">
      <formula>0</formula>
    </cfRule>
  </conditionalFormatting>
  <conditionalFormatting sqref="AC155 AF150:AH150">
    <cfRule type="cellIs" dxfId="432" priority="397" operator="equal">
      <formula>0</formula>
    </cfRule>
  </conditionalFormatting>
  <conditionalFormatting sqref="AD155 AD171">
    <cfRule type="cellIs" dxfId="431" priority="398" operator="equal">
      <formula>0</formula>
    </cfRule>
  </conditionalFormatting>
  <conditionalFormatting sqref="AD155">
    <cfRule type="cellIs" dxfId="430" priority="399" operator="equal">
      <formula>0</formula>
    </cfRule>
  </conditionalFormatting>
  <conditionalFormatting sqref="AE155 AE171">
    <cfRule type="cellIs" dxfId="429" priority="400" operator="equal">
      <formula>0</formula>
    </cfRule>
  </conditionalFormatting>
  <conditionalFormatting sqref="AE155">
    <cfRule type="cellIs" dxfId="428" priority="401" operator="equal">
      <formula>0</formula>
    </cfRule>
  </conditionalFormatting>
  <conditionalFormatting sqref="AF150:AF155">
    <cfRule type="cellIs" dxfId="427" priority="403" operator="equal">
      <formula>0</formula>
    </cfRule>
  </conditionalFormatting>
  <conditionalFormatting sqref="AG153:AG155 AG171">
    <cfRule type="cellIs" dxfId="426" priority="404" operator="equal">
      <formula>0</formula>
    </cfRule>
  </conditionalFormatting>
  <conditionalFormatting sqref="AG150:AG155">
    <cfRule type="cellIs" dxfId="425" priority="405" operator="equal">
      <formula>0</formula>
    </cfRule>
  </conditionalFormatting>
  <conditionalFormatting sqref="AH153:AH155 AH171">
    <cfRule type="cellIs" dxfId="424" priority="406" operator="equal">
      <formula>0</formula>
    </cfRule>
  </conditionalFormatting>
  <conditionalFormatting sqref="AF153:AF154">
    <cfRule type="cellIs" dxfId="422" priority="410" operator="equal">
      <formula>0</formula>
    </cfRule>
  </conditionalFormatting>
  <conditionalFormatting sqref="W161:AK162">
    <cfRule type="cellIs" dxfId="421" priority="411" operator="equal">
      <formula>0</formula>
    </cfRule>
  </conditionalFormatting>
  <conditionalFormatting sqref="AG153:AH153">
    <cfRule type="cellIs" dxfId="420" priority="414" operator="equal">
      <formula>0</formula>
    </cfRule>
  </conditionalFormatting>
  <conditionalFormatting sqref="AH150:AH155">
    <cfRule type="cellIs" dxfId="419" priority="407" operator="equal">
      <formula>0</formula>
    </cfRule>
  </conditionalFormatting>
  <conditionalFormatting sqref="AI161:AI162">
    <cfRule type="cellIs" dxfId="418" priority="412" operator="equal">
      <formula>0</formula>
    </cfRule>
  </conditionalFormatting>
  <conditionalFormatting sqref="AG154:AH154">
    <cfRule type="cellIs" dxfId="417" priority="415" operator="equal">
      <formula>0</formula>
    </cfRule>
  </conditionalFormatting>
  <conditionalFormatting sqref="AL172:AL179 W176:AK178 W172:AB172 AI172:AK172 AI174:AK175 AJ173:AK173 W174:AB175">
    <cfRule type="cellIs" dxfId="416" priority="416" operator="equal">
      <formula>0</formula>
    </cfRule>
  </conditionalFormatting>
  <conditionalFormatting sqref="W179:AK179">
    <cfRule type="cellIs" dxfId="415" priority="417" operator="equal">
      <formula>0</formula>
    </cfRule>
  </conditionalFormatting>
  <conditionalFormatting sqref="W179:AK179">
    <cfRule type="cellIs" dxfId="414" priority="419" operator="equal">
      <formula>0</formula>
    </cfRule>
  </conditionalFormatting>
  <conditionalFormatting sqref="W180:AK180">
    <cfRule type="cellIs" dxfId="413" priority="420" operator="equal">
      <formula>0</formula>
    </cfRule>
  </conditionalFormatting>
  <conditionalFormatting sqref="AF153:AF155 AF171">
    <cfRule type="cellIs" dxfId="412" priority="402" operator="equal">
      <formula>0</formula>
    </cfRule>
  </conditionalFormatting>
  <conditionalFormatting sqref="W180:AK180">
    <cfRule type="expression" dxfId="411" priority="421">
      <formula>LEN(TRIM(W180))=0</formula>
    </cfRule>
  </conditionalFormatting>
  <conditionalFormatting sqref="AL180">
    <cfRule type="cellIs" dxfId="410" priority="389" operator="equal">
      <formula>0</formula>
    </cfRule>
  </conditionalFormatting>
  <conditionalFormatting sqref="W158:AL158 W163:AK167 AL159:AL170 W155:AL156 W170:AK170 W168:AH169 AK168:AK169 W160:AK160 AI159:AK159 W150:X154 AF150:AL154">
    <cfRule type="expression" dxfId="409" priority="408">
      <formula>LEN(TRIM(W150))=0</formula>
    </cfRule>
  </conditionalFormatting>
  <conditionalFormatting sqref="W161:AK162">
    <cfRule type="expression" dxfId="408" priority="413">
      <formula>LEN(TRIM(W161))=0</formula>
    </cfRule>
  </conditionalFormatting>
  <conditionalFormatting sqref="W176:AL179 W172:AB172 AI172:AL172 AI174:AL175 AJ173:AL173 W174:AB175">
    <cfRule type="expression" dxfId="407" priority="418">
      <formula>LEN(TRIM(W172))=0</formula>
    </cfRule>
  </conditionalFormatting>
  <conditionalFormatting sqref="AL180">
    <cfRule type="expression" dxfId="406" priority="390">
      <formula>LEN(TRIM(AL180))=0</formula>
    </cfRule>
  </conditionalFormatting>
  <conditionalFormatting sqref="AI168:AJ169">
    <cfRule type="cellIs" dxfId="405" priority="387" operator="equal">
      <formula>0</formula>
    </cfRule>
  </conditionalFormatting>
  <conditionalFormatting sqref="AI168:AJ169">
    <cfRule type="expression" dxfId="404" priority="388">
      <formula>LEN(TRIM(AI168))=0</formula>
    </cfRule>
  </conditionalFormatting>
  <conditionalFormatting sqref="X208:Z208 W209:Z210 AI212:AL212 W212:AB212 AA208:AB210 W204:AB207 AC204:AK208 AI194:AL196 X196:AB196 AF194:AH195 AJ191:AL193 W191:W196 W199:AL199 AJ198:AL198 W198:AH198 W211:AK211 AL200:AL211 W197:AL197 AC209:AH210 AK209:AK210 W201:AK201 AI200:AK200 X194:X195">
    <cfRule type="cellIs" dxfId="403" priority="356" operator="equal">
      <formula>0</formula>
    </cfRule>
  </conditionalFormatting>
  <conditionalFormatting sqref="AI191:AI196">
    <cfRule type="cellIs" dxfId="402" priority="357" operator="equal">
      <formula>0</formula>
    </cfRule>
  </conditionalFormatting>
  <conditionalFormatting sqref="W191:X196 AA196:AB196">
    <cfRule type="cellIs" dxfId="401" priority="358" operator="equal">
      <formula>0</formula>
    </cfRule>
  </conditionalFormatting>
  <conditionalFormatting sqref="Y196">
    <cfRule type="cellIs" dxfId="400" priority="359" operator="equal">
      <formula>0</formula>
    </cfRule>
  </conditionalFormatting>
  <conditionalFormatting sqref="W208">
    <cfRule type="cellIs" dxfId="399" priority="360" operator="equal">
      <formula>0</formula>
    </cfRule>
  </conditionalFormatting>
  <conditionalFormatting sqref="AC196 AC212">
    <cfRule type="cellIs" dxfId="398" priority="361" operator="equal">
      <formula>0</formula>
    </cfRule>
  </conditionalFormatting>
  <conditionalFormatting sqref="AC196 AF191:AH191">
    <cfRule type="cellIs" dxfId="397" priority="362" operator="equal">
      <formula>0</formula>
    </cfRule>
  </conditionalFormatting>
  <conditionalFormatting sqref="AD196 AD212">
    <cfRule type="cellIs" dxfId="396" priority="363" operator="equal">
      <formula>0</formula>
    </cfRule>
  </conditionalFormatting>
  <conditionalFormatting sqref="AD196">
    <cfRule type="cellIs" dxfId="395" priority="364" operator="equal">
      <formula>0</formula>
    </cfRule>
  </conditionalFormatting>
  <conditionalFormatting sqref="AE196 AE212">
    <cfRule type="cellIs" dxfId="394" priority="365" operator="equal">
      <formula>0</formula>
    </cfRule>
  </conditionalFormatting>
  <conditionalFormatting sqref="AE196">
    <cfRule type="cellIs" dxfId="393" priority="366" operator="equal">
      <formula>0</formula>
    </cfRule>
  </conditionalFormatting>
  <conditionalFormatting sqref="AF191:AF196">
    <cfRule type="cellIs" dxfId="392" priority="368" operator="equal">
      <formula>0</formula>
    </cfRule>
  </conditionalFormatting>
  <conditionalFormatting sqref="AG194:AG196 AG212">
    <cfRule type="cellIs" dxfId="391" priority="369" operator="equal">
      <formula>0</formula>
    </cfRule>
  </conditionalFormatting>
  <conditionalFormatting sqref="AG191:AG196">
    <cfRule type="cellIs" dxfId="390" priority="370" operator="equal">
      <formula>0</formula>
    </cfRule>
  </conditionalFormatting>
  <conditionalFormatting sqref="AH194:AH196 AH212">
    <cfRule type="cellIs" dxfId="389" priority="371" operator="equal">
      <formula>0</formula>
    </cfRule>
  </conditionalFormatting>
  <conditionalFormatting sqref="AF194:AF195">
    <cfRule type="cellIs" dxfId="387" priority="375" operator="equal">
      <formula>0</formula>
    </cfRule>
  </conditionalFormatting>
  <conditionalFormatting sqref="W202:AK203">
    <cfRule type="cellIs" dxfId="386" priority="376" operator="equal">
      <formula>0</formula>
    </cfRule>
  </conditionalFormatting>
  <conditionalFormatting sqref="AG194:AH194">
    <cfRule type="cellIs" dxfId="385" priority="379" operator="equal">
      <formula>0</formula>
    </cfRule>
  </conditionalFormatting>
  <conditionalFormatting sqref="AH191:AH196">
    <cfRule type="cellIs" dxfId="384" priority="372" operator="equal">
      <formula>0</formula>
    </cfRule>
  </conditionalFormatting>
  <conditionalFormatting sqref="AI202:AI203">
    <cfRule type="cellIs" dxfId="383" priority="377" operator="equal">
      <formula>0</formula>
    </cfRule>
  </conditionalFormatting>
  <conditionalFormatting sqref="AG195:AH195">
    <cfRule type="cellIs" dxfId="382" priority="380" operator="equal">
      <formula>0</formula>
    </cfRule>
  </conditionalFormatting>
  <conditionalFormatting sqref="AL213:AL220 W217:AK219 W213:AB213 AI213:AK213 AI215:AK216 AJ214:AK214 W215:AB216">
    <cfRule type="cellIs" dxfId="381" priority="381" operator="equal">
      <formula>0</formula>
    </cfRule>
  </conditionalFormatting>
  <conditionalFormatting sqref="W220:AK220">
    <cfRule type="cellIs" dxfId="380" priority="382" operator="equal">
      <formula>0</formula>
    </cfRule>
  </conditionalFormatting>
  <conditionalFormatting sqref="W220:AK220">
    <cfRule type="cellIs" dxfId="379" priority="384" operator="equal">
      <formula>0</formula>
    </cfRule>
  </conditionalFormatting>
  <conditionalFormatting sqref="W221:AK221">
    <cfRule type="cellIs" dxfId="378" priority="385" operator="equal">
      <formula>0</formula>
    </cfRule>
  </conditionalFormatting>
  <conditionalFormatting sqref="AF194:AF196 AF212">
    <cfRule type="cellIs" dxfId="377" priority="367" operator="equal">
      <formula>0</formula>
    </cfRule>
  </conditionalFormatting>
  <conditionalFormatting sqref="W221:AK221">
    <cfRule type="expression" dxfId="376" priority="386">
      <formula>LEN(TRIM(W221))=0</formula>
    </cfRule>
  </conditionalFormatting>
  <conditionalFormatting sqref="AL221">
    <cfRule type="cellIs" dxfId="375" priority="354" operator="equal">
      <formula>0</formula>
    </cfRule>
  </conditionalFormatting>
  <conditionalFormatting sqref="W199:AL199 W204:AK208 AL200:AL211 W196:AL197 W211:AK211 W209:AH210 AK209:AK210 W201:AK201 AI200:AK200 W191:X195 AF191:AL195">
    <cfRule type="expression" dxfId="374" priority="373">
      <formula>LEN(TRIM(W191))=0</formula>
    </cfRule>
  </conditionalFormatting>
  <conditionalFormatting sqref="W202:AK203">
    <cfRule type="expression" dxfId="373" priority="378">
      <formula>LEN(TRIM(W202))=0</formula>
    </cfRule>
  </conditionalFormatting>
  <conditionalFormatting sqref="W217:AL220 W213:AB213 AI213:AL213 AI215:AL216 AJ214:AL214 W215:AB216">
    <cfRule type="expression" dxfId="372" priority="383">
      <formula>LEN(TRIM(W213))=0</formula>
    </cfRule>
  </conditionalFormatting>
  <conditionalFormatting sqref="AL221">
    <cfRule type="expression" dxfId="371" priority="355">
      <formula>LEN(TRIM(AL221))=0</formula>
    </cfRule>
  </conditionalFormatting>
  <conditionalFormatting sqref="AI209:AJ210">
    <cfRule type="cellIs" dxfId="370" priority="352" operator="equal">
      <formula>0</formula>
    </cfRule>
  </conditionalFormatting>
  <conditionalFormatting sqref="AI209:AJ210">
    <cfRule type="expression" dxfId="369" priority="353">
      <formula>LEN(TRIM(AI209))=0</formula>
    </cfRule>
  </conditionalFormatting>
  <conditionalFormatting sqref="X249:Z249 W250:Z251 AI253:AL253 W253:AB253 AA249:AB251 W245:AB248 AC245:AK249 AI235:AL237 X237:AB237 AF235:AH236 AJ232:AL234 W232:W237 W240:AL240 AJ239:AL239 W239:AH239 W252:AK252 AL241:AL252 W238:AL238 AC250:AH251 AK250:AK251 W242:AK242 AI241:AK241 X235:X236">
    <cfRule type="cellIs" dxfId="368" priority="321" operator="equal">
      <formula>0</formula>
    </cfRule>
  </conditionalFormatting>
  <conditionalFormatting sqref="AI232:AI237">
    <cfRule type="cellIs" dxfId="367" priority="322" operator="equal">
      <formula>0</formula>
    </cfRule>
  </conditionalFormatting>
  <conditionalFormatting sqref="W232:X237 AA237:AB237">
    <cfRule type="cellIs" dxfId="366" priority="323" operator="equal">
      <formula>0</formula>
    </cfRule>
  </conditionalFormatting>
  <conditionalFormatting sqref="Y237">
    <cfRule type="cellIs" dxfId="365" priority="324" operator="equal">
      <formula>0</formula>
    </cfRule>
  </conditionalFormatting>
  <conditionalFormatting sqref="W249">
    <cfRule type="cellIs" dxfId="364" priority="325" operator="equal">
      <formula>0</formula>
    </cfRule>
  </conditionalFormatting>
  <conditionalFormatting sqref="AC237 AC253">
    <cfRule type="cellIs" dxfId="363" priority="326" operator="equal">
      <formula>0</formula>
    </cfRule>
  </conditionalFormatting>
  <conditionalFormatting sqref="AC237 AF232:AH232">
    <cfRule type="cellIs" dxfId="362" priority="327" operator="equal">
      <formula>0</formula>
    </cfRule>
  </conditionalFormatting>
  <conditionalFormatting sqref="AD237 AD253">
    <cfRule type="cellIs" dxfId="361" priority="328" operator="equal">
      <formula>0</formula>
    </cfRule>
  </conditionalFormatting>
  <conditionalFormatting sqref="AD237">
    <cfRule type="cellIs" dxfId="360" priority="329" operator="equal">
      <formula>0</formula>
    </cfRule>
  </conditionalFormatting>
  <conditionalFormatting sqref="AE237 AE253">
    <cfRule type="cellIs" dxfId="359" priority="330" operator="equal">
      <formula>0</formula>
    </cfRule>
  </conditionalFormatting>
  <conditionalFormatting sqref="AE237">
    <cfRule type="cellIs" dxfId="358" priority="331" operator="equal">
      <formula>0</formula>
    </cfRule>
  </conditionalFormatting>
  <conditionalFormatting sqref="AF232:AF237">
    <cfRule type="cellIs" dxfId="357" priority="333" operator="equal">
      <formula>0</formula>
    </cfRule>
  </conditionalFormatting>
  <conditionalFormatting sqref="AG235:AG237 AG253">
    <cfRule type="cellIs" dxfId="356" priority="334" operator="equal">
      <formula>0</formula>
    </cfRule>
  </conditionalFormatting>
  <conditionalFormatting sqref="AG232:AG237">
    <cfRule type="cellIs" dxfId="355" priority="335" operator="equal">
      <formula>0</formula>
    </cfRule>
  </conditionalFormatting>
  <conditionalFormatting sqref="AH235:AH237 AH253">
    <cfRule type="cellIs" dxfId="354" priority="336" operator="equal">
      <formula>0</formula>
    </cfRule>
  </conditionalFormatting>
  <conditionalFormatting sqref="AF235:AF236">
    <cfRule type="cellIs" dxfId="352" priority="340" operator="equal">
      <formula>0</formula>
    </cfRule>
  </conditionalFormatting>
  <conditionalFormatting sqref="W243:AK244">
    <cfRule type="cellIs" dxfId="351" priority="341" operator="equal">
      <formula>0</formula>
    </cfRule>
  </conditionalFormatting>
  <conditionalFormatting sqref="AG235:AH235">
    <cfRule type="cellIs" dxfId="350" priority="344" operator="equal">
      <formula>0</formula>
    </cfRule>
  </conditionalFormatting>
  <conditionalFormatting sqref="AH232:AH237">
    <cfRule type="cellIs" dxfId="349" priority="337" operator="equal">
      <formula>0</formula>
    </cfRule>
  </conditionalFormatting>
  <conditionalFormatting sqref="AI243:AI244">
    <cfRule type="cellIs" dxfId="348" priority="342" operator="equal">
      <formula>0</formula>
    </cfRule>
  </conditionalFormatting>
  <conditionalFormatting sqref="AG236:AH236">
    <cfRule type="cellIs" dxfId="347" priority="345" operator="equal">
      <formula>0</formula>
    </cfRule>
  </conditionalFormatting>
  <conditionalFormatting sqref="AL254:AL261 W258:AK260 W254:AB254 AI254:AK254 AI256:AK257 AJ255:AK255 W256:AB257">
    <cfRule type="cellIs" dxfId="346" priority="346" operator="equal">
      <formula>0</formula>
    </cfRule>
  </conditionalFormatting>
  <conditionalFormatting sqref="W261:AK261">
    <cfRule type="cellIs" dxfId="345" priority="347" operator="equal">
      <formula>0</formula>
    </cfRule>
  </conditionalFormatting>
  <conditionalFormatting sqref="W261:AK261">
    <cfRule type="cellIs" dxfId="344" priority="349" operator="equal">
      <formula>0</formula>
    </cfRule>
  </conditionalFormatting>
  <conditionalFormatting sqref="W262:AK262">
    <cfRule type="cellIs" dxfId="343" priority="350" operator="equal">
      <formula>0</formula>
    </cfRule>
  </conditionalFormatting>
  <conditionalFormatting sqref="AF235:AF237 AF253">
    <cfRule type="cellIs" dxfId="342" priority="332" operator="equal">
      <formula>0</formula>
    </cfRule>
  </conditionalFormatting>
  <conditionalFormatting sqref="W262:AK262">
    <cfRule type="expression" dxfId="341" priority="351">
      <formula>LEN(TRIM(W262))=0</formula>
    </cfRule>
  </conditionalFormatting>
  <conditionalFormatting sqref="AL262">
    <cfRule type="cellIs" dxfId="340" priority="319" operator="equal">
      <formula>0</formula>
    </cfRule>
  </conditionalFormatting>
  <conditionalFormatting sqref="W240:AL240 W245:AK249 AL241:AL252 W237:AL238 W252:AK252 W250:AH251 AK250:AK251 W242:AK242 AI241:AK241 W232:X236 AF232:AL236">
    <cfRule type="expression" dxfId="339" priority="338">
      <formula>LEN(TRIM(W232))=0</formula>
    </cfRule>
  </conditionalFormatting>
  <conditionalFormatting sqref="W243:AK244">
    <cfRule type="expression" dxfId="338" priority="343">
      <formula>LEN(TRIM(W243))=0</formula>
    </cfRule>
  </conditionalFormatting>
  <conditionalFormatting sqref="W258:AL261 W254:AB254 AI254:AL254 AI256:AL257 AJ255:AL255 W256:AB257">
    <cfRule type="expression" dxfId="337" priority="348">
      <formula>LEN(TRIM(W254))=0</formula>
    </cfRule>
  </conditionalFormatting>
  <conditionalFormatting sqref="AL262">
    <cfRule type="expression" dxfId="336" priority="320">
      <formula>LEN(TRIM(AL262))=0</formula>
    </cfRule>
  </conditionalFormatting>
  <conditionalFormatting sqref="AI250:AJ251">
    <cfRule type="cellIs" dxfId="335" priority="317" operator="equal">
      <formula>0</formula>
    </cfRule>
  </conditionalFormatting>
  <conditionalFormatting sqref="AI250:AJ251">
    <cfRule type="expression" dxfId="334" priority="318">
      <formula>LEN(TRIM(AI250))=0</formula>
    </cfRule>
  </conditionalFormatting>
  <conditionalFormatting sqref="X290:Z290 W291:Z292 AI294:AL294 W294:AB294 AA290:AB292 W286:AB289 AC286:AK290 AI276:AL278 X278:AB278 AF276:AH277 AJ273:AL275 W273:W278 W281:AL281 AJ280:AL280 W280:AH280 W293:AK293 AL282:AL293 W279:AL279 AC291:AH292 AK291:AK292 W283:AK283 AI282:AK282 X276:X277">
    <cfRule type="cellIs" dxfId="333" priority="286" operator="equal">
      <formula>0</formula>
    </cfRule>
  </conditionalFormatting>
  <conditionalFormatting sqref="AI273:AI278">
    <cfRule type="cellIs" dxfId="332" priority="287" operator="equal">
      <formula>0</formula>
    </cfRule>
  </conditionalFormatting>
  <conditionalFormatting sqref="W273:X278 AA278:AB278">
    <cfRule type="cellIs" dxfId="331" priority="288" operator="equal">
      <formula>0</formula>
    </cfRule>
  </conditionalFormatting>
  <conditionalFormatting sqref="Y278">
    <cfRule type="cellIs" dxfId="330" priority="289" operator="equal">
      <formula>0</formula>
    </cfRule>
  </conditionalFormatting>
  <conditionalFormatting sqref="W290">
    <cfRule type="cellIs" dxfId="329" priority="290" operator="equal">
      <formula>0</formula>
    </cfRule>
  </conditionalFormatting>
  <conditionalFormatting sqref="AC278 AC294">
    <cfRule type="cellIs" dxfId="328" priority="291" operator="equal">
      <formula>0</formula>
    </cfRule>
  </conditionalFormatting>
  <conditionalFormatting sqref="AC278 AF273:AH273">
    <cfRule type="cellIs" dxfId="327" priority="292" operator="equal">
      <formula>0</formula>
    </cfRule>
  </conditionalFormatting>
  <conditionalFormatting sqref="AD278 AD294">
    <cfRule type="cellIs" dxfId="326" priority="293" operator="equal">
      <formula>0</formula>
    </cfRule>
  </conditionalFormatting>
  <conditionalFormatting sqref="AD278">
    <cfRule type="cellIs" dxfId="325" priority="294" operator="equal">
      <formula>0</formula>
    </cfRule>
  </conditionalFormatting>
  <conditionalFormatting sqref="AE278 AE294">
    <cfRule type="cellIs" dxfId="324" priority="295" operator="equal">
      <formula>0</formula>
    </cfRule>
  </conditionalFormatting>
  <conditionalFormatting sqref="AE278">
    <cfRule type="cellIs" dxfId="323" priority="296" operator="equal">
      <formula>0</formula>
    </cfRule>
  </conditionalFormatting>
  <conditionalFormatting sqref="AF273:AF278">
    <cfRule type="cellIs" dxfId="322" priority="298" operator="equal">
      <formula>0</formula>
    </cfRule>
  </conditionalFormatting>
  <conditionalFormatting sqref="AG276:AG278 AG294">
    <cfRule type="cellIs" dxfId="321" priority="299" operator="equal">
      <formula>0</formula>
    </cfRule>
  </conditionalFormatting>
  <conditionalFormatting sqref="AG273:AG278">
    <cfRule type="cellIs" dxfId="320" priority="300" operator="equal">
      <formula>0</formula>
    </cfRule>
  </conditionalFormatting>
  <conditionalFormatting sqref="AH276:AH278 AH294">
    <cfRule type="cellIs" dxfId="319" priority="301" operator="equal">
      <formula>0</formula>
    </cfRule>
  </conditionalFormatting>
  <conditionalFormatting sqref="AF276:AF277">
    <cfRule type="cellIs" dxfId="317" priority="305" operator="equal">
      <formula>0</formula>
    </cfRule>
  </conditionalFormatting>
  <conditionalFormatting sqref="W284:AK285">
    <cfRule type="cellIs" dxfId="316" priority="306" operator="equal">
      <formula>0</formula>
    </cfRule>
  </conditionalFormatting>
  <conditionalFormatting sqref="AG276:AH276">
    <cfRule type="cellIs" dxfId="315" priority="309" operator="equal">
      <formula>0</formula>
    </cfRule>
  </conditionalFormatting>
  <conditionalFormatting sqref="AH273:AH278">
    <cfRule type="cellIs" dxfId="314" priority="302" operator="equal">
      <formula>0</formula>
    </cfRule>
  </conditionalFormatting>
  <conditionalFormatting sqref="AI284:AI285">
    <cfRule type="cellIs" dxfId="313" priority="307" operator="equal">
      <formula>0</formula>
    </cfRule>
  </conditionalFormatting>
  <conditionalFormatting sqref="AG277:AH277">
    <cfRule type="cellIs" dxfId="312" priority="310" operator="equal">
      <formula>0</formula>
    </cfRule>
  </conditionalFormatting>
  <conditionalFormatting sqref="AL295:AL302 W299:AK301 W295:AB295 AI295:AK295 AI297:AK298 AJ296:AK296 W297:AB298">
    <cfRule type="cellIs" dxfId="311" priority="311" operator="equal">
      <formula>0</formula>
    </cfRule>
  </conditionalFormatting>
  <conditionalFormatting sqref="W302:AK302">
    <cfRule type="cellIs" dxfId="310" priority="312" operator="equal">
      <formula>0</formula>
    </cfRule>
  </conditionalFormatting>
  <conditionalFormatting sqref="W302:AK302">
    <cfRule type="cellIs" dxfId="309" priority="314" operator="equal">
      <formula>0</formula>
    </cfRule>
  </conditionalFormatting>
  <conditionalFormatting sqref="W303:AK303">
    <cfRule type="cellIs" dxfId="308" priority="315" operator="equal">
      <formula>0</formula>
    </cfRule>
  </conditionalFormatting>
  <conditionalFormatting sqref="AF276:AF278 AF294">
    <cfRule type="cellIs" dxfId="307" priority="297" operator="equal">
      <formula>0</formula>
    </cfRule>
  </conditionalFormatting>
  <conditionalFormatting sqref="W303:AK303">
    <cfRule type="expression" dxfId="306" priority="316">
      <formula>LEN(TRIM(W303))=0</formula>
    </cfRule>
  </conditionalFormatting>
  <conditionalFormatting sqref="AL303">
    <cfRule type="cellIs" dxfId="305" priority="284" operator="equal">
      <formula>0</formula>
    </cfRule>
  </conditionalFormatting>
  <conditionalFormatting sqref="W281:AL281 W286:AK290 AL282:AL293 W278:AL279 W293:AK293 W291:AH292 AK291:AK292 W283:AK283 AI282:AK282 W273:X277 AF273:AL277">
    <cfRule type="expression" dxfId="304" priority="303">
      <formula>LEN(TRIM(W273))=0</formula>
    </cfRule>
  </conditionalFormatting>
  <conditionalFormatting sqref="W284:AK285">
    <cfRule type="expression" dxfId="303" priority="308">
      <formula>LEN(TRIM(W284))=0</formula>
    </cfRule>
  </conditionalFormatting>
  <conditionalFormatting sqref="W299:AL302 W295:AB295 AI295:AL295 AI297:AL298 AJ296:AL296 W297:AB298">
    <cfRule type="expression" dxfId="302" priority="313">
      <formula>LEN(TRIM(W295))=0</formula>
    </cfRule>
  </conditionalFormatting>
  <conditionalFormatting sqref="AL303">
    <cfRule type="expression" dxfId="301" priority="285">
      <formula>LEN(TRIM(AL303))=0</formula>
    </cfRule>
  </conditionalFormatting>
  <conditionalFormatting sqref="AI291:AJ292">
    <cfRule type="cellIs" dxfId="300" priority="282" operator="equal">
      <formula>0</formula>
    </cfRule>
  </conditionalFormatting>
  <conditionalFormatting sqref="AI291:AJ292">
    <cfRule type="expression" dxfId="299" priority="283">
      <formula>LEN(TRIM(AI291))=0</formula>
    </cfRule>
  </conditionalFormatting>
  <conditionalFormatting sqref="I68:I69">
    <cfRule type="cellIs" dxfId="298" priority="280" operator="equal">
      <formula>0</formula>
    </cfRule>
  </conditionalFormatting>
  <conditionalFormatting sqref="I68:I69">
    <cfRule type="expression" dxfId="297" priority="281">
      <formula>LEN(TRIM(I68))=0</formula>
    </cfRule>
  </conditionalFormatting>
  <conditionalFormatting sqref="I109:I110">
    <cfRule type="cellIs" dxfId="296" priority="278" operator="equal">
      <formula>0</formula>
    </cfRule>
  </conditionalFormatting>
  <conditionalFormatting sqref="I109:I110">
    <cfRule type="expression" dxfId="295" priority="279">
      <formula>LEN(TRIM(I109))=0</formula>
    </cfRule>
  </conditionalFormatting>
  <conditionalFormatting sqref="I150:I151">
    <cfRule type="cellIs" dxfId="294" priority="276" operator="equal">
      <formula>0</formula>
    </cfRule>
  </conditionalFormatting>
  <conditionalFormatting sqref="I150:I151">
    <cfRule type="expression" dxfId="293" priority="277">
      <formula>LEN(TRIM(I150))=0</formula>
    </cfRule>
  </conditionalFormatting>
  <conditionalFormatting sqref="I191:I192">
    <cfRule type="cellIs" dxfId="292" priority="274" operator="equal">
      <formula>0</formula>
    </cfRule>
  </conditionalFormatting>
  <conditionalFormatting sqref="I191:I192">
    <cfRule type="expression" dxfId="291" priority="275">
      <formula>LEN(TRIM(I191))=0</formula>
    </cfRule>
  </conditionalFormatting>
  <conditionalFormatting sqref="I232:I233">
    <cfRule type="cellIs" dxfId="290" priority="272" operator="equal">
      <formula>0</formula>
    </cfRule>
  </conditionalFormatting>
  <conditionalFormatting sqref="I232:I233">
    <cfRule type="expression" dxfId="289" priority="273">
      <formula>LEN(TRIM(I232))=0</formula>
    </cfRule>
  </conditionalFormatting>
  <conditionalFormatting sqref="I273:I274">
    <cfRule type="cellIs" dxfId="288" priority="270" operator="equal">
      <formula>0</formula>
    </cfRule>
  </conditionalFormatting>
  <conditionalFormatting sqref="I273:I274">
    <cfRule type="expression" dxfId="287" priority="271">
      <formula>LEN(TRIM(I273))=0</formula>
    </cfRule>
  </conditionalFormatting>
  <conditionalFormatting sqref="I131:N136">
    <cfRule type="cellIs" dxfId="286" priority="256" operator="equal">
      <formula>0</formula>
    </cfRule>
  </conditionalFormatting>
  <conditionalFormatting sqref="I131:N136">
    <cfRule type="expression" dxfId="285" priority="257">
      <formula>LEN(TRIM(I131))=0</formula>
    </cfRule>
  </conditionalFormatting>
  <conditionalFormatting sqref="I172:N177">
    <cfRule type="cellIs" dxfId="284" priority="254" operator="equal">
      <formula>0</formula>
    </cfRule>
  </conditionalFormatting>
  <conditionalFormatting sqref="I172:N177">
    <cfRule type="expression" dxfId="283" priority="255">
      <formula>LEN(TRIM(I172))=0</formula>
    </cfRule>
  </conditionalFormatting>
  <conditionalFormatting sqref="I213:N218">
    <cfRule type="cellIs" dxfId="282" priority="252" operator="equal">
      <formula>0</formula>
    </cfRule>
  </conditionalFormatting>
  <conditionalFormatting sqref="I213:N218">
    <cfRule type="expression" dxfId="281" priority="253">
      <formula>LEN(TRIM(I213))=0</formula>
    </cfRule>
  </conditionalFormatting>
  <conditionalFormatting sqref="I254:N259">
    <cfRule type="cellIs" dxfId="280" priority="250" operator="equal">
      <formula>0</formula>
    </cfRule>
  </conditionalFormatting>
  <conditionalFormatting sqref="I254:N259">
    <cfRule type="expression" dxfId="279" priority="251">
      <formula>LEN(TRIM(I254))=0</formula>
    </cfRule>
  </conditionalFormatting>
  <conditionalFormatting sqref="I295:N300">
    <cfRule type="cellIs" dxfId="278" priority="248" operator="equal">
      <formula>0</formula>
    </cfRule>
  </conditionalFormatting>
  <conditionalFormatting sqref="I295:N300">
    <cfRule type="expression" dxfId="277" priority="249">
      <formula>LEN(TRIM(I295))=0</formula>
    </cfRule>
  </conditionalFormatting>
  <conditionalFormatting sqref="C77:N77">
    <cfRule type="cellIs" dxfId="276" priority="244" operator="equal">
      <formula>0</formula>
    </cfRule>
  </conditionalFormatting>
  <conditionalFormatting sqref="C77:N77">
    <cfRule type="expression" dxfId="275" priority="245">
      <formula>LEN(TRIM(C77))=0</formula>
    </cfRule>
  </conditionalFormatting>
  <conditionalFormatting sqref="C118:N118">
    <cfRule type="cellIs" dxfId="274" priority="242" operator="equal">
      <formula>0</formula>
    </cfRule>
  </conditionalFormatting>
  <conditionalFormatting sqref="C118:N118">
    <cfRule type="expression" dxfId="273" priority="243">
      <formula>LEN(TRIM(C118))=0</formula>
    </cfRule>
  </conditionalFormatting>
  <conditionalFormatting sqref="C159:N159">
    <cfRule type="cellIs" dxfId="272" priority="240" operator="equal">
      <formula>0</formula>
    </cfRule>
  </conditionalFormatting>
  <conditionalFormatting sqref="C159:N159">
    <cfRule type="expression" dxfId="271" priority="241">
      <formula>LEN(TRIM(C159))=0</formula>
    </cfRule>
  </conditionalFormatting>
  <conditionalFormatting sqref="C200:N200">
    <cfRule type="cellIs" dxfId="270" priority="238" operator="equal">
      <formula>0</formula>
    </cfRule>
  </conditionalFormatting>
  <conditionalFormatting sqref="C200:N200">
    <cfRule type="expression" dxfId="269" priority="239">
      <formula>LEN(TRIM(C200))=0</formula>
    </cfRule>
  </conditionalFormatting>
  <conditionalFormatting sqref="C241:N241">
    <cfRule type="cellIs" dxfId="268" priority="236" operator="equal">
      <formula>0</formula>
    </cfRule>
  </conditionalFormatting>
  <conditionalFormatting sqref="C241:N241">
    <cfRule type="expression" dxfId="267" priority="237">
      <formula>LEN(TRIM(C241))=0</formula>
    </cfRule>
  </conditionalFormatting>
  <conditionalFormatting sqref="C282:N282">
    <cfRule type="cellIs" dxfId="266" priority="234" operator="equal">
      <formula>0</formula>
    </cfRule>
  </conditionalFormatting>
  <conditionalFormatting sqref="C282:N282">
    <cfRule type="expression" dxfId="265" priority="235">
      <formula>LEN(TRIM(C282))=0</formula>
    </cfRule>
  </conditionalFormatting>
  <conditionalFormatting sqref="E112:E113">
    <cfRule type="cellIs" dxfId="264" priority="231" operator="equal">
      <formula>0</formula>
    </cfRule>
  </conditionalFormatting>
  <conditionalFormatting sqref="E110:E113">
    <cfRule type="cellIs" dxfId="263" priority="232" operator="equal">
      <formula>0</formula>
    </cfRule>
  </conditionalFormatting>
  <conditionalFormatting sqref="E110:E113">
    <cfRule type="expression" dxfId="262" priority="233">
      <formula>LEN(TRIM(E110))=0</formula>
    </cfRule>
  </conditionalFormatting>
  <conditionalFormatting sqref="E153:E154">
    <cfRule type="cellIs" dxfId="261" priority="228" operator="equal">
      <formula>0</formula>
    </cfRule>
  </conditionalFormatting>
  <conditionalFormatting sqref="E151:E154">
    <cfRule type="cellIs" dxfId="260" priority="229" operator="equal">
      <formula>0</formula>
    </cfRule>
  </conditionalFormatting>
  <conditionalFormatting sqref="E151:E154">
    <cfRule type="expression" dxfId="259" priority="230">
      <formula>LEN(TRIM(E151))=0</formula>
    </cfRule>
  </conditionalFormatting>
  <conditionalFormatting sqref="E194:E195">
    <cfRule type="cellIs" dxfId="258" priority="225" operator="equal">
      <formula>0</formula>
    </cfRule>
  </conditionalFormatting>
  <conditionalFormatting sqref="E192:E195">
    <cfRule type="cellIs" dxfId="257" priority="226" operator="equal">
      <formula>0</formula>
    </cfRule>
  </conditionalFormatting>
  <conditionalFormatting sqref="E192:E195">
    <cfRule type="expression" dxfId="256" priority="227">
      <formula>LEN(TRIM(E192))=0</formula>
    </cfRule>
  </conditionalFormatting>
  <conditionalFormatting sqref="E235:E236">
    <cfRule type="cellIs" dxfId="255" priority="222" operator="equal">
      <formula>0</formula>
    </cfRule>
  </conditionalFormatting>
  <conditionalFormatting sqref="E233:E236">
    <cfRule type="cellIs" dxfId="254" priority="223" operator="equal">
      <formula>0</formula>
    </cfRule>
  </conditionalFormatting>
  <conditionalFormatting sqref="E233:E236">
    <cfRule type="expression" dxfId="253" priority="224">
      <formula>LEN(TRIM(E233))=0</formula>
    </cfRule>
  </conditionalFormatting>
  <conditionalFormatting sqref="E276:E277">
    <cfRule type="cellIs" dxfId="252" priority="219" operator="equal">
      <formula>0</formula>
    </cfRule>
  </conditionalFormatting>
  <conditionalFormatting sqref="E274:E277">
    <cfRule type="cellIs" dxfId="251" priority="220" operator="equal">
      <formula>0</formula>
    </cfRule>
  </conditionalFormatting>
  <conditionalFormatting sqref="E274:E277">
    <cfRule type="expression" dxfId="250" priority="221">
      <formula>LEN(TRIM(E274))=0</formula>
    </cfRule>
  </conditionalFormatting>
  <conditionalFormatting sqref="AC90:AH90 AC92:AH93">
    <cfRule type="cellIs" dxfId="249" priority="217" operator="equal">
      <formula>0</formula>
    </cfRule>
  </conditionalFormatting>
  <conditionalFormatting sqref="AC90:AH90 AC92:AH93">
    <cfRule type="expression" dxfId="248" priority="218">
      <formula>LEN(TRIM(AC90))=0</formula>
    </cfRule>
  </conditionalFormatting>
  <conditionalFormatting sqref="AC131:AH131 AC133:AH134">
    <cfRule type="cellIs" dxfId="247" priority="215" operator="equal">
      <formula>0</formula>
    </cfRule>
  </conditionalFormatting>
  <conditionalFormatting sqref="AC131:AH131 AC133:AH134">
    <cfRule type="expression" dxfId="246" priority="216">
      <formula>LEN(TRIM(AC131))=0</formula>
    </cfRule>
  </conditionalFormatting>
  <conditionalFormatting sqref="AC172:AH172 AC174:AH175">
    <cfRule type="cellIs" dxfId="245" priority="213" operator="equal">
      <formula>0</formula>
    </cfRule>
  </conditionalFormatting>
  <conditionalFormatting sqref="AC172:AH172 AC174:AH175">
    <cfRule type="expression" dxfId="244" priority="214">
      <formula>LEN(TRIM(AC172))=0</formula>
    </cfRule>
  </conditionalFormatting>
  <conditionalFormatting sqref="AC213:AH213 AC215:AH216">
    <cfRule type="cellIs" dxfId="243" priority="211" operator="equal">
      <formula>0</formula>
    </cfRule>
  </conditionalFormatting>
  <conditionalFormatting sqref="AC213:AH213 AC215:AH216">
    <cfRule type="expression" dxfId="242" priority="212">
      <formula>LEN(TRIM(AC213))=0</formula>
    </cfRule>
  </conditionalFormatting>
  <conditionalFormatting sqref="AC254:AH254 AC256:AH257">
    <cfRule type="cellIs" dxfId="241" priority="209" operator="equal">
      <formula>0</formula>
    </cfRule>
  </conditionalFormatting>
  <conditionalFormatting sqref="AC254:AH254 AC256:AH257">
    <cfRule type="expression" dxfId="240" priority="210">
      <formula>LEN(TRIM(AC254))=0</formula>
    </cfRule>
  </conditionalFormatting>
  <conditionalFormatting sqref="AC295:AH295 AC297:AH298">
    <cfRule type="cellIs" dxfId="239" priority="207" operator="equal">
      <formula>0</formula>
    </cfRule>
  </conditionalFormatting>
  <conditionalFormatting sqref="AC295:AH295 AC297:AH298">
    <cfRule type="expression" dxfId="238" priority="208">
      <formula>LEN(TRIM(AC295))=0</formula>
    </cfRule>
  </conditionalFormatting>
  <conditionalFormatting sqref="W77:AH77">
    <cfRule type="cellIs" dxfId="237" priority="205" operator="equal">
      <formula>0</formula>
    </cfRule>
  </conditionalFormatting>
  <conditionalFormatting sqref="W77:AH77">
    <cfRule type="expression" dxfId="236" priority="206">
      <formula>LEN(TRIM(W77))=0</formula>
    </cfRule>
  </conditionalFormatting>
  <conditionalFormatting sqref="W118:AH118">
    <cfRule type="cellIs" dxfId="235" priority="203" operator="equal">
      <formula>0</formula>
    </cfRule>
  </conditionalFormatting>
  <conditionalFormatting sqref="W118:AH118">
    <cfRule type="expression" dxfId="234" priority="204">
      <formula>LEN(TRIM(W118))=0</formula>
    </cfRule>
  </conditionalFormatting>
  <conditionalFormatting sqref="W159:AH159">
    <cfRule type="cellIs" dxfId="233" priority="201" operator="equal">
      <formula>0</formula>
    </cfRule>
  </conditionalFormatting>
  <conditionalFormatting sqref="W159:AH159">
    <cfRule type="expression" dxfId="232" priority="202">
      <formula>LEN(TRIM(W159))=0</formula>
    </cfRule>
  </conditionalFormatting>
  <conditionalFormatting sqref="W200:AH200">
    <cfRule type="cellIs" dxfId="231" priority="199" operator="equal">
      <formula>0</formula>
    </cfRule>
  </conditionalFormatting>
  <conditionalFormatting sqref="W200:AH200">
    <cfRule type="expression" dxfId="230" priority="200">
      <formula>LEN(TRIM(W200))=0</formula>
    </cfRule>
  </conditionalFormatting>
  <conditionalFormatting sqref="W241:AH241">
    <cfRule type="cellIs" dxfId="229" priority="197" operator="equal">
      <formula>0</formula>
    </cfRule>
  </conditionalFormatting>
  <conditionalFormatting sqref="W241:AH241">
    <cfRule type="expression" dxfId="228" priority="198">
      <formula>LEN(TRIM(W241))=0</formula>
    </cfRule>
  </conditionalFormatting>
  <conditionalFormatting sqref="W282:AH282">
    <cfRule type="cellIs" dxfId="227" priority="195" operator="equal">
      <formula>0</formula>
    </cfRule>
  </conditionalFormatting>
  <conditionalFormatting sqref="W282:AH282">
    <cfRule type="expression" dxfId="226" priority="196">
      <formula>LEN(TRIM(W282))=0</formula>
    </cfRule>
  </conditionalFormatting>
  <conditionalFormatting sqref="W91:AI91">
    <cfRule type="cellIs" dxfId="169" priority="169" operator="equal">
      <formula>0</formula>
    </cfRule>
  </conditionalFormatting>
  <conditionalFormatting sqref="W91:AI91">
    <cfRule type="expression" dxfId="168" priority="170">
      <formula>LEN(TRIM(W91))=0</formula>
    </cfRule>
  </conditionalFormatting>
  <conditionalFormatting sqref="W132:AI132">
    <cfRule type="cellIs" dxfId="167" priority="167" operator="equal">
      <formula>0</formula>
    </cfRule>
  </conditionalFormatting>
  <conditionalFormatting sqref="W132:AI132">
    <cfRule type="expression" dxfId="166" priority="168">
      <formula>LEN(TRIM(W132))=0</formula>
    </cfRule>
  </conditionalFormatting>
  <conditionalFormatting sqref="W173:AI173">
    <cfRule type="cellIs" dxfId="165" priority="165" operator="equal">
      <formula>0</formula>
    </cfRule>
  </conditionalFormatting>
  <conditionalFormatting sqref="W173:AI173">
    <cfRule type="expression" dxfId="164" priority="166">
      <formula>LEN(TRIM(W173))=0</formula>
    </cfRule>
  </conditionalFormatting>
  <conditionalFormatting sqref="W214:AI214">
    <cfRule type="cellIs" dxfId="163" priority="163" operator="equal">
      <formula>0</formula>
    </cfRule>
  </conditionalFormatting>
  <conditionalFormatting sqref="W214:AI214">
    <cfRule type="expression" dxfId="162" priority="164">
      <formula>LEN(TRIM(W214))=0</formula>
    </cfRule>
  </conditionalFormatting>
  <conditionalFormatting sqref="W255:AI255">
    <cfRule type="cellIs" dxfId="161" priority="161" operator="equal">
      <formula>0</formula>
    </cfRule>
  </conditionalFormatting>
  <conditionalFormatting sqref="W255:AI255">
    <cfRule type="expression" dxfId="160" priority="162">
      <formula>LEN(TRIM(W255))=0</formula>
    </cfRule>
  </conditionalFormatting>
  <conditionalFormatting sqref="W296:AI296">
    <cfRule type="cellIs" dxfId="159" priority="159" operator="equal">
      <formula>0</formula>
    </cfRule>
  </conditionalFormatting>
  <conditionalFormatting sqref="W296:AI296">
    <cfRule type="expression" dxfId="158" priority="160">
      <formula>LEN(TRIM(W296))=0</formula>
    </cfRule>
  </conditionalFormatting>
  <conditionalFormatting sqref="Y71:AE72 Z68:Z70">
    <cfRule type="cellIs" dxfId="157" priority="148" operator="equal">
      <formula>0</formula>
    </cfRule>
  </conditionalFormatting>
  <conditionalFormatting sqref="AA68:AB72">
    <cfRule type="cellIs" dxfId="156" priority="149" operator="equal">
      <formula>0</formula>
    </cfRule>
  </conditionalFormatting>
  <conditionalFormatting sqref="Y68:Y72">
    <cfRule type="cellIs" dxfId="155" priority="150" operator="equal">
      <formula>0</formula>
    </cfRule>
  </conditionalFormatting>
  <conditionalFormatting sqref="AC71:AC72">
    <cfRule type="cellIs" dxfId="154" priority="151" operator="equal">
      <formula>0</formula>
    </cfRule>
  </conditionalFormatting>
  <conditionalFormatting sqref="AC70:AC72 AD68:AE68">
    <cfRule type="cellIs" dxfId="153" priority="152" operator="equal">
      <formula>0</formula>
    </cfRule>
  </conditionalFormatting>
  <conditionalFormatting sqref="AD71:AD72">
    <cfRule type="cellIs" dxfId="152" priority="153" operator="equal">
      <formula>0</formula>
    </cfRule>
  </conditionalFormatting>
  <conditionalFormatting sqref="AD68:AD72">
    <cfRule type="cellIs" dxfId="151" priority="154" operator="equal">
      <formula>0</formula>
    </cfRule>
  </conditionalFormatting>
  <conditionalFormatting sqref="AE71:AE72">
    <cfRule type="cellIs" dxfId="150" priority="155" operator="equal">
      <formula>0</formula>
    </cfRule>
  </conditionalFormatting>
  <conditionalFormatting sqref="AE68:AE72">
    <cfRule type="cellIs" dxfId="149" priority="156" operator="equal">
      <formula>0</formula>
    </cfRule>
  </conditionalFormatting>
  <conditionalFormatting sqref="AE71:AE72">
    <cfRule type="cellIs" dxfId="148" priority="158" operator="equal">
      <formula>0</formula>
    </cfRule>
  </conditionalFormatting>
  <conditionalFormatting sqref="Y70:AE72 Y68:AB69 AD68:AE69">
    <cfRule type="expression" dxfId="147" priority="157">
      <formula>LEN(TRIM(Y68))=0</formula>
    </cfRule>
  </conditionalFormatting>
  <conditionalFormatting sqref="AC68:AC69">
    <cfRule type="cellIs" dxfId="146" priority="146" operator="equal">
      <formula>0</formula>
    </cfRule>
  </conditionalFormatting>
  <conditionalFormatting sqref="AC68:AC69">
    <cfRule type="expression" dxfId="145" priority="147">
      <formula>LEN(TRIM(AC68))=0</formula>
    </cfRule>
  </conditionalFormatting>
  <conditionalFormatting sqref="Z109 Z111">
    <cfRule type="cellIs" dxfId="144" priority="140" operator="equal">
      <formula>0</formula>
    </cfRule>
  </conditionalFormatting>
  <conditionalFormatting sqref="AA109:AB109 AA111:AB111">
    <cfRule type="cellIs" dxfId="143" priority="141" operator="equal">
      <formula>0</formula>
    </cfRule>
  </conditionalFormatting>
  <conditionalFormatting sqref="Y109 Y111">
    <cfRule type="cellIs" dxfId="142" priority="142" operator="equal">
      <formula>0</formula>
    </cfRule>
  </conditionalFormatting>
  <conditionalFormatting sqref="AC111">
    <cfRule type="cellIs" dxfId="141" priority="143" operator="equal">
      <formula>0</formula>
    </cfRule>
  </conditionalFormatting>
  <conditionalFormatting sqref="AE111">
    <cfRule type="cellIs" dxfId="140" priority="144" operator="equal">
      <formula>0</formula>
    </cfRule>
  </conditionalFormatting>
  <conditionalFormatting sqref="Y109:AB109 AE111 Y111:AC111">
    <cfRule type="expression" dxfId="139" priority="145">
      <formula>LEN(TRIM(Y109))=0</formula>
    </cfRule>
  </conditionalFormatting>
  <conditionalFormatting sqref="AD111">
    <cfRule type="cellIs" dxfId="138" priority="138" operator="equal">
      <formula>0</formula>
    </cfRule>
  </conditionalFormatting>
  <conditionalFormatting sqref="AD111">
    <cfRule type="expression" dxfId="137" priority="139">
      <formula>LEN(TRIM(AD111))=0</formula>
    </cfRule>
  </conditionalFormatting>
  <conditionalFormatting sqref="Y112:AE113">
    <cfRule type="cellIs" dxfId="136" priority="127" operator="equal">
      <formula>0</formula>
    </cfRule>
  </conditionalFormatting>
  <conditionalFormatting sqref="AA112:AB113">
    <cfRule type="cellIs" dxfId="135" priority="128" operator="equal">
      <formula>0</formula>
    </cfRule>
  </conditionalFormatting>
  <conditionalFormatting sqref="Y112:Y113">
    <cfRule type="cellIs" dxfId="134" priority="129" operator="equal">
      <formula>0</formula>
    </cfRule>
  </conditionalFormatting>
  <conditionalFormatting sqref="AC112:AC113">
    <cfRule type="cellIs" dxfId="133" priority="130" operator="equal">
      <formula>0</formula>
    </cfRule>
  </conditionalFormatting>
  <conditionalFormatting sqref="AC112:AC113">
    <cfRule type="cellIs" dxfId="132" priority="131" operator="equal">
      <formula>0</formula>
    </cfRule>
  </conditionalFormatting>
  <conditionalFormatting sqref="AD112:AD113">
    <cfRule type="cellIs" dxfId="131" priority="132" operator="equal">
      <formula>0</formula>
    </cfRule>
  </conditionalFormatting>
  <conditionalFormatting sqref="AD112:AD113">
    <cfRule type="cellIs" dxfId="130" priority="133" operator="equal">
      <formula>0</formula>
    </cfRule>
  </conditionalFormatting>
  <conditionalFormatting sqref="AE112:AE113">
    <cfRule type="cellIs" dxfId="129" priority="134" operator="equal">
      <formula>0</formula>
    </cfRule>
  </conditionalFormatting>
  <conditionalFormatting sqref="AE112:AE113">
    <cfRule type="cellIs" dxfId="128" priority="135" operator="equal">
      <formula>0</formula>
    </cfRule>
  </conditionalFormatting>
  <conditionalFormatting sqref="AE112:AE113">
    <cfRule type="cellIs" dxfId="127" priority="137" operator="equal">
      <formula>0</formula>
    </cfRule>
  </conditionalFormatting>
  <conditionalFormatting sqref="Y112:AE113">
    <cfRule type="expression" dxfId="126" priority="136">
      <formula>LEN(TRIM(Y112))=0</formula>
    </cfRule>
  </conditionalFormatting>
  <conditionalFormatting sqref="Z110">
    <cfRule type="cellIs" dxfId="125" priority="123" operator="equal">
      <formula>0</formula>
    </cfRule>
  </conditionalFormatting>
  <conditionalFormatting sqref="AA110:AB110">
    <cfRule type="cellIs" dxfId="124" priority="124" operator="equal">
      <formula>0</formula>
    </cfRule>
  </conditionalFormatting>
  <conditionalFormatting sqref="Y110">
    <cfRule type="cellIs" dxfId="123" priority="125" operator="equal">
      <formula>0</formula>
    </cfRule>
  </conditionalFormatting>
  <conditionalFormatting sqref="Y110:AB110">
    <cfRule type="expression" dxfId="122" priority="126">
      <formula>LEN(TRIM(Y110))=0</formula>
    </cfRule>
  </conditionalFormatting>
  <conditionalFormatting sqref="AD109:AE109">
    <cfRule type="cellIs" dxfId="121" priority="119" operator="equal">
      <formula>0</formula>
    </cfRule>
  </conditionalFormatting>
  <conditionalFormatting sqref="AD109:AD110">
    <cfRule type="cellIs" dxfId="120" priority="120" operator="equal">
      <formula>0</formula>
    </cfRule>
  </conditionalFormatting>
  <conditionalFormatting sqref="AE109:AE110">
    <cfRule type="cellIs" dxfId="119" priority="121" operator="equal">
      <formula>0</formula>
    </cfRule>
  </conditionalFormatting>
  <conditionalFormatting sqref="AD109:AE110">
    <cfRule type="expression" dxfId="118" priority="122">
      <formula>LEN(TRIM(AD109))=0</formula>
    </cfRule>
  </conditionalFormatting>
  <conditionalFormatting sqref="AC109:AC110">
    <cfRule type="cellIs" dxfId="117" priority="117" operator="equal">
      <formula>0</formula>
    </cfRule>
  </conditionalFormatting>
  <conditionalFormatting sqref="AC109:AC110">
    <cfRule type="expression" dxfId="116" priority="118">
      <formula>LEN(TRIM(AC109))=0</formula>
    </cfRule>
  </conditionalFormatting>
  <conditionalFormatting sqref="Z150 Z152">
    <cfRule type="cellIs" dxfId="115" priority="111" operator="equal">
      <formula>0</formula>
    </cfRule>
  </conditionalFormatting>
  <conditionalFormatting sqref="AA150:AB150 AA152:AB152">
    <cfRule type="cellIs" dxfId="114" priority="112" operator="equal">
      <formula>0</formula>
    </cfRule>
  </conditionalFormatting>
  <conditionalFormatting sqref="Y150 Y152">
    <cfRule type="cellIs" dxfId="113" priority="113" operator="equal">
      <formula>0</formula>
    </cfRule>
  </conditionalFormatting>
  <conditionalFormatting sqref="AC152">
    <cfRule type="cellIs" dxfId="112" priority="114" operator="equal">
      <formula>0</formula>
    </cfRule>
  </conditionalFormatting>
  <conditionalFormatting sqref="AE152">
    <cfRule type="cellIs" dxfId="111" priority="115" operator="equal">
      <formula>0</formula>
    </cfRule>
  </conditionalFormatting>
  <conditionalFormatting sqref="Y150:AB150 AE152 Y152:AC152">
    <cfRule type="expression" dxfId="110" priority="116">
      <formula>LEN(TRIM(Y150))=0</formula>
    </cfRule>
  </conditionalFormatting>
  <conditionalFormatting sqref="AD152">
    <cfRule type="cellIs" dxfId="109" priority="109" operator="equal">
      <formula>0</formula>
    </cfRule>
  </conditionalFormatting>
  <conditionalFormatting sqref="AD152">
    <cfRule type="expression" dxfId="108" priority="110">
      <formula>LEN(TRIM(AD152))=0</formula>
    </cfRule>
  </conditionalFormatting>
  <conditionalFormatting sqref="Y153:AE154">
    <cfRule type="cellIs" dxfId="107" priority="98" operator="equal">
      <formula>0</formula>
    </cfRule>
  </conditionalFormatting>
  <conditionalFormatting sqref="AA153:AB154">
    <cfRule type="cellIs" dxfId="106" priority="99" operator="equal">
      <formula>0</formula>
    </cfRule>
  </conditionalFormatting>
  <conditionalFormatting sqref="Y153:Y154">
    <cfRule type="cellIs" dxfId="105" priority="100" operator="equal">
      <formula>0</formula>
    </cfRule>
  </conditionalFormatting>
  <conditionalFormatting sqref="AC153:AC154">
    <cfRule type="cellIs" dxfId="104" priority="101" operator="equal">
      <formula>0</formula>
    </cfRule>
  </conditionalFormatting>
  <conditionalFormatting sqref="AC153:AC154">
    <cfRule type="cellIs" dxfId="103" priority="102" operator="equal">
      <formula>0</formula>
    </cfRule>
  </conditionalFormatting>
  <conditionalFormatting sqref="AD153:AD154">
    <cfRule type="cellIs" dxfId="102" priority="103" operator="equal">
      <formula>0</formula>
    </cfRule>
  </conditionalFormatting>
  <conditionalFormatting sqref="AD153:AD154">
    <cfRule type="cellIs" dxfId="101" priority="104" operator="equal">
      <formula>0</formula>
    </cfRule>
  </conditionalFormatting>
  <conditionalFormatting sqref="AE153:AE154">
    <cfRule type="cellIs" dxfId="100" priority="105" operator="equal">
      <formula>0</formula>
    </cfRule>
  </conditionalFormatting>
  <conditionalFormatting sqref="AE153:AE154">
    <cfRule type="cellIs" dxfId="99" priority="106" operator="equal">
      <formula>0</formula>
    </cfRule>
  </conditionalFormatting>
  <conditionalFormatting sqref="AE153:AE154">
    <cfRule type="cellIs" dxfId="98" priority="108" operator="equal">
      <formula>0</formula>
    </cfRule>
  </conditionalFormatting>
  <conditionalFormatting sqref="Y153:AE154">
    <cfRule type="expression" dxfId="97" priority="107">
      <formula>LEN(TRIM(Y153))=0</formula>
    </cfRule>
  </conditionalFormatting>
  <conditionalFormatting sqref="Z151">
    <cfRule type="cellIs" dxfId="96" priority="94" operator="equal">
      <formula>0</formula>
    </cfRule>
  </conditionalFormatting>
  <conditionalFormatting sqref="AA151:AB151">
    <cfRule type="cellIs" dxfId="95" priority="95" operator="equal">
      <formula>0</formula>
    </cfRule>
  </conditionalFormatting>
  <conditionalFormatting sqref="Y151">
    <cfRule type="cellIs" dxfId="94" priority="96" operator="equal">
      <formula>0</formula>
    </cfRule>
  </conditionalFormatting>
  <conditionalFormatting sqref="Y151:AB151">
    <cfRule type="expression" dxfId="93" priority="97">
      <formula>LEN(TRIM(Y151))=0</formula>
    </cfRule>
  </conditionalFormatting>
  <conditionalFormatting sqref="AD150:AE150">
    <cfRule type="cellIs" dxfId="92" priority="90" operator="equal">
      <formula>0</formula>
    </cfRule>
  </conditionalFormatting>
  <conditionalFormatting sqref="AD150:AD151">
    <cfRule type="cellIs" dxfId="91" priority="91" operator="equal">
      <formula>0</formula>
    </cfRule>
  </conditionalFormatting>
  <conditionalFormatting sqref="AE150:AE151">
    <cfRule type="cellIs" dxfId="90" priority="92" operator="equal">
      <formula>0</formula>
    </cfRule>
  </conditionalFormatting>
  <conditionalFormatting sqref="AD150:AE151">
    <cfRule type="expression" dxfId="89" priority="93">
      <formula>LEN(TRIM(AD150))=0</formula>
    </cfRule>
  </conditionalFormatting>
  <conditionalFormatting sqref="AC150:AC151">
    <cfRule type="cellIs" dxfId="88" priority="88" operator="equal">
      <formula>0</formula>
    </cfRule>
  </conditionalFormatting>
  <conditionalFormatting sqref="AC150:AC151">
    <cfRule type="expression" dxfId="87" priority="89">
      <formula>LEN(TRIM(AC150))=0</formula>
    </cfRule>
  </conditionalFormatting>
  <conditionalFormatting sqref="Z191 Z193">
    <cfRule type="cellIs" dxfId="86" priority="82" operator="equal">
      <formula>0</formula>
    </cfRule>
  </conditionalFormatting>
  <conditionalFormatting sqref="AA191:AB191 AA193:AB193">
    <cfRule type="cellIs" dxfId="85" priority="83" operator="equal">
      <formula>0</formula>
    </cfRule>
  </conditionalFormatting>
  <conditionalFormatting sqref="Y191 Y193">
    <cfRule type="cellIs" dxfId="84" priority="84" operator="equal">
      <formula>0</formula>
    </cfRule>
  </conditionalFormatting>
  <conditionalFormatting sqref="AC193">
    <cfRule type="cellIs" dxfId="83" priority="85" operator="equal">
      <formula>0</formula>
    </cfRule>
  </conditionalFormatting>
  <conditionalFormatting sqref="AE193">
    <cfRule type="cellIs" dxfId="82" priority="86" operator="equal">
      <formula>0</formula>
    </cfRule>
  </conditionalFormatting>
  <conditionalFormatting sqref="Y191:AB191 AE193 Y193:AC193">
    <cfRule type="expression" dxfId="81" priority="87">
      <formula>LEN(TRIM(Y191))=0</formula>
    </cfRule>
  </conditionalFormatting>
  <conditionalFormatting sqref="AD193">
    <cfRule type="cellIs" dxfId="80" priority="80" operator="equal">
      <formula>0</formula>
    </cfRule>
  </conditionalFormatting>
  <conditionalFormatting sqref="AD193">
    <cfRule type="expression" dxfId="79" priority="81">
      <formula>LEN(TRIM(AD193))=0</formula>
    </cfRule>
  </conditionalFormatting>
  <conditionalFormatting sqref="Y194:AE195">
    <cfRule type="cellIs" dxfId="78" priority="69" operator="equal">
      <formula>0</formula>
    </cfRule>
  </conditionalFormatting>
  <conditionalFormatting sqref="AA194:AB195">
    <cfRule type="cellIs" dxfId="77" priority="70" operator="equal">
      <formula>0</formula>
    </cfRule>
  </conditionalFormatting>
  <conditionalFormatting sqref="Y194:Y195">
    <cfRule type="cellIs" dxfId="76" priority="71" operator="equal">
      <formula>0</formula>
    </cfRule>
  </conditionalFormatting>
  <conditionalFormatting sqref="AC194:AC195">
    <cfRule type="cellIs" dxfId="75" priority="72" operator="equal">
      <formula>0</formula>
    </cfRule>
  </conditionalFormatting>
  <conditionalFormatting sqref="AC194:AC195">
    <cfRule type="cellIs" dxfId="74" priority="73" operator="equal">
      <formula>0</formula>
    </cfRule>
  </conditionalFormatting>
  <conditionalFormatting sqref="AD194:AD195">
    <cfRule type="cellIs" dxfId="73" priority="74" operator="equal">
      <formula>0</formula>
    </cfRule>
  </conditionalFormatting>
  <conditionalFormatting sqref="AD194:AD195">
    <cfRule type="cellIs" dxfId="72" priority="75" operator="equal">
      <formula>0</formula>
    </cfRule>
  </conditionalFormatting>
  <conditionalFormatting sqref="AE194:AE195">
    <cfRule type="cellIs" dxfId="71" priority="76" operator="equal">
      <formula>0</formula>
    </cfRule>
  </conditionalFormatting>
  <conditionalFormatting sqref="AE194:AE195">
    <cfRule type="cellIs" dxfId="70" priority="77" operator="equal">
      <formula>0</formula>
    </cfRule>
  </conditionalFormatting>
  <conditionalFormatting sqref="AE194:AE195">
    <cfRule type="cellIs" dxfId="69" priority="79" operator="equal">
      <formula>0</formula>
    </cfRule>
  </conditionalFormatting>
  <conditionalFormatting sqref="Y194:AE195">
    <cfRule type="expression" dxfId="68" priority="78">
      <formula>LEN(TRIM(Y194))=0</formula>
    </cfRule>
  </conditionalFormatting>
  <conditionalFormatting sqref="Z192">
    <cfRule type="cellIs" dxfId="67" priority="65" operator="equal">
      <formula>0</formula>
    </cfRule>
  </conditionalFormatting>
  <conditionalFormatting sqref="AA192:AB192">
    <cfRule type="cellIs" dxfId="66" priority="66" operator="equal">
      <formula>0</formula>
    </cfRule>
  </conditionalFormatting>
  <conditionalFormatting sqref="Y192">
    <cfRule type="cellIs" dxfId="65" priority="67" operator="equal">
      <formula>0</formula>
    </cfRule>
  </conditionalFormatting>
  <conditionalFormatting sqref="Y192:AB192">
    <cfRule type="expression" dxfId="64" priority="68">
      <formula>LEN(TRIM(Y192))=0</formula>
    </cfRule>
  </conditionalFormatting>
  <conditionalFormatting sqref="AD191:AE191">
    <cfRule type="cellIs" dxfId="63" priority="61" operator="equal">
      <formula>0</formula>
    </cfRule>
  </conditionalFormatting>
  <conditionalFormatting sqref="AD191:AD192">
    <cfRule type="cellIs" dxfId="62" priority="62" operator="equal">
      <formula>0</formula>
    </cfRule>
  </conditionalFormatting>
  <conditionalFormatting sqref="AE191:AE192">
    <cfRule type="cellIs" dxfId="61" priority="63" operator="equal">
      <formula>0</formula>
    </cfRule>
  </conditionalFormatting>
  <conditionalFormatting sqref="AD191:AE192">
    <cfRule type="expression" dxfId="60" priority="64">
      <formula>LEN(TRIM(AD191))=0</formula>
    </cfRule>
  </conditionalFormatting>
  <conditionalFormatting sqref="AC191:AC192">
    <cfRule type="cellIs" dxfId="59" priority="59" operator="equal">
      <formula>0</formula>
    </cfRule>
  </conditionalFormatting>
  <conditionalFormatting sqref="AC191:AC192">
    <cfRule type="expression" dxfId="58" priority="60">
      <formula>LEN(TRIM(AC191))=0</formula>
    </cfRule>
  </conditionalFormatting>
  <conditionalFormatting sqref="Z232 Z234">
    <cfRule type="cellIs" dxfId="57" priority="53" operator="equal">
      <formula>0</formula>
    </cfRule>
  </conditionalFormatting>
  <conditionalFormatting sqref="AA232:AB232 AA234:AB234">
    <cfRule type="cellIs" dxfId="56" priority="54" operator="equal">
      <formula>0</formula>
    </cfRule>
  </conditionalFormatting>
  <conditionalFormatting sqref="Y232 Y234">
    <cfRule type="cellIs" dxfId="55" priority="55" operator="equal">
      <formula>0</formula>
    </cfRule>
  </conditionalFormatting>
  <conditionalFormatting sqref="AC234">
    <cfRule type="cellIs" dxfId="54" priority="56" operator="equal">
      <formula>0</formula>
    </cfRule>
  </conditionalFormatting>
  <conditionalFormatting sqref="AE234">
    <cfRule type="cellIs" dxfId="53" priority="57" operator="equal">
      <formula>0</formula>
    </cfRule>
  </conditionalFormatting>
  <conditionalFormatting sqref="Y232:AB232 AE234 Y234:AC234">
    <cfRule type="expression" dxfId="52" priority="58">
      <formula>LEN(TRIM(Y232))=0</formula>
    </cfRule>
  </conditionalFormatting>
  <conditionalFormatting sqref="AD234">
    <cfRule type="cellIs" dxfId="51" priority="51" operator="equal">
      <formula>0</formula>
    </cfRule>
  </conditionalFormatting>
  <conditionalFormatting sqref="AD234">
    <cfRule type="expression" dxfId="50" priority="52">
      <formula>LEN(TRIM(AD234))=0</formula>
    </cfRule>
  </conditionalFormatting>
  <conditionalFormatting sqref="Y235:AE236">
    <cfRule type="cellIs" dxfId="49" priority="40" operator="equal">
      <formula>0</formula>
    </cfRule>
  </conditionalFormatting>
  <conditionalFormatting sqref="AA235:AB236">
    <cfRule type="cellIs" dxfId="48" priority="41" operator="equal">
      <formula>0</formula>
    </cfRule>
  </conditionalFormatting>
  <conditionalFormatting sqref="Y235:Y236">
    <cfRule type="cellIs" dxfId="47" priority="42" operator="equal">
      <formula>0</formula>
    </cfRule>
  </conditionalFormatting>
  <conditionalFormatting sqref="AC235:AC236">
    <cfRule type="cellIs" dxfId="46" priority="43" operator="equal">
      <formula>0</formula>
    </cfRule>
  </conditionalFormatting>
  <conditionalFormatting sqref="AC235:AC236">
    <cfRule type="cellIs" dxfId="45" priority="44" operator="equal">
      <formula>0</formula>
    </cfRule>
  </conditionalFormatting>
  <conditionalFormatting sqref="AD235:AD236">
    <cfRule type="cellIs" dxfId="44" priority="45" operator="equal">
      <formula>0</formula>
    </cfRule>
  </conditionalFormatting>
  <conditionalFormatting sqref="AD235:AD236">
    <cfRule type="cellIs" dxfId="43" priority="46" operator="equal">
      <formula>0</formula>
    </cfRule>
  </conditionalFormatting>
  <conditionalFormatting sqref="AE235:AE236">
    <cfRule type="cellIs" dxfId="42" priority="47" operator="equal">
      <formula>0</formula>
    </cfRule>
  </conditionalFormatting>
  <conditionalFormatting sqref="AE235:AE236">
    <cfRule type="cellIs" dxfId="41" priority="48" operator="equal">
      <formula>0</formula>
    </cfRule>
  </conditionalFormatting>
  <conditionalFormatting sqref="AE235:AE236">
    <cfRule type="cellIs" dxfId="40" priority="50" operator="equal">
      <formula>0</formula>
    </cfRule>
  </conditionalFormatting>
  <conditionalFormatting sqref="Y235:AE236">
    <cfRule type="expression" dxfId="39" priority="49">
      <formula>LEN(TRIM(Y235))=0</formula>
    </cfRule>
  </conditionalFormatting>
  <conditionalFormatting sqref="Z233">
    <cfRule type="cellIs" dxfId="38" priority="36" operator="equal">
      <formula>0</formula>
    </cfRule>
  </conditionalFormatting>
  <conditionalFormatting sqref="AA233:AB233">
    <cfRule type="cellIs" dxfId="37" priority="37" operator="equal">
      <formula>0</formula>
    </cfRule>
  </conditionalFormatting>
  <conditionalFormatting sqref="Y233">
    <cfRule type="cellIs" dxfId="36" priority="38" operator="equal">
      <formula>0</formula>
    </cfRule>
  </conditionalFormatting>
  <conditionalFormatting sqref="Y233:AB233">
    <cfRule type="expression" dxfId="35" priority="39">
      <formula>LEN(TRIM(Y233))=0</formula>
    </cfRule>
  </conditionalFormatting>
  <conditionalFormatting sqref="AD232:AE232">
    <cfRule type="cellIs" dxfId="34" priority="32" operator="equal">
      <formula>0</formula>
    </cfRule>
  </conditionalFormatting>
  <conditionalFormatting sqref="AD232:AD233">
    <cfRule type="cellIs" dxfId="33" priority="33" operator="equal">
      <formula>0</formula>
    </cfRule>
  </conditionalFormatting>
  <conditionalFormatting sqref="AE232:AE233">
    <cfRule type="cellIs" dxfId="32" priority="34" operator="equal">
      <formula>0</formula>
    </cfRule>
  </conditionalFormatting>
  <conditionalFormatting sqref="AD232:AE233">
    <cfRule type="expression" dxfId="31" priority="35">
      <formula>LEN(TRIM(AD232))=0</formula>
    </cfRule>
  </conditionalFormatting>
  <conditionalFormatting sqref="AC232:AC233">
    <cfRule type="cellIs" dxfId="30" priority="30" operator="equal">
      <formula>0</formula>
    </cfRule>
  </conditionalFormatting>
  <conditionalFormatting sqref="AC232:AC233">
    <cfRule type="expression" dxfId="29" priority="31">
      <formula>LEN(TRIM(AC232))=0</formula>
    </cfRule>
  </conditionalFormatting>
  <conditionalFormatting sqref="Z273 Z275">
    <cfRule type="cellIs" dxfId="28" priority="24" operator="equal">
      <formula>0</formula>
    </cfRule>
  </conditionalFormatting>
  <conditionalFormatting sqref="AA273:AB273 AA275:AB275">
    <cfRule type="cellIs" dxfId="27" priority="25" operator="equal">
      <formula>0</formula>
    </cfRule>
  </conditionalFormatting>
  <conditionalFormatting sqref="Y273 Y275">
    <cfRule type="cellIs" dxfId="26" priority="26" operator="equal">
      <formula>0</formula>
    </cfRule>
  </conditionalFormatting>
  <conditionalFormatting sqref="AC275">
    <cfRule type="cellIs" dxfId="25" priority="27" operator="equal">
      <formula>0</formula>
    </cfRule>
  </conditionalFormatting>
  <conditionalFormatting sqref="AE275">
    <cfRule type="cellIs" dxfId="24" priority="28" operator="equal">
      <formula>0</formula>
    </cfRule>
  </conditionalFormatting>
  <conditionalFormatting sqref="Y273:AB273 AE275 Y275:AC275">
    <cfRule type="expression" dxfId="23" priority="29">
      <formula>LEN(TRIM(Y273))=0</formula>
    </cfRule>
  </conditionalFormatting>
  <conditionalFormatting sqref="AD275">
    <cfRule type="cellIs" dxfId="22" priority="22" operator="equal">
      <formula>0</formula>
    </cfRule>
  </conditionalFormatting>
  <conditionalFormatting sqref="AD275">
    <cfRule type="expression" dxfId="21" priority="23">
      <formula>LEN(TRIM(AD275))=0</formula>
    </cfRule>
  </conditionalFormatting>
  <conditionalFormatting sqref="Y276:AE277">
    <cfRule type="cellIs" dxfId="20" priority="11" operator="equal">
      <formula>0</formula>
    </cfRule>
  </conditionalFormatting>
  <conditionalFormatting sqref="AA276:AB277">
    <cfRule type="cellIs" dxfId="19" priority="12" operator="equal">
      <formula>0</formula>
    </cfRule>
  </conditionalFormatting>
  <conditionalFormatting sqref="Y276:Y277">
    <cfRule type="cellIs" dxfId="18" priority="13" operator="equal">
      <formula>0</formula>
    </cfRule>
  </conditionalFormatting>
  <conditionalFormatting sqref="AC276:AC277">
    <cfRule type="cellIs" dxfId="17" priority="14" operator="equal">
      <formula>0</formula>
    </cfRule>
  </conditionalFormatting>
  <conditionalFormatting sqref="AC276:AC277">
    <cfRule type="cellIs" dxfId="16" priority="15" operator="equal">
      <formula>0</formula>
    </cfRule>
  </conditionalFormatting>
  <conditionalFormatting sqref="AD276:AD277">
    <cfRule type="cellIs" dxfId="15" priority="16" operator="equal">
      <formula>0</formula>
    </cfRule>
  </conditionalFormatting>
  <conditionalFormatting sqref="AD276:AD277">
    <cfRule type="cellIs" dxfId="14" priority="17" operator="equal">
      <formula>0</formula>
    </cfRule>
  </conditionalFormatting>
  <conditionalFormatting sqref="AE276:AE277">
    <cfRule type="cellIs" dxfId="13" priority="18" operator="equal">
      <formula>0</formula>
    </cfRule>
  </conditionalFormatting>
  <conditionalFormatting sqref="AE276:AE277">
    <cfRule type="cellIs" dxfId="12" priority="19" operator="equal">
      <formula>0</formula>
    </cfRule>
  </conditionalFormatting>
  <conditionalFormatting sqref="AE276:AE277">
    <cfRule type="cellIs" dxfId="11" priority="21" operator="equal">
      <formula>0</formula>
    </cfRule>
  </conditionalFormatting>
  <conditionalFormatting sqref="Y276:AE277">
    <cfRule type="expression" dxfId="10" priority="20">
      <formula>LEN(TRIM(Y276))=0</formula>
    </cfRule>
  </conditionalFormatting>
  <conditionalFormatting sqref="Z274">
    <cfRule type="cellIs" dxfId="9" priority="7" operator="equal">
      <formula>0</formula>
    </cfRule>
  </conditionalFormatting>
  <conditionalFormatting sqref="AA274:AB274">
    <cfRule type="cellIs" dxfId="8" priority="8" operator="equal">
      <formula>0</formula>
    </cfRule>
  </conditionalFormatting>
  <conditionalFormatting sqref="Y274">
    <cfRule type="cellIs" dxfId="7" priority="9" operator="equal">
      <formula>0</formula>
    </cfRule>
  </conditionalFormatting>
  <conditionalFormatting sqref="Y274:AB274">
    <cfRule type="expression" dxfId="6" priority="10">
      <formula>LEN(TRIM(Y274))=0</formula>
    </cfRule>
  </conditionalFormatting>
  <conditionalFormatting sqref="AD273:AE273">
    <cfRule type="cellIs" dxfId="5" priority="3" operator="equal">
      <formula>0</formula>
    </cfRule>
  </conditionalFormatting>
  <conditionalFormatting sqref="AD273:AD274">
    <cfRule type="cellIs" dxfId="4" priority="4" operator="equal">
      <formula>0</formula>
    </cfRule>
  </conditionalFormatting>
  <conditionalFormatting sqref="AE273:AE274">
    <cfRule type="cellIs" dxfId="3" priority="5" operator="equal">
      <formula>0</formula>
    </cfRule>
  </conditionalFormatting>
  <conditionalFormatting sqref="AD273:AE274">
    <cfRule type="expression" dxfId="2" priority="6">
      <formula>LEN(TRIM(AD273))=0</formula>
    </cfRule>
  </conditionalFormatting>
  <conditionalFormatting sqref="AC273:AC274">
    <cfRule type="cellIs" dxfId="1" priority="1" operator="equal">
      <formula>0</formula>
    </cfRule>
  </conditionalFormatting>
  <conditionalFormatting sqref="AC273:AC274">
    <cfRule type="expression" dxfId="0" priority="2">
      <formula>LEN(TRIM(AC273))=0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2:V36"/>
  <sheetViews>
    <sheetView zoomScale="85" zoomScaleNormal="85" workbookViewId="0">
      <selection activeCell="E33" sqref="E33"/>
    </sheetView>
  </sheetViews>
  <sheetFormatPr baseColWidth="10" defaultColWidth="8.88671875" defaultRowHeight="14.4"/>
  <cols>
    <col min="1" max="1" width="31.88671875" customWidth="1"/>
    <col min="2" max="3" width="10.44140625" customWidth="1"/>
    <col min="4" max="4" width="16" customWidth="1"/>
    <col min="5" max="1025" width="10.44140625" customWidth="1"/>
  </cols>
  <sheetData>
    <row r="2" spans="1:19">
      <c r="A2" s="516" t="s">
        <v>55</v>
      </c>
      <c r="B2" s="516"/>
      <c r="C2" s="516"/>
      <c r="D2" s="516"/>
      <c r="E2" s="516"/>
      <c r="F2" s="516"/>
      <c r="G2" s="516"/>
      <c r="K2" s="29"/>
    </row>
    <row r="4" spans="1:19">
      <c r="A4" s="30" t="s">
        <v>56</v>
      </c>
      <c r="B4" s="30">
        <v>2010</v>
      </c>
      <c r="C4" s="30">
        <v>2011</v>
      </c>
      <c r="D4" s="30">
        <v>2012</v>
      </c>
      <c r="E4" s="30">
        <v>2013</v>
      </c>
      <c r="F4" s="30">
        <v>2014</v>
      </c>
      <c r="G4" s="30">
        <v>2015</v>
      </c>
      <c r="H4" s="30">
        <v>2016</v>
      </c>
      <c r="I4" s="30">
        <v>2017</v>
      </c>
      <c r="J4" s="30">
        <v>2018</v>
      </c>
      <c r="K4" s="30">
        <v>2019</v>
      </c>
      <c r="L4" s="30">
        <v>2020</v>
      </c>
      <c r="M4" s="30">
        <v>2021</v>
      </c>
      <c r="N4" s="246" t="s">
        <v>405</v>
      </c>
      <c r="O4" t="s">
        <v>427</v>
      </c>
    </row>
    <row r="5" spans="1:19">
      <c r="A5" s="31" t="s">
        <v>57</v>
      </c>
      <c r="B5" s="32"/>
      <c r="C5" s="32"/>
      <c r="D5" s="32"/>
      <c r="E5" s="32">
        <v>12197</v>
      </c>
      <c r="F5" s="32"/>
      <c r="G5" s="32"/>
      <c r="H5" s="32"/>
      <c r="I5" s="32"/>
      <c r="J5" s="32">
        <v>11558</v>
      </c>
      <c r="K5" s="32">
        <v>11710</v>
      </c>
      <c r="L5" s="32">
        <v>11660</v>
      </c>
      <c r="M5" s="321"/>
      <c r="N5" s="322" t="s">
        <v>485</v>
      </c>
      <c r="O5" t="s">
        <v>427</v>
      </c>
    </row>
    <row r="6" spans="1:19">
      <c r="A6" s="30" t="s">
        <v>58</v>
      </c>
      <c r="B6" s="288">
        <v>150</v>
      </c>
      <c r="C6" s="288">
        <f>B6</f>
        <v>150</v>
      </c>
      <c r="D6" s="288">
        <f t="shared" ref="D6:M6" si="0">C6</f>
        <v>150</v>
      </c>
      <c r="E6" s="288">
        <f t="shared" si="0"/>
        <v>150</v>
      </c>
      <c r="F6" s="288">
        <f t="shared" si="0"/>
        <v>150</v>
      </c>
      <c r="G6" s="288">
        <v>180</v>
      </c>
      <c r="H6" s="288">
        <f t="shared" si="0"/>
        <v>180</v>
      </c>
      <c r="I6" s="288">
        <f t="shared" si="0"/>
        <v>180</v>
      </c>
      <c r="J6" s="288">
        <f t="shared" si="0"/>
        <v>180</v>
      </c>
      <c r="K6" s="288">
        <f t="shared" si="0"/>
        <v>180</v>
      </c>
      <c r="L6" s="288">
        <f t="shared" si="0"/>
        <v>180</v>
      </c>
      <c r="M6" s="288">
        <f t="shared" si="0"/>
        <v>180</v>
      </c>
      <c r="N6" s="297" t="s">
        <v>59</v>
      </c>
      <c r="O6" t="s">
        <v>427</v>
      </c>
    </row>
    <row r="7" spans="1:19">
      <c r="A7" s="30" t="s">
        <v>60</v>
      </c>
      <c r="B7" s="288"/>
      <c r="C7" s="288"/>
      <c r="D7" s="288"/>
      <c r="E7" s="288">
        <v>10100</v>
      </c>
      <c r="F7" s="288"/>
      <c r="G7" s="30"/>
      <c r="H7" s="30"/>
      <c r="I7" s="30"/>
      <c r="J7" s="30"/>
      <c r="K7" s="33">
        <f>K6/K5*1000000</f>
        <v>15371.477369769429</v>
      </c>
      <c r="L7" s="30"/>
      <c r="M7" s="30"/>
      <c r="N7" s="297" t="s">
        <v>59</v>
      </c>
      <c r="O7" t="s">
        <v>427</v>
      </c>
    </row>
    <row r="8" spans="1:19">
      <c r="A8" s="517" t="s">
        <v>528</v>
      </c>
      <c r="B8" s="518"/>
      <c r="C8" s="518"/>
      <c r="D8" s="518"/>
      <c r="E8" s="518"/>
      <c r="F8" s="518"/>
      <c r="G8" s="518"/>
      <c r="H8" s="518"/>
      <c r="I8" s="518"/>
      <c r="J8" s="518"/>
      <c r="K8" s="518"/>
      <c r="L8" s="518"/>
      <c r="M8" s="518"/>
      <c r="N8" s="519"/>
    </row>
    <row r="9" spans="1:19">
      <c r="B9" s="34"/>
    </row>
    <row r="10" spans="1:19">
      <c r="B10" s="320"/>
    </row>
    <row r="11" spans="1:19">
      <c r="A11" s="516" t="s">
        <v>62</v>
      </c>
      <c r="B11" s="516"/>
      <c r="C11" s="516"/>
      <c r="D11" s="516"/>
      <c r="E11" s="516"/>
      <c r="F11" s="516"/>
      <c r="G11" s="516"/>
      <c r="H11" s="516"/>
      <c r="M11" s="516" t="s">
        <v>68</v>
      </c>
      <c r="N11" s="516"/>
      <c r="O11" s="516"/>
      <c r="P11" s="516"/>
      <c r="Q11" s="323"/>
      <c r="R11" s="323"/>
      <c r="S11" s="323"/>
    </row>
    <row r="13" spans="1:19">
      <c r="A13" s="35"/>
      <c r="B13" s="324">
        <v>2020</v>
      </c>
      <c r="C13" s="324">
        <v>2025</v>
      </c>
      <c r="D13" s="324">
        <v>2030</v>
      </c>
      <c r="E13" s="324">
        <v>2035</v>
      </c>
      <c r="F13" s="324">
        <v>2040</v>
      </c>
      <c r="G13" s="324">
        <v>2045</v>
      </c>
      <c r="H13" s="324">
        <v>2050</v>
      </c>
      <c r="M13" s="35"/>
      <c r="N13" s="514">
        <v>2015</v>
      </c>
      <c r="O13" s="514"/>
      <c r="P13" s="514"/>
    </row>
    <row r="14" spans="1:19">
      <c r="A14" s="36"/>
      <c r="B14" s="30" t="s">
        <v>484</v>
      </c>
      <c r="C14" s="30" t="s">
        <v>484</v>
      </c>
      <c r="D14" s="30" t="s">
        <v>484</v>
      </c>
      <c r="E14" s="30" t="s">
        <v>484</v>
      </c>
      <c r="F14" s="30" t="s">
        <v>484</v>
      </c>
      <c r="G14" s="30" t="s">
        <v>484</v>
      </c>
      <c r="H14" s="30" t="s">
        <v>484</v>
      </c>
      <c r="M14" s="30"/>
      <c r="N14" s="30" t="s">
        <v>63</v>
      </c>
      <c r="O14" s="30" t="s">
        <v>64</v>
      </c>
      <c r="P14" s="37" t="s">
        <v>69</v>
      </c>
    </row>
    <row r="15" spans="1:19">
      <c r="A15" s="36" t="s">
        <v>65</v>
      </c>
      <c r="B15" s="358">
        <f>K5/1000000</f>
        <v>1.171E-2</v>
      </c>
      <c r="C15" s="38">
        <f>11.39/1000</f>
        <v>1.1390000000000001E-2</v>
      </c>
      <c r="D15" s="38">
        <f>11.23/1000</f>
        <v>1.123E-2</v>
      </c>
      <c r="E15" s="38">
        <f>11.23/1000</f>
        <v>1.123E-2</v>
      </c>
      <c r="F15" s="38">
        <f>11.32/1000</f>
        <v>1.132E-2</v>
      </c>
      <c r="G15" s="38">
        <f>11.38/1000</f>
        <v>1.1380000000000001E-2</v>
      </c>
      <c r="H15" s="38">
        <f>11.35/1000</f>
        <v>1.1349999999999999E-2</v>
      </c>
      <c r="M15" s="30" t="s">
        <v>70</v>
      </c>
      <c r="N15" s="30" t="s">
        <v>71</v>
      </c>
      <c r="O15" s="30" t="s">
        <v>72</v>
      </c>
      <c r="P15" s="37" t="s">
        <v>73</v>
      </c>
    </row>
    <row r="16" spans="1:19">
      <c r="A16" s="41" t="s">
        <v>66</v>
      </c>
      <c r="B16" s="223">
        <f>K6</f>
        <v>180</v>
      </c>
      <c r="C16" s="42">
        <f t="shared" ref="C16:H16" si="1">C17*C15</f>
        <v>186.95895316510891</v>
      </c>
      <c r="D16" s="42">
        <f t="shared" si="1"/>
        <v>194.6964701354955</v>
      </c>
      <c r="E16" s="42">
        <f t="shared" si="1"/>
        <v>205.64296441594024</v>
      </c>
      <c r="F16" s="42">
        <f t="shared" si="1"/>
        <v>218.94564153999835</v>
      </c>
      <c r="G16" s="42">
        <f t="shared" si="1"/>
        <v>232.48124217964155</v>
      </c>
      <c r="H16" s="42">
        <f t="shared" si="1"/>
        <v>244.90479872493827</v>
      </c>
      <c r="M16" s="30" t="s">
        <v>74</v>
      </c>
      <c r="N16" s="30" t="s">
        <v>75</v>
      </c>
      <c r="O16" s="30" t="s">
        <v>76</v>
      </c>
      <c r="P16" s="37" t="s">
        <v>77</v>
      </c>
    </row>
    <row r="17" spans="1:22">
      <c r="A17" s="41" t="s">
        <v>67</v>
      </c>
      <c r="B17" s="224">
        <f>K7</f>
        <v>15371.477369769429</v>
      </c>
      <c r="C17" s="325">
        <f t="shared" ref="C17:H17" si="2">$B$17*((1+1.1%)^(C13-$K4))</f>
        <v>16414.306687015705</v>
      </c>
      <c r="D17" s="325">
        <f t="shared" si="2"/>
        <v>17337.174544567719</v>
      </c>
      <c r="E17" s="325">
        <f t="shared" si="2"/>
        <v>18311.92915547108</v>
      </c>
      <c r="F17" s="325">
        <f t="shared" si="2"/>
        <v>19341.487768551091</v>
      </c>
      <c r="G17" s="325">
        <f t="shared" si="2"/>
        <v>20428.93165023212</v>
      </c>
      <c r="H17" s="325">
        <f t="shared" si="2"/>
        <v>21577.515306161964</v>
      </c>
      <c r="M17" s="30" t="s">
        <v>78</v>
      </c>
      <c r="N17" s="30" t="s">
        <v>79</v>
      </c>
      <c r="O17" s="30" t="s">
        <v>80</v>
      </c>
      <c r="P17" s="37" t="s">
        <v>81</v>
      </c>
    </row>
    <row r="18" spans="1:22" ht="14.4" customHeight="1">
      <c r="A18" s="515" t="s">
        <v>529</v>
      </c>
      <c r="B18" s="515"/>
      <c r="C18" s="515"/>
      <c r="D18" s="515"/>
      <c r="E18" s="515"/>
      <c r="F18" s="515"/>
      <c r="G18" s="515"/>
      <c r="H18" s="515"/>
      <c r="I18" s="216"/>
      <c r="J18" s="216"/>
      <c r="K18" s="216"/>
      <c r="L18" s="216"/>
      <c r="M18" s="30" t="s">
        <v>82</v>
      </c>
      <c r="N18" s="44">
        <v>1.6500000000000001E-2</v>
      </c>
      <c r="O18" s="44">
        <v>1.6799999999999999E-2</v>
      </c>
      <c r="P18" s="45">
        <v>5.4999999999999997E-3</v>
      </c>
      <c r="T18" s="216"/>
      <c r="U18" s="216"/>
      <c r="V18" s="216"/>
    </row>
    <row r="19" spans="1:22">
      <c r="M19" s="30" t="s">
        <v>83</v>
      </c>
      <c r="N19" s="44">
        <v>9.7000000000000003E-3</v>
      </c>
      <c r="O19" s="44">
        <v>8.8999999999999999E-3</v>
      </c>
      <c r="P19" s="45">
        <v>5.8999999999999999E-3</v>
      </c>
    </row>
    <row r="20" spans="1:22">
      <c r="M20" s="30" t="s">
        <v>82</v>
      </c>
      <c r="N20" s="44">
        <v>2.47E-2</v>
      </c>
      <c r="O20" s="44">
        <v>2.1100000000000001E-2</v>
      </c>
      <c r="P20" s="45">
        <v>8.8999999999999999E-3</v>
      </c>
    </row>
    <row r="21" spans="1:22">
      <c r="M21" s="30" t="s">
        <v>84</v>
      </c>
      <c r="N21" s="30">
        <v>5.7</v>
      </c>
      <c r="O21" s="30">
        <v>10.8</v>
      </c>
      <c r="P21" s="37">
        <v>6.7</v>
      </c>
    </row>
    <row r="22" spans="1:22">
      <c r="M22" s="30" t="s">
        <v>82</v>
      </c>
      <c r="N22" s="44">
        <v>2.0199999999999999E-2</v>
      </c>
      <c r="O22" s="30"/>
      <c r="P22" s="37"/>
    </row>
    <row r="23" spans="1:22">
      <c r="B23" s="520" t="s">
        <v>588</v>
      </c>
      <c r="C23" s="520"/>
      <c r="D23" s="520"/>
      <c r="E23" s="520"/>
    </row>
    <row r="24" spans="1:22">
      <c r="A24" t="s">
        <v>530</v>
      </c>
      <c r="B24">
        <v>2015</v>
      </c>
      <c r="C24">
        <v>2020</v>
      </c>
      <c r="D24">
        <v>2025</v>
      </c>
      <c r="E24">
        <v>2030</v>
      </c>
    </row>
    <row r="25" spans="1:22">
      <c r="B25">
        <v>10900</v>
      </c>
      <c r="C25">
        <v>9800</v>
      </c>
      <c r="D25">
        <v>10300</v>
      </c>
      <c r="E25">
        <v>10900</v>
      </c>
      <c r="G25" s="357"/>
      <c r="M25" s="516" t="s">
        <v>85</v>
      </c>
      <c r="N25" s="516"/>
      <c r="O25" s="516"/>
      <c r="P25" s="516"/>
      <c r="Q25" s="323"/>
      <c r="R25" s="323"/>
      <c r="S25" s="323"/>
    </row>
    <row r="26" spans="1:22">
      <c r="B26">
        <v>180</v>
      </c>
      <c r="C26">
        <v>156</v>
      </c>
      <c r="D26">
        <v>183</v>
      </c>
      <c r="E26">
        <v>218</v>
      </c>
    </row>
    <row r="27" spans="1:22">
      <c r="B27">
        <f>B26/B25*1000000</f>
        <v>16513.761467889908</v>
      </c>
      <c r="C27" s="443">
        <f>C26/C25*1000000</f>
        <v>15918.367346938776</v>
      </c>
      <c r="D27" s="443">
        <f>D26/D25*1000000</f>
        <v>17766.990291262136</v>
      </c>
      <c r="E27" s="443">
        <f>E26/E25*1000000</f>
        <v>20000</v>
      </c>
      <c r="M27" s="35"/>
      <c r="N27" s="514">
        <v>2015</v>
      </c>
      <c r="O27" s="514"/>
      <c r="P27" s="514"/>
    </row>
    <row r="28" spans="1:22">
      <c r="E28">
        <f>POWER(E27/B27,1/15)-1</f>
        <v>1.2851088661307131E-2</v>
      </c>
      <c r="M28" s="30"/>
      <c r="N28" s="30" t="s">
        <v>63</v>
      </c>
      <c r="O28" s="30" t="s">
        <v>64</v>
      </c>
      <c r="P28" s="37" t="s">
        <v>69</v>
      </c>
    </row>
    <row r="29" spans="1:22">
      <c r="M29" s="30" t="s">
        <v>70</v>
      </c>
      <c r="N29" s="30" t="s">
        <v>71</v>
      </c>
      <c r="O29" s="30" t="s">
        <v>72</v>
      </c>
      <c r="P29" s="37" t="s">
        <v>73</v>
      </c>
    </row>
    <row r="30" spans="1:22">
      <c r="B30">
        <v>10900</v>
      </c>
      <c r="C30">
        <v>12000</v>
      </c>
      <c r="D30">
        <v>13300</v>
      </c>
      <c r="E30">
        <v>14600</v>
      </c>
      <c r="M30" s="30" t="s">
        <v>74</v>
      </c>
      <c r="N30" s="30" t="s">
        <v>75</v>
      </c>
      <c r="O30" s="30" t="s">
        <v>76</v>
      </c>
      <c r="P30" s="37" t="s">
        <v>77</v>
      </c>
    </row>
    <row r="31" spans="1:22">
      <c r="B31">
        <v>180</v>
      </c>
      <c r="C31">
        <v>207</v>
      </c>
      <c r="D31">
        <v>241</v>
      </c>
      <c r="E31">
        <v>283</v>
      </c>
      <c r="M31" s="30" t="s">
        <v>78</v>
      </c>
      <c r="N31" s="30" t="s">
        <v>79</v>
      </c>
      <c r="O31" s="30" t="s">
        <v>80</v>
      </c>
      <c r="P31" s="37" t="s">
        <v>81</v>
      </c>
    </row>
    <row r="32" spans="1:22">
      <c r="B32">
        <f>B31/B30*1000000</f>
        <v>16513.761467889908</v>
      </c>
      <c r="C32" s="443">
        <f>C31/C30*1000000</f>
        <v>17250</v>
      </c>
      <c r="D32" s="443">
        <f>D31/D30*1000000</f>
        <v>18120.300751879699</v>
      </c>
      <c r="E32" s="443">
        <f>E31/E30*1000000</f>
        <v>19383.561643835616</v>
      </c>
      <c r="M32" s="30" t="s">
        <v>82</v>
      </c>
      <c r="N32" s="44">
        <v>1.6500000000000001E-2</v>
      </c>
      <c r="O32" s="44">
        <v>1.6799999999999999E-2</v>
      </c>
      <c r="P32" s="45">
        <v>5.4999999999999997E-3</v>
      </c>
    </row>
    <row r="33" spans="3:16">
      <c r="C33">
        <f>C32/B32</f>
        <v>1.0445833333333334</v>
      </c>
      <c r="D33" s="443">
        <f>D32/C32</f>
        <v>1.0504522175002724</v>
      </c>
      <c r="E33" s="443">
        <f>E32/D32</f>
        <v>1.0697152276473598</v>
      </c>
      <c r="M33" s="30" t="s">
        <v>83</v>
      </c>
      <c r="N33" s="44">
        <v>9.7000000000000003E-3</v>
      </c>
      <c r="O33" s="44">
        <v>8.8999999999999999E-3</v>
      </c>
      <c r="P33" s="45">
        <v>5.8999999999999999E-3</v>
      </c>
    </row>
    <row r="34" spans="3:16">
      <c r="D34">
        <f>POWER(E32/B32,1/15)-1</f>
        <v>1.0739344338352108E-2</v>
      </c>
      <c r="M34" s="30" t="s">
        <v>82</v>
      </c>
      <c r="N34" s="44">
        <v>2.47E-2</v>
      </c>
      <c r="O34" s="44">
        <v>2.1100000000000001E-2</v>
      </c>
      <c r="P34" s="45">
        <v>8.8999999999999999E-3</v>
      </c>
    </row>
    <row r="35" spans="3:16">
      <c r="M35" s="30" t="s">
        <v>84</v>
      </c>
      <c r="N35" s="124">
        <v>5.7</v>
      </c>
      <c r="O35" s="124">
        <v>10.8</v>
      </c>
      <c r="P35" s="225">
        <v>6.7</v>
      </c>
    </row>
    <row r="36" spans="3:16">
      <c r="M36" s="30" t="s">
        <v>82</v>
      </c>
      <c r="N36" s="44">
        <v>2.0199999999999999E-2</v>
      </c>
      <c r="O36" s="30"/>
      <c r="P36" s="37"/>
    </row>
  </sheetData>
  <mergeCells count="9">
    <mergeCell ref="N13:P13"/>
    <mergeCell ref="N27:P27"/>
    <mergeCell ref="A18:H18"/>
    <mergeCell ref="M25:P25"/>
    <mergeCell ref="A2:G2"/>
    <mergeCell ref="A8:N8"/>
    <mergeCell ref="M11:P11"/>
    <mergeCell ref="A11:H11"/>
    <mergeCell ref="B23:E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2:AK65"/>
  <sheetViews>
    <sheetView topLeftCell="A38" zoomScale="70" zoomScaleNormal="70" workbookViewId="0">
      <selection activeCell="M52" sqref="M52"/>
    </sheetView>
  </sheetViews>
  <sheetFormatPr baseColWidth="10" defaultColWidth="8.88671875" defaultRowHeight="14.4"/>
  <cols>
    <col min="1" max="1" width="22.5546875" customWidth="1"/>
    <col min="2" max="13" width="10.44140625" customWidth="1"/>
    <col min="14" max="14" width="10.44140625" style="335" customWidth="1"/>
    <col min="15" max="15" width="15.88671875" customWidth="1"/>
    <col min="16" max="1027" width="10.44140625" customWidth="1"/>
  </cols>
  <sheetData>
    <row r="2" spans="1:25" ht="25.8">
      <c r="A2" s="524" t="s">
        <v>453</v>
      </c>
      <c r="B2" s="524"/>
      <c r="C2" s="524"/>
      <c r="D2" s="524"/>
      <c r="E2" s="524"/>
      <c r="F2" s="524"/>
      <c r="G2" s="524"/>
      <c r="H2" s="524"/>
      <c r="I2" s="524"/>
      <c r="J2" s="524"/>
      <c r="P2" s="524" t="s">
        <v>454</v>
      </c>
      <c r="Q2" s="524"/>
      <c r="R2" s="524"/>
      <c r="S2" s="524"/>
      <c r="T2" s="524"/>
      <c r="U2" s="524"/>
      <c r="V2" s="524"/>
      <c r="W2" s="524"/>
      <c r="X2" s="524"/>
      <c r="Y2" s="524"/>
    </row>
    <row r="6" spans="1:25">
      <c r="A6" s="516" t="s">
        <v>55</v>
      </c>
      <c r="B6" s="516"/>
      <c r="C6" s="516"/>
      <c r="D6" s="516"/>
      <c r="E6" s="516"/>
      <c r="F6" s="516"/>
      <c r="G6" s="516"/>
      <c r="H6" s="516"/>
      <c r="I6" s="516"/>
    </row>
    <row r="7" spans="1:25">
      <c r="A7" s="529" t="s">
        <v>399</v>
      </c>
      <c r="B7" s="529"/>
      <c r="C7" s="529"/>
      <c r="D7" s="529"/>
      <c r="E7" s="529"/>
      <c r="F7" s="529"/>
      <c r="G7" s="529"/>
      <c r="H7" s="529"/>
      <c r="I7" s="529"/>
      <c r="J7" s="529"/>
      <c r="K7" s="529"/>
      <c r="L7" s="529"/>
      <c r="M7" s="273"/>
      <c r="N7" s="336"/>
    </row>
    <row r="8" spans="1:25">
      <c r="A8" s="35"/>
      <c r="B8" s="30">
        <v>2010</v>
      </c>
      <c r="C8" s="30">
        <v>2011</v>
      </c>
      <c r="D8" s="30">
        <v>2012</v>
      </c>
      <c r="E8" s="30">
        <v>2013</v>
      </c>
      <c r="F8" s="30">
        <v>2014</v>
      </c>
      <c r="G8" s="30">
        <v>2015</v>
      </c>
      <c r="H8" s="30">
        <v>2016</v>
      </c>
      <c r="I8" s="30">
        <v>2017</v>
      </c>
      <c r="J8" s="30">
        <v>2018</v>
      </c>
      <c r="K8" s="30">
        <v>2019</v>
      </c>
      <c r="L8" s="30">
        <v>2020</v>
      </c>
      <c r="M8" s="30">
        <v>2021</v>
      </c>
      <c r="N8" s="337"/>
    </row>
    <row r="9" spans="1:25">
      <c r="A9" s="522" t="s">
        <v>147</v>
      </c>
      <c r="B9" s="522"/>
      <c r="C9" s="522"/>
      <c r="D9" s="522"/>
      <c r="E9" s="522"/>
      <c r="F9" s="522"/>
      <c r="G9" s="522"/>
      <c r="H9" s="522"/>
      <c r="I9" s="522"/>
      <c r="J9" s="522"/>
      <c r="K9" s="522"/>
      <c r="L9" s="522"/>
      <c r="M9" s="354"/>
      <c r="N9" s="338"/>
    </row>
    <row r="10" spans="1:25">
      <c r="A10" s="30" t="s">
        <v>148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7"/>
      <c r="N10" s="337"/>
    </row>
    <row r="11" spans="1:25">
      <c r="A11" s="30" t="s">
        <v>14</v>
      </c>
      <c r="B11" s="85"/>
      <c r="C11" s="85"/>
      <c r="D11" s="85"/>
      <c r="E11" s="85"/>
      <c r="F11" s="85"/>
      <c r="G11" s="85"/>
      <c r="H11" s="85"/>
      <c r="I11" s="85"/>
      <c r="J11" s="85"/>
      <c r="K11" s="234"/>
      <c r="L11" s="234"/>
      <c r="M11" s="355"/>
      <c r="N11" s="339"/>
    </row>
    <row r="12" spans="1:25">
      <c r="A12" s="30" t="s">
        <v>16</v>
      </c>
      <c r="B12" s="85"/>
      <c r="C12" s="85"/>
      <c r="D12" s="85"/>
      <c r="E12" s="85"/>
      <c r="F12" s="85"/>
      <c r="G12" s="85">
        <f>15300/(15400)</f>
        <v>0.99350649350649356</v>
      </c>
      <c r="H12" s="85"/>
      <c r="I12" s="85"/>
      <c r="J12" s="85"/>
      <c r="K12" s="85"/>
      <c r="L12" s="234"/>
      <c r="M12" s="355">
        <v>0.96099999999999997</v>
      </c>
      <c r="N12" s="339"/>
    </row>
    <row r="13" spans="1:25">
      <c r="A13" s="30" t="s">
        <v>27</v>
      </c>
      <c r="B13" s="85"/>
      <c r="C13" s="85"/>
      <c r="D13" s="85"/>
      <c r="E13" s="85"/>
      <c r="F13" s="85"/>
      <c r="G13" s="85">
        <f>100/15400</f>
        <v>6.4935064935064939E-3</v>
      </c>
      <c r="H13" s="85"/>
      <c r="I13" s="85"/>
      <c r="J13" s="85"/>
      <c r="K13" s="85"/>
      <c r="L13" s="234"/>
      <c r="M13" s="355">
        <v>4.0000000000000001E-3</v>
      </c>
      <c r="N13" s="339"/>
    </row>
    <row r="14" spans="1:25">
      <c r="A14" s="30" t="s">
        <v>149</v>
      </c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356"/>
      <c r="N14" s="340"/>
    </row>
    <row r="15" spans="1:25">
      <c r="A15" s="30" t="s">
        <v>7</v>
      </c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356"/>
      <c r="N15" s="340"/>
    </row>
    <row r="16" spans="1:25">
      <c r="A16" s="30" t="s">
        <v>372</v>
      </c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234"/>
      <c r="M16" s="355"/>
      <c r="N16" s="339"/>
    </row>
    <row r="17" spans="1:37">
      <c r="A17" s="30" t="s">
        <v>371</v>
      </c>
      <c r="B17" s="85"/>
      <c r="C17" s="85"/>
      <c r="D17" s="85"/>
      <c r="E17" s="85"/>
      <c r="F17" s="85"/>
      <c r="G17" s="85"/>
      <c r="H17" s="85"/>
      <c r="I17" s="85"/>
      <c r="J17" s="85"/>
      <c r="K17" s="234"/>
      <c r="L17" s="85"/>
      <c r="M17" s="356"/>
      <c r="N17" s="340"/>
    </row>
    <row r="18" spans="1:37">
      <c r="A18" s="30" t="s">
        <v>26</v>
      </c>
      <c r="B18" s="85"/>
      <c r="C18" s="85"/>
      <c r="D18" s="85"/>
      <c r="E18" s="85"/>
      <c r="F18" s="85"/>
      <c r="G18" s="85"/>
      <c r="H18" s="85"/>
      <c r="I18" s="85"/>
      <c r="J18" s="85"/>
      <c r="K18" s="234"/>
      <c r="L18" s="234"/>
      <c r="M18" s="355"/>
      <c r="N18" s="339"/>
    </row>
    <row r="19" spans="1:37">
      <c r="A19" s="30" t="s">
        <v>25</v>
      </c>
      <c r="B19" s="85"/>
      <c r="C19" s="85"/>
      <c r="D19" s="85"/>
      <c r="E19" s="85"/>
      <c r="F19" s="85"/>
      <c r="G19" s="85"/>
      <c r="H19" s="85"/>
      <c r="I19" s="85"/>
      <c r="J19" s="85"/>
      <c r="K19" s="234"/>
      <c r="L19" s="234"/>
      <c r="M19" s="355">
        <v>3.5000000000000003E-2</v>
      </c>
      <c r="N19" s="339"/>
    </row>
    <row r="20" spans="1:37">
      <c r="A20" s="30" t="s">
        <v>398</v>
      </c>
      <c r="B20" s="85"/>
      <c r="C20" s="85"/>
      <c r="D20" s="85"/>
      <c r="E20" s="85"/>
      <c r="F20" s="85"/>
      <c r="G20" s="85"/>
      <c r="H20" s="85"/>
      <c r="I20" s="85"/>
      <c r="J20" s="85"/>
      <c r="K20" s="234"/>
      <c r="L20" s="85"/>
      <c r="M20" s="356"/>
      <c r="N20" s="340"/>
    </row>
    <row r="21" spans="1:37">
      <c r="A21" s="72" t="s">
        <v>23</v>
      </c>
      <c r="B21" s="235">
        <f>SUM(B10:B20)</f>
        <v>0</v>
      </c>
      <c r="C21" s="235">
        <f t="shared" ref="C21:K21" si="0">SUM(C10:C20)</f>
        <v>0</v>
      </c>
      <c r="D21" s="235">
        <f t="shared" si="0"/>
        <v>0</v>
      </c>
      <c r="E21" s="235">
        <f t="shared" si="0"/>
        <v>0</v>
      </c>
      <c r="F21" s="235">
        <f t="shared" si="0"/>
        <v>0</v>
      </c>
      <c r="G21" s="235">
        <f t="shared" si="0"/>
        <v>1</v>
      </c>
      <c r="H21" s="235">
        <f t="shared" si="0"/>
        <v>0</v>
      </c>
      <c r="I21" s="235">
        <f t="shared" si="0"/>
        <v>0</v>
      </c>
      <c r="J21" s="235">
        <f t="shared" si="0"/>
        <v>0</v>
      </c>
      <c r="K21" s="235">
        <f t="shared" si="0"/>
        <v>0</v>
      </c>
      <c r="L21" s="271">
        <f>SUM(L11:L20)</f>
        <v>0</v>
      </c>
      <c r="M21" s="355"/>
      <c r="N21" s="339"/>
    </row>
    <row r="22" spans="1:37">
      <c r="A22" s="30" t="s">
        <v>151</v>
      </c>
      <c r="B22" s="234">
        <f>B14+B17+B18+B19+B20</f>
        <v>0</v>
      </c>
      <c r="C22" s="234">
        <f>C14+C17+C18+C19+C20</f>
        <v>0</v>
      </c>
      <c r="D22" s="234">
        <f>D14+D17+D18+D19+D20</f>
        <v>0</v>
      </c>
      <c r="E22" s="234">
        <f>E14+E17+E18+E19+E20</f>
        <v>0</v>
      </c>
      <c r="F22" s="234">
        <f>F14+F17+F18+F19+F20</f>
        <v>0</v>
      </c>
      <c r="G22" s="234">
        <f>SUM(G13:G20)</f>
        <v>6.4935064935064939E-3</v>
      </c>
      <c r="H22" s="234">
        <f>H14+H17+H18+H19+H20</f>
        <v>0</v>
      </c>
      <c r="I22" s="234">
        <f>I14+I17+I18+I19+I20</f>
        <v>0</v>
      </c>
      <c r="J22" s="234">
        <f>J14+J17+J18+J19+J20</f>
        <v>0</v>
      </c>
      <c r="K22" s="234">
        <f>K14+K17+K18+K19+K20+K16</f>
        <v>0</v>
      </c>
      <c r="L22" s="234">
        <f>L14+L17+L18+L19+L20+L16</f>
        <v>0</v>
      </c>
      <c r="M22" s="355"/>
      <c r="N22" s="339"/>
    </row>
    <row r="23" spans="1:37">
      <c r="A23" s="530"/>
      <c r="B23" s="530"/>
      <c r="C23" s="530"/>
      <c r="D23" s="530"/>
      <c r="E23" s="530"/>
      <c r="F23" s="530"/>
      <c r="G23" s="530"/>
      <c r="H23" s="530"/>
      <c r="I23" s="530"/>
      <c r="J23" s="530"/>
      <c r="K23" s="530"/>
      <c r="L23" s="530"/>
      <c r="M23" s="332" t="s">
        <v>483</v>
      </c>
      <c r="N23" s="341"/>
    </row>
    <row r="25" spans="1:37">
      <c r="A25" s="516" t="s">
        <v>448</v>
      </c>
      <c r="B25" s="516"/>
      <c r="C25" s="516"/>
      <c r="D25" s="516"/>
      <c r="E25" s="516"/>
      <c r="F25" s="516"/>
      <c r="G25" s="516"/>
      <c r="H25" s="516"/>
      <c r="I25" s="516"/>
      <c r="P25" s="516" t="s">
        <v>451</v>
      </c>
      <c r="Q25" s="516"/>
      <c r="R25" s="516"/>
      <c r="S25" s="516"/>
      <c r="T25" s="516"/>
      <c r="U25" s="516"/>
      <c r="V25" s="516"/>
      <c r="W25" s="516"/>
      <c r="X25" s="516"/>
      <c r="AB25" s="516" t="s">
        <v>153</v>
      </c>
      <c r="AC25" s="516"/>
      <c r="AD25" s="516"/>
      <c r="AE25" s="516"/>
      <c r="AF25" s="516"/>
      <c r="AG25" s="516"/>
      <c r="AH25" s="516"/>
      <c r="AI25" s="516"/>
      <c r="AJ25" s="516"/>
    </row>
    <row r="27" spans="1:37">
      <c r="A27" s="236"/>
      <c r="B27" s="236">
        <v>2015</v>
      </c>
      <c r="C27" s="236">
        <v>2020</v>
      </c>
      <c r="D27" s="236">
        <v>2025</v>
      </c>
      <c r="E27" s="236">
        <v>2030</v>
      </c>
      <c r="F27" s="236">
        <v>2035</v>
      </c>
      <c r="G27" s="236">
        <v>2040</v>
      </c>
      <c r="H27" s="236">
        <v>2045</v>
      </c>
      <c r="I27" s="236">
        <v>2050</v>
      </c>
      <c r="P27" s="236"/>
      <c r="Q27" s="236">
        <v>2015</v>
      </c>
      <c r="R27" s="236">
        <v>2020</v>
      </c>
      <c r="S27" s="236">
        <v>2025</v>
      </c>
      <c r="T27" s="236">
        <v>2030</v>
      </c>
      <c r="U27" s="236">
        <v>2035</v>
      </c>
      <c r="V27" s="236">
        <v>2040</v>
      </c>
      <c r="W27" s="236">
        <v>2045</v>
      </c>
      <c r="X27" s="236">
        <v>2050</v>
      </c>
      <c r="AB27" s="236"/>
      <c r="AC27" s="236">
        <v>2015</v>
      </c>
      <c r="AD27" s="237">
        <v>2018</v>
      </c>
      <c r="AE27" s="237">
        <v>2023</v>
      </c>
      <c r="AF27" s="237">
        <v>2028</v>
      </c>
      <c r="AG27" s="237">
        <v>2033</v>
      </c>
      <c r="AH27" s="236">
        <v>2040</v>
      </c>
      <c r="AI27" s="236">
        <v>2045</v>
      </c>
      <c r="AJ27" s="236">
        <v>2050</v>
      </c>
    </row>
    <row r="28" spans="1:37" s="349" customFormat="1">
      <c r="A28" s="521" t="s">
        <v>472</v>
      </c>
      <c r="B28" s="521"/>
      <c r="C28" s="521"/>
      <c r="D28" s="521"/>
      <c r="E28" s="521"/>
      <c r="F28" s="521"/>
      <c r="G28" s="521"/>
      <c r="H28" s="521"/>
      <c r="I28" s="521"/>
      <c r="N28" s="335"/>
      <c r="P28" s="350"/>
      <c r="Q28" s="351"/>
      <c r="R28" s="351"/>
      <c r="S28" s="351"/>
      <c r="T28" s="351"/>
      <c r="U28" s="351"/>
      <c r="V28" s="351"/>
      <c r="W28" s="351"/>
      <c r="X28" s="352"/>
      <c r="AB28" s="236"/>
      <c r="AC28" s="236"/>
      <c r="AD28" s="237"/>
      <c r="AE28" s="237"/>
      <c r="AF28" s="237"/>
      <c r="AG28" s="237"/>
      <c r="AH28" s="236"/>
      <c r="AI28" s="236"/>
      <c r="AJ28" s="236"/>
    </row>
    <row r="29" spans="1:37" s="349" customFormat="1">
      <c r="A29" s="236"/>
      <c r="B29" s="236"/>
      <c r="C29" s="236">
        <f>-'Bilan d''énergie'!O36</f>
        <v>20.745000000000001</v>
      </c>
      <c r="D29" s="236">
        <f>-'Bilan d''énergie'!O77</f>
        <v>20.84874397063269</v>
      </c>
      <c r="E29" s="246">
        <f>-'Bilan d''énergie'!O118</f>
        <v>20.50601249152519</v>
      </c>
      <c r="F29" s="246">
        <f>-'Bilan d''énergie'!O159</f>
        <v>20.218598700628217</v>
      </c>
      <c r="G29" s="246">
        <f>-'Bilan d''énergie'!O200</f>
        <v>19.949124155405496</v>
      </c>
      <c r="H29" s="246">
        <f>-'Bilan d''énergie'!O241</f>
        <v>19.679055079900618</v>
      </c>
      <c r="I29" s="246">
        <f>-'Bilan d''énergie'!O282</f>
        <v>19.394725814596576</v>
      </c>
      <c r="N29" s="335"/>
      <c r="P29" s="350"/>
      <c r="Q29" s="351"/>
      <c r="R29" s="351"/>
      <c r="S29" s="351"/>
      <c r="T29" s="351"/>
      <c r="U29" s="351"/>
      <c r="V29" s="351"/>
      <c r="W29" s="351"/>
      <c r="X29" s="352"/>
      <c r="AB29" s="236"/>
      <c r="AC29" s="236"/>
      <c r="AD29" s="237"/>
      <c r="AE29" s="237"/>
      <c r="AF29" s="237"/>
      <c r="AG29" s="237"/>
      <c r="AH29" s="236"/>
      <c r="AI29" s="236"/>
      <c r="AJ29" s="236"/>
    </row>
    <row r="30" spans="1:37">
      <c r="A30" s="521" t="s">
        <v>154</v>
      </c>
      <c r="B30" s="521"/>
      <c r="C30" s="521"/>
      <c r="D30" s="521"/>
      <c r="E30" s="521"/>
      <c r="F30" s="521"/>
      <c r="G30" s="521"/>
      <c r="H30" s="521"/>
      <c r="I30" s="521"/>
      <c r="J30" s="76"/>
      <c r="K30" s="76"/>
      <c r="L30" s="76"/>
      <c r="M30" s="202"/>
      <c r="N30" s="342"/>
      <c r="P30" s="526" t="s">
        <v>154</v>
      </c>
      <c r="Q30" s="527"/>
      <c r="R30" s="527"/>
      <c r="S30" s="527"/>
      <c r="T30" s="527"/>
      <c r="U30" s="527"/>
      <c r="V30" s="527"/>
      <c r="W30" s="527"/>
      <c r="X30" s="528"/>
      <c r="AB30" s="522" t="s">
        <v>154</v>
      </c>
      <c r="AC30" s="522"/>
      <c r="AD30" s="522"/>
      <c r="AE30" s="522"/>
      <c r="AF30" s="522"/>
      <c r="AG30" s="522"/>
      <c r="AH30" s="522"/>
      <c r="AI30" s="522"/>
      <c r="AJ30" s="522"/>
    </row>
    <row r="31" spans="1:37">
      <c r="A31" s="30" t="s">
        <v>148</v>
      </c>
      <c r="B31" s="346">
        <f>G10</f>
        <v>0</v>
      </c>
      <c r="C31" s="346">
        <f>M10</f>
        <v>0</v>
      </c>
      <c r="D31" s="346">
        <f t="shared" ref="D31:I32" si="1">N10</f>
        <v>0</v>
      </c>
      <c r="E31" s="346">
        <f t="shared" si="1"/>
        <v>0</v>
      </c>
      <c r="F31" s="346">
        <f t="shared" si="1"/>
        <v>0</v>
      </c>
      <c r="G31" s="346">
        <f t="shared" si="1"/>
        <v>0</v>
      </c>
      <c r="H31" s="346">
        <f t="shared" si="1"/>
        <v>0</v>
      </c>
      <c r="I31" s="346">
        <f t="shared" si="1"/>
        <v>0</v>
      </c>
      <c r="J31" s="35"/>
      <c r="K31" s="35"/>
      <c r="L31" s="331"/>
      <c r="M31" s="331"/>
      <c r="N31" s="337"/>
      <c r="P31" s="30" t="s">
        <v>148</v>
      </c>
      <c r="Q31" s="30"/>
      <c r="R31" s="77"/>
      <c r="S31" s="30"/>
      <c r="T31" s="30"/>
      <c r="U31" s="30"/>
      <c r="V31" s="30"/>
      <c r="W31" s="30"/>
      <c r="X31" s="30"/>
      <c r="AB31" s="30" t="s">
        <v>148</v>
      </c>
      <c r="AC31" s="78"/>
      <c r="AD31" s="77"/>
      <c r="AE31" s="30"/>
      <c r="AF31" s="30"/>
      <c r="AG31" s="30"/>
      <c r="AH31" s="30"/>
      <c r="AI31" s="30"/>
      <c r="AJ31" s="30"/>
      <c r="AK31" t="s">
        <v>155</v>
      </c>
    </row>
    <row r="32" spans="1:37">
      <c r="A32" s="30" t="s">
        <v>14</v>
      </c>
      <c r="B32" s="346">
        <f t="shared" ref="B32:B41" si="2">G11</f>
        <v>0</v>
      </c>
      <c r="C32" s="346">
        <f t="shared" ref="C32:C41" si="3">M11</f>
        <v>0</v>
      </c>
      <c r="D32" s="346">
        <f t="shared" si="1"/>
        <v>0</v>
      </c>
      <c r="E32" s="346">
        <f t="shared" si="1"/>
        <v>0</v>
      </c>
      <c r="F32" s="346">
        <f t="shared" si="1"/>
        <v>0</v>
      </c>
      <c r="G32" s="346">
        <f t="shared" si="1"/>
        <v>0</v>
      </c>
      <c r="H32" s="346">
        <f t="shared" si="1"/>
        <v>0</v>
      </c>
      <c r="I32" s="346">
        <f t="shared" si="1"/>
        <v>0</v>
      </c>
      <c r="J32" s="35"/>
      <c r="K32" s="35"/>
      <c r="L32" s="331"/>
      <c r="M32" s="331"/>
      <c r="N32" s="337"/>
      <c r="P32" s="30" t="s">
        <v>14</v>
      </c>
      <c r="Q32" s="30"/>
      <c r="R32" s="79">
        <v>0.36</v>
      </c>
      <c r="S32" s="157">
        <v>0.3</v>
      </c>
      <c r="T32" s="157">
        <v>0.24</v>
      </c>
      <c r="U32" s="157">
        <v>0.18</v>
      </c>
      <c r="V32" s="157">
        <v>0.12000000000000002</v>
      </c>
      <c r="W32" s="157">
        <v>0.06</v>
      </c>
      <c r="X32" s="147">
        <v>0</v>
      </c>
      <c r="AB32" s="30" t="s">
        <v>14</v>
      </c>
      <c r="AC32" s="81">
        <v>0.4</v>
      </c>
      <c r="AD32" s="79">
        <v>0.36</v>
      </c>
      <c r="AE32" s="30"/>
      <c r="AF32" s="30"/>
      <c r="AG32" s="30"/>
      <c r="AH32" s="30"/>
      <c r="AI32" s="30"/>
      <c r="AJ32" s="30"/>
      <c r="AK32" t="s">
        <v>156</v>
      </c>
    </row>
    <row r="33" spans="1:37">
      <c r="A33" s="30" t="s">
        <v>16</v>
      </c>
      <c r="B33" s="346">
        <f t="shared" si="2"/>
        <v>0.99350649350649356</v>
      </c>
      <c r="C33" s="346">
        <f t="shared" si="3"/>
        <v>0.96099999999999997</v>
      </c>
      <c r="D33" s="80">
        <f t="shared" ref="D33:I33" si="4">1-SUM(D34:D41)</f>
        <v>0.37286389921535312</v>
      </c>
      <c r="E33" s="157">
        <f t="shared" si="4"/>
        <v>0.36238213034329869</v>
      </c>
      <c r="F33" s="157">
        <f t="shared" si="4"/>
        <v>0.3533181901674648</v>
      </c>
      <c r="G33" s="157">
        <f t="shared" si="4"/>
        <v>0.34458275470418864</v>
      </c>
      <c r="H33" s="157">
        <f t="shared" si="4"/>
        <v>0.33558801746765421</v>
      </c>
      <c r="I33" s="157">
        <f t="shared" si="4"/>
        <v>0.32584764925319631</v>
      </c>
      <c r="J33" s="35"/>
      <c r="K33" s="35"/>
      <c r="L33" s="331"/>
      <c r="M33" s="331"/>
      <c r="N33" s="337"/>
      <c r="P33" s="30" t="s">
        <v>444</v>
      </c>
      <c r="Q33" s="30"/>
      <c r="R33" s="86">
        <v>0.33</v>
      </c>
      <c r="S33" s="157">
        <v>0.3066666666666667</v>
      </c>
      <c r="T33" s="157">
        <v>0.28333333333333333</v>
      </c>
      <c r="U33" s="157">
        <v>0.26</v>
      </c>
      <c r="V33" s="157">
        <v>0.23666666666666669</v>
      </c>
      <c r="W33" s="157">
        <v>0.21333333333333332</v>
      </c>
      <c r="X33" s="147">
        <v>0.19</v>
      </c>
      <c r="AB33" s="30" t="s">
        <v>16</v>
      </c>
      <c r="AC33" s="81">
        <v>0.24</v>
      </c>
      <c r="AD33" s="82">
        <v>0.33</v>
      </c>
      <c r="AE33" s="30"/>
      <c r="AF33" s="30"/>
      <c r="AG33" s="30"/>
      <c r="AH33" s="30"/>
      <c r="AI33" s="30"/>
      <c r="AJ33" s="83">
        <v>0.19</v>
      </c>
    </row>
    <row r="34" spans="1:37">
      <c r="A34" s="30" t="s">
        <v>27</v>
      </c>
      <c r="B34" s="346">
        <f t="shared" si="2"/>
        <v>6.4935064935064939E-3</v>
      </c>
      <c r="C34" s="346">
        <f t="shared" si="3"/>
        <v>4.0000000000000001E-3</v>
      </c>
      <c r="D34" s="85">
        <f>(4.379+0.771)/D29</f>
        <v>0.24701727870293924</v>
      </c>
      <c r="E34" s="85">
        <f>$D$34*$D$29/E29</f>
        <v>0.25114585305789766</v>
      </c>
      <c r="F34" s="85">
        <f>$D$34*$D$29/F29</f>
        <v>0.25471597098566395</v>
      </c>
      <c r="G34" s="85">
        <f>$D$34*$D$29/G29</f>
        <v>0.25815669699987981</v>
      </c>
      <c r="H34" s="85">
        <f>$D$34*$D$29/H29</f>
        <v>0.26169955717335225</v>
      </c>
      <c r="I34" s="85">
        <f>$D$34*$D$29/I29</f>
        <v>0.26553610755992652</v>
      </c>
      <c r="J34" s="35"/>
      <c r="K34" s="35"/>
      <c r="L34" s="35"/>
      <c r="M34" s="175"/>
      <c r="N34" s="337"/>
      <c r="P34" s="30" t="s">
        <v>445</v>
      </c>
      <c r="Q34" s="30"/>
      <c r="R34" s="77"/>
      <c r="S34" s="30"/>
      <c r="T34" s="30"/>
      <c r="U34" s="30"/>
      <c r="V34" s="30"/>
      <c r="W34" s="30"/>
      <c r="X34" s="30"/>
      <c r="AB34" s="30" t="s">
        <v>27</v>
      </c>
      <c r="AC34" s="78">
        <v>0</v>
      </c>
      <c r="AD34" s="77"/>
      <c r="AE34" s="30"/>
      <c r="AF34" s="30"/>
      <c r="AG34" s="30"/>
      <c r="AH34" s="30"/>
      <c r="AI34" s="30"/>
      <c r="AJ34" s="30"/>
    </row>
    <row r="35" spans="1:37">
      <c r="A35" s="30" t="s">
        <v>149</v>
      </c>
      <c r="B35" s="346">
        <f t="shared" si="2"/>
        <v>0</v>
      </c>
      <c r="C35" s="346">
        <f t="shared" si="3"/>
        <v>0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  <c r="I35" s="85">
        <v>0</v>
      </c>
      <c r="J35" s="84"/>
      <c r="K35" s="35"/>
      <c r="L35" s="35"/>
      <c r="M35" s="175"/>
      <c r="N35" s="337"/>
      <c r="P35" s="30" t="s">
        <v>149</v>
      </c>
      <c r="Q35" s="30"/>
      <c r="R35" s="77"/>
      <c r="S35" s="30"/>
      <c r="T35" s="30"/>
      <c r="U35" s="30"/>
      <c r="V35" s="30"/>
      <c r="W35" s="30"/>
      <c r="X35" s="30"/>
      <c r="AB35" s="30" t="s">
        <v>149</v>
      </c>
      <c r="AC35" s="78">
        <v>0</v>
      </c>
      <c r="AD35" s="77"/>
      <c r="AE35" s="30"/>
      <c r="AF35" s="30"/>
      <c r="AG35" s="30"/>
      <c r="AH35" s="30"/>
      <c r="AI35" s="30"/>
      <c r="AJ35" s="30"/>
    </row>
    <row r="36" spans="1:37">
      <c r="A36" s="30" t="s">
        <v>7</v>
      </c>
      <c r="B36" s="346">
        <f t="shared" si="2"/>
        <v>0</v>
      </c>
      <c r="C36" s="346">
        <f t="shared" si="3"/>
        <v>0</v>
      </c>
      <c r="D36" s="85">
        <v>0</v>
      </c>
      <c r="E36" s="85">
        <v>0</v>
      </c>
      <c r="F36" s="85">
        <v>0</v>
      </c>
      <c r="G36" s="85">
        <v>0</v>
      </c>
      <c r="H36" s="85">
        <v>0</v>
      </c>
      <c r="I36" s="85">
        <v>0</v>
      </c>
      <c r="J36" s="162"/>
      <c r="K36" s="175"/>
      <c r="L36" s="175"/>
      <c r="M36" s="175"/>
      <c r="N36" s="337"/>
      <c r="P36" s="30" t="s">
        <v>446</v>
      </c>
      <c r="Q36" s="30"/>
      <c r="R36" s="79">
        <v>0.08</v>
      </c>
      <c r="S36" s="85">
        <v>0.10150537634408602</v>
      </c>
      <c r="T36" s="85">
        <v>0.12301075268817205</v>
      </c>
      <c r="U36" s="85">
        <v>0.14451612903225808</v>
      </c>
      <c r="V36" s="85">
        <v>0.16602150537634408</v>
      </c>
      <c r="W36" s="85">
        <v>0.18752688172043011</v>
      </c>
      <c r="X36" s="85">
        <v>0.20903225806451614</v>
      </c>
      <c r="AB36" s="30" t="s">
        <v>7</v>
      </c>
      <c r="AC36" s="78">
        <v>0</v>
      </c>
      <c r="AD36" s="77"/>
      <c r="AE36" s="30"/>
      <c r="AF36" s="30"/>
      <c r="AG36" s="30"/>
      <c r="AH36" s="30"/>
      <c r="AI36" s="30"/>
      <c r="AJ36" s="30"/>
    </row>
    <row r="37" spans="1:37">
      <c r="A37" s="30" t="s">
        <v>372</v>
      </c>
      <c r="B37" s="346">
        <f t="shared" si="2"/>
        <v>0</v>
      </c>
      <c r="C37" s="346">
        <f t="shared" si="3"/>
        <v>0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  <c r="I37" s="85">
        <v>0</v>
      </c>
      <c r="J37" s="162"/>
      <c r="K37" s="175"/>
      <c r="L37" s="175"/>
      <c r="M37" s="175"/>
      <c r="N37" s="337"/>
      <c r="P37" s="30" t="s">
        <v>447</v>
      </c>
      <c r="Q37" s="30"/>
      <c r="R37" s="86">
        <v>0.09</v>
      </c>
      <c r="S37" s="85">
        <v>0.11419354838709675</v>
      </c>
      <c r="T37" s="85">
        <v>0.13838709677419353</v>
      </c>
      <c r="U37" s="85">
        <v>0.16258064516129031</v>
      </c>
      <c r="V37" s="85">
        <v>0.18677419354838706</v>
      </c>
      <c r="W37" s="85">
        <v>0.21096774193548384</v>
      </c>
      <c r="X37" s="85">
        <v>0.23516129032258062</v>
      </c>
      <c r="AB37" s="30" t="s">
        <v>372</v>
      </c>
      <c r="AC37" s="78">
        <v>0</v>
      </c>
      <c r="AD37" s="77"/>
      <c r="AE37" s="30"/>
      <c r="AF37" s="30"/>
      <c r="AG37" s="30"/>
      <c r="AH37" s="30"/>
      <c r="AI37" s="30"/>
      <c r="AJ37" s="30"/>
    </row>
    <row r="38" spans="1:37">
      <c r="A38" s="30" t="s">
        <v>371</v>
      </c>
      <c r="B38" s="346">
        <f t="shared" si="2"/>
        <v>0</v>
      </c>
      <c r="C38" s="346">
        <f t="shared" si="3"/>
        <v>0</v>
      </c>
      <c r="D38" s="85">
        <f>4/D29</f>
        <v>0.19185808054597225</v>
      </c>
      <c r="E38" s="85">
        <f>$D$38*$D$29/E29</f>
        <v>0.19506474023914383</v>
      </c>
      <c r="F38" s="85">
        <f>$D$38*$D$29/F29</f>
        <v>0.197837647367506</v>
      </c>
      <c r="G38" s="85">
        <f>$D$38*$D$29/G29</f>
        <v>0.20051005592223675</v>
      </c>
      <c r="H38" s="85">
        <f>$D$38*$D$29/H29</f>
        <v>0.20326179197930272</v>
      </c>
      <c r="I38" s="85">
        <f>$D$38*$D$29/I29</f>
        <v>0.20624163693974876</v>
      </c>
      <c r="J38" s="35"/>
      <c r="K38" s="35"/>
      <c r="L38" s="35"/>
      <c r="M38" s="175"/>
      <c r="N38" s="337"/>
      <c r="P38" s="30" t="s">
        <v>25</v>
      </c>
      <c r="Q38" s="30"/>
      <c r="R38" s="79">
        <v>0.14000000000000001</v>
      </c>
      <c r="S38" s="85">
        <v>0.17763440860215055</v>
      </c>
      <c r="T38" s="85">
        <v>0.21526881720430111</v>
      </c>
      <c r="U38" s="85">
        <v>0.25290322580645164</v>
      </c>
      <c r="V38" s="85">
        <v>0.29053763440860214</v>
      </c>
      <c r="W38" s="85">
        <v>0.3281720430107527</v>
      </c>
      <c r="X38" s="85">
        <v>0.36580645161290326</v>
      </c>
      <c r="AB38" s="30" t="s">
        <v>371</v>
      </c>
      <c r="AC38" s="81">
        <v>0.09</v>
      </c>
      <c r="AD38" s="79">
        <v>0.08</v>
      </c>
      <c r="AE38" s="30"/>
      <c r="AF38" s="30"/>
      <c r="AG38" s="30"/>
      <c r="AH38" s="30"/>
      <c r="AI38" s="30"/>
      <c r="AJ38" s="30"/>
    </row>
    <row r="39" spans="1:37">
      <c r="A39" s="30" t="s">
        <v>26</v>
      </c>
      <c r="B39" s="346">
        <f t="shared" si="2"/>
        <v>0</v>
      </c>
      <c r="C39" s="346">
        <f t="shared" si="3"/>
        <v>0</v>
      </c>
      <c r="D39" s="85">
        <f>1.5/D29</f>
        <v>7.1946780204739602E-2</v>
      </c>
      <c r="E39" s="85">
        <f>$D$39*$D$29/E29</f>
        <v>7.3149277589678943E-2</v>
      </c>
      <c r="F39" s="85">
        <f>$D$39*$D$29/F29</f>
        <v>7.4189117762814755E-2</v>
      </c>
      <c r="G39" s="85">
        <f>$D$39*$D$29/G29</f>
        <v>7.5191270970838789E-2</v>
      </c>
      <c r="H39" s="85">
        <f>$D$39*$D$29/H29</f>
        <v>7.6223171992238534E-2</v>
      </c>
      <c r="I39" s="85">
        <f>$D$39*$D$29/I29</f>
        <v>7.7340613852405801E-2</v>
      </c>
      <c r="J39" s="84"/>
      <c r="K39" s="35"/>
      <c r="L39" s="35"/>
      <c r="M39" s="175"/>
      <c r="N39" s="337"/>
      <c r="P39" s="30" t="s">
        <v>150</v>
      </c>
      <c r="Q39" s="30"/>
      <c r="R39" s="86"/>
      <c r="S39" s="30"/>
      <c r="T39" s="30"/>
      <c r="U39" s="30"/>
      <c r="V39" s="30"/>
      <c r="W39" s="30"/>
      <c r="X39" s="30"/>
      <c r="AB39" s="30" t="s">
        <v>26</v>
      </c>
      <c r="AC39" s="270">
        <v>0.1</v>
      </c>
      <c r="AD39" s="77"/>
      <c r="AE39" s="30"/>
      <c r="AF39" s="30"/>
      <c r="AG39" s="30"/>
      <c r="AH39" s="30"/>
      <c r="AI39" s="30"/>
      <c r="AJ39" s="30"/>
    </row>
    <row r="40" spans="1:37">
      <c r="A40" s="30" t="s">
        <v>25</v>
      </c>
      <c r="B40" s="346">
        <f t="shared" si="2"/>
        <v>0</v>
      </c>
      <c r="C40" s="346">
        <f t="shared" si="3"/>
        <v>3.5000000000000003E-2</v>
      </c>
      <c r="D40" s="85">
        <f>1.625/D29</f>
        <v>7.7942345221801226E-2</v>
      </c>
      <c r="E40" s="85">
        <f>$D$40*$D$29/E29</f>
        <v>7.9245050722152183E-2</v>
      </c>
      <c r="F40" s="85">
        <f>$D$40*$D$29/F29</f>
        <v>8.0371544243049306E-2</v>
      </c>
      <c r="G40" s="85">
        <f>$D$40*$D$29/G29</f>
        <v>8.1457210218408682E-2</v>
      </c>
      <c r="H40" s="85">
        <f>$D$40*$D$29/H29</f>
        <v>8.2575102991591737E-2</v>
      </c>
      <c r="I40" s="85">
        <f>$D$40*$D$29/I29</f>
        <v>8.3785665006772939E-2</v>
      </c>
      <c r="J40" s="35"/>
      <c r="K40" s="35"/>
      <c r="L40" s="35"/>
      <c r="M40" s="175"/>
      <c r="N40" s="337"/>
      <c r="P40" s="159" t="s">
        <v>23</v>
      </c>
      <c r="Q40" s="159"/>
      <c r="R40" s="86">
        <v>1</v>
      </c>
      <c r="S40" s="159"/>
      <c r="T40" s="159"/>
      <c r="U40" s="159"/>
      <c r="V40" s="159"/>
      <c r="W40" s="159"/>
      <c r="X40" s="330">
        <v>1</v>
      </c>
      <c r="AB40" s="30" t="s">
        <v>25</v>
      </c>
      <c r="AC40" s="81">
        <v>0.17</v>
      </c>
      <c r="AD40" s="79">
        <v>0.14000000000000001</v>
      </c>
      <c r="AE40" s="30"/>
      <c r="AF40" s="30"/>
      <c r="AG40" s="30"/>
      <c r="AH40" s="30"/>
      <c r="AI40" s="30"/>
      <c r="AJ40" s="30"/>
    </row>
    <row r="41" spans="1:37">
      <c r="A41" s="30" t="s">
        <v>398</v>
      </c>
      <c r="B41" s="346">
        <f t="shared" si="2"/>
        <v>0</v>
      </c>
      <c r="C41" s="346">
        <f t="shared" si="3"/>
        <v>0</v>
      </c>
      <c r="D41" s="85">
        <f>0.8/D29</f>
        <v>3.8371616109194456E-2</v>
      </c>
      <c r="E41" s="85">
        <f>$D$41*$D$29/E29</f>
        <v>3.9012948047828774E-2</v>
      </c>
      <c r="F41" s="85">
        <f>$D$41*$D$29/F29</f>
        <v>3.9567529473501208E-2</v>
      </c>
      <c r="G41" s="85">
        <f>$D$41*$D$29/G29</f>
        <v>4.010201118444736E-2</v>
      </c>
      <c r="H41" s="85">
        <f>$D$41*$D$29/H29</f>
        <v>4.0652358395860552E-2</v>
      </c>
      <c r="I41" s="85">
        <f>$D$41*$D$29/I29</f>
        <v>4.1248327387949757E-2</v>
      </c>
      <c r="J41" s="84"/>
      <c r="K41" s="35"/>
      <c r="L41" s="35"/>
      <c r="M41" s="175"/>
      <c r="N41" s="337"/>
      <c r="P41" s="30" t="s">
        <v>151</v>
      </c>
      <c r="Q41" s="30"/>
      <c r="R41" s="86">
        <v>0.31</v>
      </c>
      <c r="S41" s="147">
        <v>0.39333333333333331</v>
      </c>
      <c r="T41" s="147">
        <v>0.47666666666666668</v>
      </c>
      <c r="U41" s="147">
        <v>0.56000000000000005</v>
      </c>
      <c r="V41" s="147">
        <v>0.64333333333333331</v>
      </c>
      <c r="W41" s="147">
        <v>0.72666666666666668</v>
      </c>
      <c r="X41" s="147">
        <v>0.81</v>
      </c>
      <c r="AB41" s="30" t="s">
        <v>398</v>
      </c>
      <c r="AC41" s="78">
        <v>0</v>
      </c>
      <c r="AD41" s="77"/>
      <c r="AE41" s="30"/>
      <c r="AF41" s="30"/>
      <c r="AG41" s="30"/>
      <c r="AH41" s="30"/>
      <c r="AI41" s="30"/>
      <c r="AJ41" s="30"/>
    </row>
    <row r="42" spans="1:37">
      <c r="A42" s="72" t="s">
        <v>23</v>
      </c>
      <c r="B42" s="72"/>
      <c r="C42" s="82">
        <f>SUM(C31:C41)</f>
        <v>1</v>
      </c>
      <c r="D42" s="90">
        <f t="shared" ref="D42:I42" si="5">SUM(D32:D41)</f>
        <v>0.99999999999999989</v>
      </c>
      <c r="E42" s="90">
        <f t="shared" si="5"/>
        <v>1.0000000000000002</v>
      </c>
      <c r="F42" s="90">
        <f t="shared" si="5"/>
        <v>1</v>
      </c>
      <c r="G42" s="90">
        <f t="shared" si="5"/>
        <v>1.0000000000000002</v>
      </c>
      <c r="H42" s="90">
        <f t="shared" si="5"/>
        <v>1</v>
      </c>
      <c r="I42" s="90">
        <f t="shared" si="5"/>
        <v>1</v>
      </c>
      <c r="J42" s="35"/>
      <c r="K42" s="35"/>
      <c r="L42" s="35"/>
      <c r="M42" s="175"/>
      <c r="N42" s="337"/>
      <c r="AB42" s="72" t="s">
        <v>23</v>
      </c>
      <c r="AC42" s="81">
        <v>1</v>
      </c>
      <c r="AD42" s="82">
        <v>1</v>
      </c>
      <c r="AE42" s="72"/>
      <c r="AF42" s="72"/>
      <c r="AG42" s="72"/>
      <c r="AH42" s="72"/>
      <c r="AI42" s="72"/>
      <c r="AJ42" s="87">
        <v>1</v>
      </c>
    </row>
    <row r="43" spans="1:37">
      <c r="A43" s="30" t="s">
        <v>151</v>
      </c>
      <c r="B43" s="30"/>
      <c r="C43" s="147">
        <f t="shared" ref="C43:I43" si="6">SUM(C34:C41)</f>
        <v>3.9000000000000007E-2</v>
      </c>
      <c r="D43" s="83">
        <f t="shared" si="6"/>
        <v>0.62713610078464688</v>
      </c>
      <c r="E43" s="147">
        <f t="shared" si="6"/>
        <v>0.63761786965670131</v>
      </c>
      <c r="F43" s="147">
        <f t="shared" si="6"/>
        <v>0.6466818098325352</v>
      </c>
      <c r="G43" s="147">
        <f t="shared" si="6"/>
        <v>0.65541724529581136</v>
      </c>
      <c r="H43" s="147">
        <f t="shared" si="6"/>
        <v>0.66441198253234579</v>
      </c>
      <c r="I43" s="147">
        <f t="shared" si="6"/>
        <v>0.67415235074680369</v>
      </c>
      <c r="J43" s="35"/>
      <c r="K43" s="35"/>
      <c r="L43" s="35"/>
      <c r="M43" s="175"/>
      <c r="N43" s="337"/>
      <c r="AB43" s="30" t="s">
        <v>151</v>
      </c>
      <c r="AC43" s="81">
        <v>0.38</v>
      </c>
      <c r="AD43" s="82">
        <v>0.31</v>
      </c>
      <c r="AE43" s="30"/>
      <c r="AF43" s="30"/>
      <c r="AG43" s="30"/>
      <c r="AH43" s="30"/>
      <c r="AI43" s="30"/>
      <c r="AJ43" s="83">
        <v>0.81</v>
      </c>
      <c r="AK43" t="s">
        <v>157</v>
      </c>
    </row>
    <row r="44" spans="1:37" s="333" customFormat="1" ht="31.2" customHeight="1">
      <c r="A44" s="523" t="s">
        <v>589</v>
      </c>
      <c r="B44" s="523"/>
      <c r="C44" s="523"/>
      <c r="D44" s="523"/>
      <c r="E44" s="523"/>
      <c r="F44" s="523"/>
      <c r="G44" s="523"/>
      <c r="H44" s="523"/>
      <c r="I44" s="523"/>
      <c r="N44" s="335"/>
    </row>
    <row r="46" spans="1:37">
      <c r="A46" s="516" t="s">
        <v>449</v>
      </c>
      <c r="B46" s="516"/>
      <c r="C46" s="516"/>
      <c r="D46" s="516"/>
      <c r="E46" s="516"/>
      <c r="F46" s="516"/>
      <c r="G46" s="516"/>
      <c r="H46" s="516"/>
      <c r="I46" s="516"/>
      <c r="P46" s="516" t="s">
        <v>452</v>
      </c>
      <c r="Q46" s="516"/>
      <c r="R46" s="516"/>
      <c r="S46" s="516"/>
      <c r="T46" s="516"/>
      <c r="U46" s="516"/>
      <c r="V46" s="516"/>
      <c r="W46" s="516"/>
      <c r="X46" s="516"/>
      <c r="AB46" s="516" t="s">
        <v>159</v>
      </c>
      <c r="AC46" s="516"/>
      <c r="AD46" s="516"/>
      <c r="AE46" s="516"/>
      <c r="AF46" s="516"/>
      <c r="AG46" s="516"/>
      <c r="AH46" s="516"/>
      <c r="AI46" s="516"/>
      <c r="AJ46" s="516"/>
    </row>
    <row r="48" spans="1:37">
      <c r="A48" s="236"/>
      <c r="B48" s="236">
        <v>2015</v>
      </c>
      <c r="C48" s="236">
        <v>2020</v>
      </c>
      <c r="D48" s="236">
        <v>2025</v>
      </c>
      <c r="E48" s="236">
        <v>2030</v>
      </c>
      <c r="F48" s="236">
        <v>2035</v>
      </c>
      <c r="G48" s="236">
        <v>2040</v>
      </c>
      <c r="H48" s="236">
        <v>2045</v>
      </c>
      <c r="I48" s="236">
        <v>2050</v>
      </c>
      <c r="L48" s="333"/>
      <c r="M48" s="333"/>
      <c r="P48" s="236"/>
      <c r="Q48" s="236">
        <v>2015</v>
      </c>
      <c r="R48" s="236">
        <v>2020</v>
      </c>
      <c r="S48" s="236">
        <v>2025</v>
      </c>
      <c r="T48" s="236">
        <v>2030</v>
      </c>
      <c r="U48" s="236">
        <v>2035</v>
      </c>
      <c r="V48" s="236">
        <v>2040</v>
      </c>
      <c r="W48" s="236">
        <v>2045</v>
      </c>
      <c r="X48" s="236">
        <v>2050</v>
      </c>
      <c r="AB48" s="236"/>
      <c r="AC48" s="236">
        <v>2015</v>
      </c>
      <c r="AD48" s="237">
        <v>2018</v>
      </c>
      <c r="AE48" s="237">
        <v>2023</v>
      </c>
      <c r="AF48" s="237">
        <v>2028</v>
      </c>
      <c r="AG48" s="237">
        <v>2033</v>
      </c>
      <c r="AH48" s="236">
        <v>2040</v>
      </c>
      <c r="AI48" s="236">
        <v>2045</v>
      </c>
      <c r="AJ48" s="236">
        <v>2050</v>
      </c>
    </row>
    <row r="49" spans="1:36" s="349" customFormat="1">
      <c r="A49" s="521" t="s">
        <v>472</v>
      </c>
      <c r="B49" s="521"/>
      <c r="C49" s="521"/>
      <c r="D49" s="521"/>
      <c r="E49" s="521"/>
      <c r="F49" s="521"/>
      <c r="G49" s="521"/>
      <c r="H49" s="521"/>
      <c r="I49" s="521"/>
      <c r="L49" s="333"/>
      <c r="M49" s="333"/>
      <c r="N49" s="335"/>
      <c r="P49" s="236"/>
      <c r="Q49" s="236"/>
      <c r="R49" s="236"/>
      <c r="S49" s="236"/>
      <c r="T49" s="236"/>
      <c r="U49" s="236"/>
      <c r="V49" s="236"/>
      <c r="W49" s="236"/>
      <c r="X49" s="236"/>
      <c r="AB49" s="236"/>
      <c r="AC49" s="236"/>
      <c r="AD49" s="237"/>
      <c r="AE49" s="237"/>
      <c r="AF49" s="237"/>
      <c r="AG49" s="237"/>
      <c r="AH49" s="236"/>
      <c r="AI49" s="236"/>
      <c r="AJ49" s="236"/>
    </row>
    <row r="50" spans="1:36" s="349" customFormat="1">
      <c r="A50" s="236"/>
      <c r="B50" s="236"/>
      <c r="C50" s="236"/>
      <c r="D50" s="236"/>
      <c r="E50" s="236">
        <f>-'Bilan d''énergie'!AI118</f>
        <v>14.843106163464507</v>
      </c>
      <c r="F50" s="236">
        <f>-'Bilan d''énergie'!AI159</f>
        <v>16.717984924082355</v>
      </c>
      <c r="G50" s="236">
        <f>-'Bilan d''énergie'!AI200</f>
        <v>18.875964113118037</v>
      </c>
      <c r="H50" s="236">
        <f>-'Bilan d''énergie'!AI241</f>
        <v>21.038589700199996</v>
      </c>
      <c r="I50" s="236">
        <f>-'Bilan d''énergie'!AI282</f>
        <v>22.92557019102119</v>
      </c>
      <c r="L50" s="333"/>
      <c r="M50" s="333"/>
      <c r="N50" s="335"/>
      <c r="P50" s="236"/>
      <c r="Q50" s="236"/>
      <c r="R50" s="236"/>
      <c r="S50" s="236"/>
      <c r="T50" s="236"/>
      <c r="U50" s="236"/>
      <c r="V50" s="236"/>
      <c r="W50" s="236"/>
      <c r="X50" s="236"/>
      <c r="AB50" s="236"/>
      <c r="AC50" s="236"/>
      <c r="AD50" s="237"/>
      <c r="AE50" s="237"/>
      <c r="AF50" s="237"/>
      <c r="AG50" s="237"/>
      <c r="AH50" s="236"/>
      <c r="AI50" s="236"/>
      <c r="AJ50" s="236"/>
    </row>
    <row r="51" spans="1:36">
      <c r="A51" s="521" t="s">
        <v>154</v>
      </c>
      <c r="B51" s="521"/>
      <c r="C51" s="521"/>
      <c r="D51" s="521"/>
      <c r="E51" s="521"/>
      <c r="F51" s="521"/>
      <c r="G51" s="521"/>
      <c r="H51" s="521"/>
      <c r="I51" s="521"/>
      <c r="L51" s="334"/>
      <c r="M51" s="334"/>
      <c r="N51" s="343"/>
      <c r="P51" s="521" t="s">
        <v>154</v>
      </c>
      <c r="Q51" s="521"/>
      <c r="R51" s="521"/>
      <c r="S51" s="521"/>
      <c r="T51" s="521"/>
      <c r="U51" s="521"/>
      <c r="V51" s="521"/>
      <c r="W51" s="521"/>
      <c r="X51" s="521"/>
      <c r="AB51" s="522" t="s">
        <v>154</v>
      </c>
      <c r="AC51" s="522"/>
      <c r="AD51" s="522"/>
      <c r="AE51" s="522"/>
      <c r="AF51" s="522"/>
      <c r="AG51" s="522"/>
      <c r="AH51" s="522"/>
      <c r="AI51" s="522"/>
      <c r="AJ51" s="522"/>
    </row>
    <row r="52" spans="1:36">
      <c r="A52" s="30" t="s">
        <v>148</v>
      </c>
      <c r="B52" s="493">
        <f>B31</f>
        <v>0</v>
      </c>
      <c r="C52" s="493">
        <f>C31</f>
        <v>0</v>
      </c>
      <c r="D52" s="147">
        <f>D31</f>
        <v>0</v>
      </c>
      <c r="E52" s="147">
        <f t="shared" ref="E52:I52" si="7">E31</f>
        <v>0</v>
      </c>
      <c r="F52" s="147">
        <f>I52*$F$50/$I$50</f>
        <v>0</v>
      </c>
      <c r="G52" s="147">
        <f>I52*$G$50/$I$50</f>
        <v>0</v>
      </c>
      <c r="H52" s="147">
        <f>I52*$H$50/$I$50</f>
        <v>0</v>
      </c>
      <c r="I52" s="147">
        <f t="shared" si="7"/>
        <v>0</v>
      </c>
      <c r="L52" s="333"/>
      <c r="M52" s="333"/>
      <c r="P52" s="30" t="s">
        <v>148</v>
      </c>
      <c r="Q52" s="78"/>
      <c r="R52" s="77"/>
      <c r="S52" s="30"/>
      <c r="T52" s="30"/>
      <c r="U52" s="30"/>
      <c r="V52" s="30"/>
      <c r="W52" s="30"/>
      <c r="X52" s="30"/>
      <c r="AB52" s="30" t="s">
        <v>148</v>
      </c>
      <c r="AC52" s="78"/>
      <c r="AD52" s="30"/>
      <c r="AE52" s="30"/>
      <c r="AF52" s="30"/>
      <c r="AG52" s="30"/>
      <c r="AH52" s="30"/>
      <c r="AI52" s="30"/>
      <c r="AJ52" s="30"/>
    </row>
    <row r="53" spans="1:36">
      <c r="A53" s="30" t="s">
        <v>14</v>
      </c>
      <c r="B53" s="493">
        <f t="shared" ref="B53:D62" si="8">B32</f>
        <v>0</v>
      </c>
      <c r="C53" s="493">
        <f t="shared" si="8"/>
        <v>0</v>
      </c>
      <c r="D53" s="147">
        <f t="shared" si="8"/>
        <v>0</v>
      </c>
      <c r="E53" s="83">
        <v>0</v>
      </c>
      <c r="F53" s="147">
        <f t="shared" ref="F53:F62" si="9">I53*$F$50/$I$50</f>
        <v>0</v>
      </c>
      <c r="G53" s="147">
        <f t="shared" ref="G53:G62" si="10">I53*$G$50/$I$50</f>
        <v>0</v>
      </c>
      <c r="H53" s="147">
        <f t="shared" ref="H53:H62" si="11">I53*$H$50/$I$50</f>
        <v>0</v>
      </c>
      <c r="I53" s="147">
        <v>0</v>
      </c>
      <c r="P53" s="30" t="s">
        <v>14</v>
      </c>
      <c r="Q53" s="81">
        <v>0.45</v>
      </c>
      <c r="R53" s="79">
        <v>0.36</v>
      </c>
      <c r="S53" s="147">
        <v>0.3</v>
      </c>
      <c r="T53" s="147">
        <v>0.24</v>
      </c>
      <c r="U53" s="147">
        <v>0.18</v>
      </c>
      <c r="V53" s="147">
        <v>0.12000000000000002</v>
      </c>
      <c r="W53" s="147">
        <v>0.06</v>
      </c>
      <c r="X53" s="88">
        <v>0</v>
      </c>
      <c r="AB53" s="30" t="s">
        <v>14</v>
      </c>
      <c r="AC53" s="81">
        <v>0.4</v>
      </c>
      <c r="AD53" s="30"/>
      <c r="AE53" s="30"/>
      <c r="AF53" s="30"/>
      <c r="AG53" s="30"/>
      <c r="AH53" s="30"/>
      <c r="AI53" s="30"/>
      <c r="AJ53" s="30">
        <v>0</v>
      </c>
    </row>
    <row r="54" spans="1:36">
      <c r="A54" s="30" t="s">
        <v>16</v>
      </c>
      <c r="B54" s="493">
        <f t="shared" si="8"/>
        <v>0.99350649350649356</v>
      </c>
      <c r="C54" s="493">
        <f t="shared" si="8"/>
        <v>0.96099999999999997</v>
      </c>
      <c r="D54" s="147">
        <f t="shared" si="8"/>
        <v>0.37286389921535312</v>
      </c>
      <c r="E54" s="83">
        <v>0.36238213034329869</v>
      </c>
      <c r="F54" s="147">
        <f t="shared" si="9"/>
        <v>0</v>
      </c>
      <c r="G54" s="147">
        <f t="shared" si="10"/>
        <v>0</v>
      </c>
      <c r="H54" s="147">
        <f t="shared" si="11"/>
        <v>0</v>
      </c>
      <c r="I54" s="147">
        <v>0</v>
      </c>
      <c r="P54" s="30" t="s">
        <v>444</v>
      </c>
      <c r="Q54" s="81">
        <v>0.17</v>
      </c>
      <c r="R54" s="86">
        <v>0.33</v>
      </c>
      <c r="S54" s="147">
        <v>0.27500000000000002</v>
      </c>
      <c r="T54" s="147">
        <v>0.22</v>
      </c>
      <c r="U54" s="147">
        <v>0.16500000000000001</v>
      </c>
      <c r="V54" s="147">
        <v>0.10999999999999999</v>
      </c>
      <c r="W54" s="147">
        <v>5.4999999999999993E-2</v>
      </c>
      <c r="X54" s="88">
        <v>0</v>
      </c>
      <c r="AB54" s="30" t="s">
        <v>16</v>
      </c>
      <c r="AC54" s="81">
        <v>0.24</v>
      </c>
      <c r="AD54" s="30"/>
      <c r="AE54" s="30"/>
      <c r="AF54" s="30"/>
      <c r="AG54" s="30"/>
      <c r="AH54" s="30"/>
      <c r="AI54" s="30"/>
      <c r="AJ54" s="30">
        <v>0</v>
      </c>
    </row>
    <row r="55" spans="1:36">
      <c r="A55" s="30" t="s">
        <v>27</v>
      </c>
      <c r="B55" s="493">
        <f t="shared" si="8"/>
        <v>6.4935064935064939E-3</v>
      </c>
      <c r="C55" s="493">
        <f t="shared" si="8"/>
        <v>4.0000000000000001E-3</v>
      </c>
      <c r="D55" s="147">
        <f t="shared" si="8"/>
        <v>0.24701727870293924</v>
      </c>
      <c r="E55" s="85">
        <v>0.25114585305789766</v>
      </c>
      <c r="F55" s="147">
        <f t="shared" si="9"/>
        <v>0.23335320042777333</v>
      </c>
      <c r="G55" s="147">
        <f t="shared" si="10"/>
        <v>0.2634747343629194</v>
      </c>
      <c r="H55" s="147">
        <f t="shared" si="11"/>
        <v>0.29366112371332542</v>
      </c>
      <c r="I55" s="85">
        <v>0.32</v>
      </c>
      <c r="P55" s="30" t="s">
        <v>445</v>
      </c>
      <c r="Q55" s="78"/>
      <c r="R55" s="77"/>
      <c r="S55" s="30"/>
      <c r="T55" s="30"/>
      <c r="U55" s="30"/>
      <c r="V55" s="30"/>
      <c r="W55" s="30"/>
      <c r="X55" s="30"/>
      <c r="AB55" s="30" t="s">
        <v>27</v>
      </c>
      <c r="AC55" s="78">
        <v>0</v>
      </c>
      <c r="AD55" s="30"/>
      <c r="AE55" s="30"/>
      <c r="AF55" s="30"/>
      <c r="AG55" s="30"/>
      <c r="AH55" s="30"/>
      <c r="AI55" s="30"/>
      <c r="AJ55" s="30"/>
    </row>
    <row r="56" spans="1:36">
      <c r="A56" s="30" t="s">
        <v>149</v>
      </c>
      <c r="B56" s="493">
        <f t="shared" si="8"/>
        <v>0</v>
      </c>
      <c r="C56" s="493">
        <f t="shared" si="8"/>
        <v>0</v>
      </c>
      <c r="D56" s="147">
        <f t="shared" si="8"/>
        <v>0</v>
      </c>
      <c r="E56" s="85">
        <v>0</v>
      </c>
      <c r="F56" s="147">
        <f t="shared" si="9"/>
        <v>0</v>
      </c>
      <c r="G56" s="147">
        <f t="shared" si="10"/>
        <v>0</v>
      </c>
      <c r="H56" s="147">
        <f t="shared" si="11"/>
        <v>0</v>
      </c>
      <c r="I56" s="85">
        <v>0</v>
      </c>
      <c r="P56" s="30" t="s">
        <v>149</v>
      </c>
      <c r="Q56" s="78"/>
      <c r="R56" s="77"/>
      <c r="S56" s="30"/>
      <c r="T56" s="30"/>
      <c r="U56" s="30"/>
      <c r="V56" s="30"/>
      <c r="W56" s="30"/>
      <c r="X56" s="30"/>
      <c r="AB56" s="30" t="s">
        <v>149</v>
      </c>
      <c r="AC56" s="78">
        <v>0</v>
      </c>
      <c r="AD56" s="30"/>
      <c r="AE56" s="30"/>
      <c r="AF56" s="30"/>
      <c r="AG56" s="30"/>
      <c r="AH56" s="30"/>
      <c r="AI56" s="30"/>
      <c r="AJ56" s="30"/>
    </row>
    <row r="57" spans="1:36">
      <c r="A57" s="30" t="s">
        <v>7</v>
      </c>
      <c r="B57" s="493">
        <f t="shared" si="8"/>
        <v>0</v>
      </c>
      <c r="C57" s="493">
        <f t="shared" si="8"/>
        <v>0</v>
      </c>
      <c r="D57" s="147">
        <f t="shared" si="8"/>
        <v>0</v>
      </c>
      <c r="E57" s="85">
        <v>0</v>
      </c>
      <c r="F57" s="147">
        <f t="shared" si="9"/>
        <v>2.9169150053471666E-2</v>
      </c>
      <c r="G57" s="147">
        <f t="shared" si="10"/>
        <v>3.2934341795364926E-2</v>
      </c>
      <c r="H57" s="147">
        <f t="shared" si="11"/>
        <v>3.6707640464165678E-2</v>
      </c>
      <c r="I57" s="85">
        <v>0.04</v>
      </c>
      <c r="P57" s="30" t="s">
        <v>446</v>
      </c>
      <c r="Q57" s="81">
        <v>0.09</v>
      </c>
      <c r="R57" s="79">
        <v>0.08</v>
      </c>
      <c r="S57" s="85">
        <v>0.1096774193548387</v>
      </c>
      <c r="T57" s="85">
        <v>0.13935483870967744</v>
      </c>
      <c r="U57" s="85">
        <v>0.16903225806451613</v>
      </c>
      <c r="V57" s="85">
        <v>0.19870967741935483</v>
      </c>
      <c r="W57" s="85">
        <v>0.22838709677419355</v>
      </c>
      <c r="X57" s="85">
        <v>0.25806451612903225</v>
      </c>
      <c r="AB57" s="30" t="s">
        <v>7</v>
      </c>
      <c r="AC57" s="78">
        <v>0</v>
      </c>
      <c r="AD57" s="30"/>
      <c r="AE57" s="30"/>
      <c r="AF57" s="30"/>
      <c r="AG57" s="30"/>
      <c r="AH57" s="30"/>
      <c r="AI57" s="30"/>
      <c r="AJ57" s="30"/>
    </row>
    <row r="58" spans="1:36">
      <c r="A58" s="30" t="s">
        <v>372</v>
      </c>
      <c r="B58" s="493">
        <f t="shared" si="8"/>
        <v>0</v>
      </c>
      <c r="C58" s="493">
        <f t="shared" si="8"/>
        <v>0</v>
      </c>
      <c r="D58" s="147">
        <f t="shared" si="8"/>
        <v>0</v>
      </c>
      <c r="E58" s="85">
        <f t="shared" ref="E58:H58" si="12">1-SUM(E52:E57)-SUM(E59:E62)</f>
        <v>0</v>
      </c>
      <c r="F58" s="85">
        <f t="shared" si="12"/>
        <v>0.36466067011461706</v>
      </c>
      <c r="G58" s="85">
        <f t="shared" si="12"/>
        <v>0.2826502449291316</v>
      </c>
      <c r="H58" s="85">
        <f t="shared" si="12"/>
        <v>0.20046324108093583</v>
      </c>
      <c r="I58" s="85">
        <f>1-SUM(I52:I57)-SUM(I59:I62)</f>
        <v>0.12875167261205023</v>
      </c>
      <c r="P58" s="30" t="s">
        <v>450</v>
      </c>
      <c r="Q58" s="78"/>
      <c r="R58" s="86">
        <v>0.09</v>
      </c>
      <c r="S58" s="85">
        <v>0.12338709677419353</v>
      </c>
      <c r="T58" s="85">
        <v>0.15677419354838709</v>
      </c>
      <c r="U58" s="85">
        <v>0.19016129032258064</v>
      </c>
      <c r="V58" s="85">
        <v>0.22354838709677416</v>
      </c>
      <c r="W58" s="85">
        <v>0.25693548387096771</v>
      </c>
      <c r="X58" s="85">
        <v>0.29032258064516125</v>
      </c>
      <c r="AB58" s="30" t="s">
        <v>372</v>
      </c>
      <c r="AC58" s="78">
        <v>0</v>
      </c>
      <c r="AD58" s="30"/>
      <c r="AE58" s="30"/>
      <c r="AF58" s="30"/>
      <c r="AG58" s="30"/>
      <c r="AH58" s="30"/>
      <c r="AI58" s="30"/>
      <c r="AJ58" s="30"/>
    </row>
    <row r="59" spans="1:36">
      <c r="A59" s="30" t="s">
        <v>371</v>
      </c>
      <c r="B59" s="493">
        <f t="shared" si="8"/>
        <v>0</v>
      </c>
      <c r="C59" s="493">
        <f t="shared" si="8"/>
        <v>0</v>
      </c>
      <c r="D59" s="147">
        <f t="shared" si="8"/>
        <v>0.19185808054597225</v>
      </c>
      <c r="E59" s="85">
        <v>0.19506474023914383</v>
      </c>
      <c r="F59" s="147">
        <f t="shared" si="9"/>
        <v>0.15313803778072624</v>
      </c>
      <c r="G59" s="147">
        <f t="shared" si="10"/>
        <v>0.17290529442566588</v>
      </c>
      <c r="H59" s="147">
        <f t="shared" si="11"/>
        <v>0.19271511243686978</v>
      </c>
      <c r="I59" s="85">
        <v>0.21</v>
      </c>
      <c r="P59" s="30" t="s">
        <v>25</v>
      </c>
      <c r="Q59" s="81">
        <v>0.2</v>
      </c>
      <c r="R59" s="79">
        <v>0.14000000000000001</v>
      </c>
      <c r="S59" s="85">
        <v>0.19193548387096776</v>
      </c>
      <c r="T59" s="85">
        <v>0.24387096774193553</v>
      </c>
      <c r="U59" s="85">
        <v>0.29580645161290325</v>
      </c>
      <c r="V59" s="85">
        <v>0.347741935483871</v>
      </c>
      <c r="W59" s="85">
        <v>0.39967741935483875</v>
      </c>
      <c r="X59" s="85">
        <v>0.45161290322580649</v>
      </c>
      <c r="AB59" s="30" t="s">
        <v>371</v>
      </c>
      <c r="AC59" s="81">
        <v>0.09</v>
      </c>
      <c r="AD59" s="30"/>
      <c r="AE59" s="30"/>
      <c r="AF59" s="30"/>
      <c r="AG59" s="30"/>
      <c r="AH59" s="30"/>
      <c r="AI59" s="30"/>
      <c r="AJ59" s="30"/>
    </row>
    <row r="60" spans="1:36">
      <c r="A60" s="30" t="s">
        <v>26</v>
      </c>
      <c r="B60" s="493">
        <f t="shared" si="8"/>
        <v>0</v>
      </c>
      <c r="C60" s="493">
        <f t="shared" si="8"/>
        <v>0</v>
      </c>
      <c r="D60" s="147">
        <f t="shared" si="8"/>
        <v>7.1946780204739602E-2</v>
      </c>
      <c r="E60" s="85">
        <v>7.3149277589678943E-2</v>
      </c>
      <c r="F60" s="147">
        <f t="shared" si="9"/>
        <v>0.11667660021388666</v>
      </c>
      <c r="G60" s="147">
        <f t="shared" si="10"/>
        <v>0.1317373671814597</v>
      </c>
      <c r="H60" s="147">
        <f t="shared" si="11"/>
        <v>0.14683056185666271</v>
      </c>
      <c r="I60" s="85">
        <v>0.16</v>
      </c>
      <c r="L60" s="89"/>
      <c r="M60" s="89"/>
      <c r="N60" s="344"/>
      <c r="P60" s="30" t="s">
        <v>150</v>
      </c>
      <c r="Q60" s="78"/>
      <c r="R60" s="77"/>
      <c r="S60" s="157"/>
      <c r="T60" s="157"/>
      <c r="U60" s="157"/>
      <c r="V60" s="157"/>
      <c r="W60" s="157"/>
      <c r="X60" s="30"/>
      <c r="AB60" s="30" t="s">
        <v>26</v>
      </c>
      <c r="AC60" s="270">
        <v>0.1</v>
      </c>
      <c r="AD60" s="30"/>
      <c r="AE60" s="30"/>
      <c r="AF60" s="30"/>
      <c r="AG60" s="30"/>
      <c r="AH60" s="30"/>
      <c r="AI60" s="30"/>
      <c r="AJ60" s="30"/>
    </row>
    <row r="61" spans="1:36">
      <c r="A61" s="30" t="s">
        <v>25</v>
      </c>
      <c r="B61" s="493">
        <f t="shared" si="8"/>
        <v>0</v>
      </c>
      <c r="C61" s="493">
        <f t="shared" si="8"/>
        <v>3.5000000000000003E-2</v>
      </c>
      <c r="D61" s="147">
        <f t="shared" si="8"/>
        <v>7.7942345221801226E-2</v>
      </c>
      <c r="E61" s="85">
        <v>7.9245050722152183E-2</v>
      </c>
      <c r="F61" s="147">
        <f t="shared" si="9"/>
        <v>7.2922875133679177E-2</v>
      </c>
      <c r="G61" s="147">
        <f t="shared" si="10"/>
        <v>8.2335854488412324E-2</v>
      </c>
      <c r="H61" s="147">
        <f t="shared" si="11"/>
        <v>9.1769101160414188E-2</v>
      </c>
      <c r="I61" s="85">
        <v>0.1</v>
      </c>
      <c r="P61" s="159" t="s">
        <v>23</v>
      </c>
      <c r="Q61" s="81">
        <v>1</v>
      </c>
      <c r="R61" s="86">
        <v>1</v>
      </c>
      <c r="S61" s="160">
        <v>1</v>
      </c>
      <c r="T61" s="160">
        <v>1</v>
      </c>
      <c r="U61" s="160">
        <v>1</v>
      </c>
      <c r="V61" s="160">
        <v>1</v>
      </c>
      <c r="W61" s="160">
        <v>1</v>
      </c>
      <c r="X61" s="330">
        <v>1</v>
      </c>
      <c r="AB61" s="30" t="s">
        <v>25</v>
      </c>
      <c r="AC61" s="81">
        <v>0.17</v>
      </c>
      <c r="AD61" s="30"/>
      <c r="AE61" s="30"/>
      <c r="AF61" s="30"/>
      <c r="AG61" s="30"/>
      <c r="AH61" s="30"/>
      <c r="AI61" s="30"/>
      <c r="AJ61" s="30"/>
    </row>
    <row r="62" spans="1:36">
      <c r="A62" s="30" t="s">
        <v>398</v>
      </c>
      <c r="B62" s="493">
        <f t="shared" si="8"/>
        <v>0</v>
      </c>
      <c r="C62" s="493">
        <f t="shared" si="8"/>
        <v>0</v>
      </c>
      <c r="D62" s="147">
        <f t="shared" si="8"/>
        <v>3.8371616109194456E-2</v>
      </c>
      <c r="E62" s="80">
        <v>3.9012948047828774E-2</v>
      </c>
      <c r="F62" s="147">
        <f t="shared" si="9"/>
        <v>3.007946627584579E-2</v>
      </c>
      <c r="G62" s="147">
        <f t="shared" si="10"/>
        <v>3.396216281704624E-2</v>
      </c>
      <c r="H62" s="147">
        <f t="shared" si="11"/>
        <v>3.7853219287626444E-2</v>
      </c>
      <c r="I62" s="157">
        <v>4.1248327387949757E-2</v>
      </c>
      <c r="P62" s="30" t="s">
        <v>151</v>
      </c>
      <c r="Q62" s="81">
        <v>0.38</v>
      </c>
      <c r="R62" s="86">
        <v>0.31</v>
      </c>
      <c r="S62" s="147">
        <v>0.42499999999999999</v>
      </c>
      <c r="T62" s="147">
        <v>0.54</v>
      </c>
      <c r="U62" s="147">
        <v>0.65500000000000003</v>
      </c>
      <c r="V62" s="147">
        <v>0.77</v>
      </c>
      <c r="W62" s="147">
        <v>0.88500000000000001</v>
      </c>
      <c r="X62" s="147">
        <v>1</v>
      </c>
      <c r="AB62" s="30" t="s">
        <v>398</v>
      </c>
      <c r="AC62" s="78">
        <v>0</v>
      </c>
      <c r="AD62" s="30"/>
      <c r="AE62" s="30"/>
      <c r="AF62" s="30"/>
      <c r="AG62" s="30"/>
      <c r="AH62" s="30"/>
      <c r="AI62" s="30"/>
      <c r="AJ62" s="30"/>
    </row>
    <row r="63" spans="1:36">
      <c r="A63" s="72" t="s">
        <v>23</v>
      </c>
      <c r="B63" s="81">
        <v>1</v>
      </c>
      <c r="C63" s="82">
        <v>1</v>
      </c>
      <c r="D63" s="90">
        <f>SUM(D52:D62)</f>
        <v>0.99999999999999989</v>
      </c>
      <c r="E63" s="90">
        <f t="shared" ref="E63:I63" si="13">SUM(E52:E62)</f>
        <v>1.0000000000000002</v>
      </c>
      <c r="F63" s="90">
        <f t="shared" si="13"/>
        <v>0.99999999999999989</v>
      </c>
      <c r="G63" s="90">
        <f t="shared" si="13"/>
        <v>1.0000000000000002</v>
      </c>
      <c r="H63" s="90">
        <f t="shared" si="13"/>
        <v>1.0000000000000002</v>
      </c>
      <c r="I63" s="90">
        <f t="shared" si="13"/>
        <v>1</v>
      </c>
      <c r="AB63" s="72" t="s">
        <v>23</v>
      </c>
      <c r="AC63" s="81">
        <v>1</v>
      </c>
      <c r="AD63" s="72"/>
      <c r="AE63" s="72"/>
      <c r="AF63" s="72"/>
      <c r="AG63" s="72"/>
      <c r="AH63" s="72"/>
      <c r="AI63" s="72"/>
      <c r="AJ63" s="87">
        <v>1</v>
      </c>
    </row>
    <row r="64" spans="1:36">
      <c r="A64" s="30" t="s">
        <v>151</v>
      </c>
      <c r="B64" s="81">
        <f>SUM(B55:B62)</f>
        <v>6.4935064935064939E-3</v>
      </c>
      <c r="C64" s="81">
        <f t="shared" ref="C64:I64" si="14">SUM(C55:C62)</f>
        <v>3.9000000000000007E-2</v>
      </c>
      <c r="D64" s="81">
        <f t="shared" si="14"/>
        <v>0.62713610078464688</v>
      </c>
      <c r="E64" s="81">
        <f t="shared" si="14"/>
        <v>0.63761786965670131</v>
      </c>
      <c r="F64" s="81">
        <f t="shared" si="14"/>
        <v>0.99999999999999989</v>
      </c>
      <c r="G64" s="81">
        <f t="shared" si="14"/>
        <v>1.0000000000000002</v>
      </c>
      <c r="H64" s="81">
        <f t="shared" si="14"/>
        <v>1.0000000000000002</v>
      </c>
      <c r="I64" s="81">
        <f t="shared" si="14"/>
        <v>1</v>
      </c>
      <c r="AB64" s="30" t="s">
        <v>151</v>
      </c>
      <c r="AC64" s="81">
        <v>0.38</v>
      </c>
      <c r="AD64" s="30"/>
      <c r="AE64" s="30"/>
      <c r="AF64" s="30"/>
      <c r="AG64" s="30"/>
      <c r="AH64" s="30"/>
      <c r="AI64" s="30"/>
      <c r="AJ64" s="83">
        <v>1</v>
      </c>
    </row>
    <row r="65" spans="1:9" ht="27.6" customHeight="1">
      <c r="A65" s="525" t="s">
        <v>598</v>
      </c>
      <c r="B65" s="525"/>
      <c r="C65" s="525"/>
      <c r="D65" s="525"/>
      <c r="E65" s="525"/>
      <c r="F65" s="525"/>
      <c r="G65" s="525"/>
      <c r="H65" s="525"/>
      <c r="I65" s="525"/>
    </row>
  </sheetData>
  <mergeCells count="22">
    <mergeCell ref="P2:Y2"/>
    <mergeCell ref="A65:I65"/>
    <mergeCell ref="P30:X30"/>
    <mergeCell ref="P25:X25"/>
    <mergeCell ref="P51:X51"/>
    <mergeCell ref="P46:X46"/>
    <mergeCell ref="A2:J2"/>
    <mergeCell ref="A6:I6"/>
    <mergeCell ref="A9:L9"/>
    <mergeCell ref="A7:L7"/>
    <mergeCell ref="A23:L23"/>
    <mergeCell ref="A28:I28"/>
    <mergeCell ref="A49:I49"/>
    <mergeCell ref="AB46:AJ46"/>
    <mergeCell ref="A51:I51"/>
    <mergeCell ref="AB51:AJ51"/>
    <mergeCell ref="AB25:AJ25"/>
    <mergeCell ref="A30:I30"/>
    <mergeCell ref="AB30:AJ30"/>
    <mergeCell ref="A44:I44"/>
    <mergeCell ref="A25:I25"/>
    <mergeCell ref="A46:I46"/>
  </mergeCells>
  <pageMargins left="0.7" right="0.7" top="0.75" bottom="0.75" header="0.51180555555555496" footer="0.51180555555555496"/>
  <pageSetup paperSize="9" firstPageNumber="0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V247"/>
  <sheetViews>
    <sheetView topLeftCell="A58" zoomScaleNormal="100" workbookViewId="0">
      <selection activeCell="C4" sqref="C4"/>
    </sheetView>
  </sheetViews>
  <sheetFormatPr baseColWidth="10" defaultColWidth="8.88671875" defaultRowHeight="14.4"/>
  <cols>
    <col min="1" max="1" width="44.109375" customWidth="1"/>
    <col min="2" max="1025" width="10.44140625" customWidth="1"/>
  </cols>
  <sheetData>
    <row r="1" spans="1:13" s="443" customFormat="1">
      <c r="C1" s="443">
        <v>2019</v>
      </c>
    </row>
    <row r="2" spans="1:13" s="443" customFormat="1">
      <c r="B2" s="443" t="s">
        <v>42</v>
      </c>
      <c r="C2" s="443">
        <f>(1212*44+2305*42.6)/3600</f>
        <v>42.089166666666664</v>
      </c>
    </row>
    <row r="3" spans="1:13" s="443" customFormat="1">
      <c r="B3" s="443" t="s">
        <v>531</v>
      </c>
      <c r="C3" s="443">
        <f>0</f>
        <v>0</v>
      </c>
    </row>
    <row r="4" spans="1:13" s="443" customFormat="1">
      <c r="B4" s="443" t="s">
        <v>563</v>
      </c>
      <c r="C4" s="443">
        <f>(908+119)*44/3600</f>
        <v>12.552222222222222</v>
      </c>
    </row>
    <row r="5" spans="1:13" s="443" customFormat="1">
      <c r="B5" s="443" t="s">
        <v>585</v>
      </c>
      <c r="C5" s="443">
        <f>'Bilan d''énergie SDES historique'!Q29</f>
        <v>53.186944444444443</v>
      </c>
    </row>
    <row r="6" spans="1:13" ht="12.75" customHeight="1">
      <c r="A6" s="93"/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</row>
    <row r="7" spans="1:13" ht="12.75" customHeight="1">
      <c r="A7" s="533" t="s">
        <v>404</v>
      </c>
      <c r="B7" s="533"/>
      <c r="C7" s="533"/>
      <c r="D7" s="533"/>
      <c r="E7" s="533"/>
      <c r="F7" s="533"/>
      <c r="G7" s="533"/>
      <c r="H7" s="533"/>
      <c r="I7" s="533"/>
      <c r="J7" s="533"/>
      <c r="K7" s="533"/>
      <c r="L7" s="93"/>
      <c r="M7" s="93"/>
    </row>
    <row r="8" spans="1:13" ht="12.75" customHeight="1">
      <c r="A8" s="93"/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</row>
    <row r="9" spans="1:13" ht="12.75" customHeight="1">
      <c r="A9" s="95" t="s">
        <v>163</v>
      </c>
      <c r="B9" s="96" t="s">
        <v>164</v>
      </c>
      <c r="C9" s="96" t="s">
        <v>165</v>
      </c>
      <c r="D9" s="96" t="s">
        <v>166</v>
      </c>
      <c r="E9" s="96" t="s">
        <v>167</v>
      </c>
      <c r="F9" s="96" t="s">
        <v>168</v>
      </c>
      <c r="G9" s="97">
        <v>2018</v>
      </c>
      <c r="H9" s="98"/>
      <c r="I9" s="93"/>
      <c r="K9" s="93"/>
      <c r="L9" s="93"/>
      <c r="M9" s="93"/>
    </row>
    <row r="10" spans="1:13" ht="12.75" customHeight="1">
      <c r="A10" s="99" t="s">
        <v>169</v>
      </c>
      <c r="B10" s="100"/>
      <c r="C10" s="100"/>
      <c r="D10" s="100"/>
      <c r="E10" s="100"/>
      <c r="F10" s="100"/>
      <c r="G10" s="100"/>
      <c r="H10" s="98"/>
      <c r="I10" s="93"/>
      <c r="J10" s="93"/>
      <c r="K10" s="93"/>
      <c r="L10" s="93"/>
      <c r="M10" s="93"/>
    </row>
    <row r="11" spans="1:13" ht="12.75" customHeight="1">
      <c r="A11" s="99" t="s">
        <v>170</v>
      </c>
      <c r="B11" s="101"/>
      <c r="C11" s="100"/>
      <c r="D11" s="100"/>
      <c r="E11" s="100"/>
      <c r="F11" s="100"/>
      <c r="G11" s="100"/>
      <c r="H11" s="102"/>
      <c r="I11" s="93"/>
      <c r="J11" s="93"/>
      <c r="K11" s="93"/>
      <c r="L11" s="93"/>
      <c r="M11" s="93"/>
    </row>
    <row r="12" spans="1:13" ht="12.75" customHeight="1">
      <c r="A12" s="99" t="s">
        <v>171</v>
      </c>
      <c r="B12" s="101"/>
      <c r="C12" s="100"/>
      <c r="D12" s="100"/>
      <c r="E12" s="100"/>
      <c r="F12" s="100"/>
      <c r="G12" s="100"/>
      <c r="H12" s="102"/>
      <c r="I12" s="93"/>
      <c r="J12" s="380"/>
      <c r="K12" s="93"/>
      <c r="L12" s="93"/>
      <c r="M12" s="93"/>
    </row>
    <row r="13" spans="1:13" ht="12.75" customHeight="1">
      <c r="A13" s="99" t="s">
        <v>172</v>
      </c>
      <c r="B13" s="100"/>
      <c r="C13" s="100"/>
      <c r="D13" s="100"/>
      <c r="E13" s="100"/>
      <c r="F13" s="100"/>
      <c r="G13" s="100"/>
      <c r="H13" s="98"/>
      <c r="I13" s="93"/>
      <c r="J13" s="380"/>
      <c r="K13" s="93"/>
      <c r="L13" s="93"/>
      <c r="M13" s="93"/>
    </row>
    <row r="14" spans="1:13" ht="12.75" customHeight="1">
      <c r="A14" s="99" t="s">
        <v>173</v>
      </c>
      <c r="B14" s="100"/>
      <c r="C14" s="100"/>
      <c r="D14" s="100"/>
      <c r="E14" s="100"/>
      <c r="F14" s="100"/>
      <c r="G14" s="100"/>
      <c r="H14" s="98"/>
      <c r="I14" s="93"/>
      <c r="J14" s="380"/>
      <c r="K14" s="93"/>
      <c r="L14" s="93"/>
      <c r="M14" s="93"/>
    </row>
    <row r="15" spans="1:13" ht="12.75" customHeight="1">
      <c r="A15" s="99" t="s">
        <v>174</v>
      </c>
      <c r="B15" s="100"/>
      <c r="C15" s="100"/>
      <c r="D15" s="100"/>
      <c r="E15" s="100"/>
      <c r="F15" s="100"/>
      <c r="G15" s="103"/>
      <c r="H15" s="98"/>
      <c r="I15" s="93"/>
      <c r="J15" s="380"/>
      <c r="K15" s="93"/>
      <c r="L15" s="93"/>
      <c r="M15" s="93"/>
    </row>
    <row r="16" spans="1:13" ht="12.75" customHeight="1">
      <c r="A16" s="93"/>
      <c r="B16" s="93"/>
      <c r="C16" s="93"/>
      <c r="D16" s="93"/>
      <c r="E16" s="93"/>
      <c r="F16" s="93"/>
      <c r="G16" s="93"/>
      <c r="H16" s="93"/>
      <c r="I16" s="93"/>
      <c r="J16" s="380"/>
      <c r="K16" s="93"/>
      <c r="L16" s="93"/>
      <c r="M16" s="93"/>
    </row>
    <row r="17" spans="1:15" ht="12.75" customHeight="1">
      <c r="A17" s="95" t="s">
        <v>175</v>
      </c>
      <c r="B17" s="104" t="s">
        <v>164</v>
      </c>
      <c r="C17" s="104" t="s">
        <v>165</v>
      </c>
      <c r="D17" s="104" t="s">
        <v>166</v>
      </c>
      <c r="E17" s="104" t="s">
        <v>167</v>
      </c>
      <c r="F17" s="104" t="s">
        <v>168</v>
      </c>
      <c r="G17" s="104">
        <v>2018</v>
      </c>
      <c r="H17" s="104">
        <v>2019</v>
      </c>
      <c r="I17" s="104">
        <v>2020</v>
      </c>
      <c r="J17" s="380"/>
      <c r="K17" s="93"/>
      <c r="L17" s="93"/>
      <c r="M17" s="93"/>
    </row>
    <row r="18" spans="1:15" ht="12.75" customHeight="1">
      <c r="A18" s="105" t="s">
        <v>12</v>
      </c>
      <c r="B18" s="104"/>
      <c r="C18" s="281"/>
      <c r="D18" s="281"/>
      <c r="E18" s="282"/>
      <c r="F18" s="282"/>
      <c r="G18" s="281"/>
      <c r="H18" s="281">
        <f>C2</f>
        <v>42.089166666666664</v>
      </c>
      <c r="I18" s="281"/>
      <c r="J18" s="380"/>
      <c r="K18" s="93"/>
      <c r="L18" s="93"/>
      <c r="M18" s="93"/>
    </row>
    <row r="19" spans="1:15" ht="12.75" customHeight="1">
      <c r="A19" s="93"/>
      <c r="B19" s="93"/>
      <c r="C19" s="93"/>
      <c r="D19" s="93"/>
      <c r="E19" s="93"/>
      <c r="F19" s="93"/>
      <c r="G19" s="93"/>
      <c r="H19" s="93"/>
      <c r="I19" s="93"/>
      <c r="J19" s="380"/>
      <c r="K19" s="93"/>
      <c r="L19" s="93"/>
      <c r="M19" s="93"/>
    </row>
    <row r="20" spans="1:15" ht="12.75" customHeight="1">
      <c r="A20" s="106" t="s">
        <v>176</v>
      </c>
      <c r="B20" s="107">
        <v>2007</v>
      </c>
      <c r="C20" s="107">
        <v>2014</v>
      </c>
      <c r="D20" s="108"/>
      <c r="E20" s="93"/>
      <c r="F20" s="109" t="s">
        <v>177</v>
      </c>
      <c r="G20" s="105">
        <v>2014</v>
      </c>
      <c r="H20" s="105" t="s">
        <v>178</v>
      </c>
      <c r="I20" s="105" t="s">
        <v>179</v>
      </c>
      <c r="J20" s="93" t="s">
        <v>427</v>
      </c>
      <c r="K20" s="93"/>
      <c r="L20" s="93"/>
      <c r="M20" s="93"/>
    </row>
    <row r="21" spans="1:15" ht="12.75" customHeight="1">
      <c r="A21" s="110" t="s">
        <v>180</v>
      </c>
      <c r="B21" s="111"/>
      <c r="C21" s="112">
        <v>1716</v>
      </c>
      <c r="D21" s="108"/>
      <c r="E21" s="93"/>
      <c r="F21" s="105" t="s">
        <v>181</v>
      </c>
      <c r="G21" s="278" t="e">
        <f>(0.77*C23*C11+0.84*C24*C12)/C10*11630</f>
        <v>#DIV/0!</v>
      </c>
      <c r="H21" s="278" t="e">
        <f>(0.77*C23*C11+0.84*C24*C12)/C10*11630</f>
        <v>#DIV/0!</v>
      </c>
      <c r="I21" s="105"/>
      <c r="J21" s="93"/>
      <c r="K21" s="93"/>
      <c r="L21" s="93"/>
      <c r="M21" s="93"/>
    </row>
    <row r="22" spans="1:15" ht="12.75" customHeight="1">
      <c r="A22" s="110" t="s">
        <v>182</v>
      </c>
      <c r="B22" s="111"/>
      <c r="C22" s="112"/>
      <c r="D22" s="108"/>
      <c r="E22" s="93"/>
      <c r="F22" s="105" t="s">
        <v>183</v>
      </c>
      <c r="G22" s="278">
        <f>0.84*C25*11630</f>
        <v>0</v>
      </c>
      <c r="H22" s="278" t="e">
        <f>H24/C14*10^6</f>
        <v>#DIV/0!</v>
      </c>
      <c r="I22" s="105"/>
      <c r="J22" s="93"/>
      <c r="K22" s="93"/>
      <c r="L22" s="93"/>
      <c r="M22" s="93"/>
      <c r="N22">
        <v>2013</v>
      </c>
      <c r="O22">
        <v>2018</v>
      </c>
    </row>
    <row r="23" spans="1:15" ht="12.75" customHeight="1">
      <c r="A23" s="110" t="s">
        <v>184</v>
      </c>
      <c r="B23" s="113"/>
      <c r="C23" s="114"/>
      <c r="D23" s="108"/>
      <c r="E23" s="93"/>
      <c r="F23" s="105" t="s">
        <v>185</v>
      </c>
      <c r="G23" s="278" t="e">
        <f>G21*C10/10^6</f>
        <v>#DIV/0!</v>
      </c>
      <c r="H23" s="278" t="e">
        <f>H21*C10/10^6</f>
        <v>#DIV/0!</v>
      </c>
      <c r="I23" s="383">
        <v>0.7</v>
      </c>
      <c r="J23" s="93"/>
      <c r="K23" s="93"/>
      <c r="L23" s="93"/>
      <c r="M23" s="93" t="s">
        <v>486</v>
      </c>
      <c r="N23" s="381">
        <v>0.28999999999999998</v>
      </c>
      <c r="O23" s="382">
        <v>0.41699999999999998</v>
      </c>
    </row>
    <row r="24" spans="1:15" ht="12.75" customHeight="1">
      <c r="A24" s="110" t="s">
        <v>186</v>
      </c>
      <c r="B24" s="113"/>
      <c r="C24" s="114"/>
      <c r="D24" s="108"/>
      <c r="E24" s="93"/>
      <c r="F24" s="105" t="s">
        <v>187</v>
      </c>
      <c r="G24" s="278">
        <f>G22*C14/10^6</f>
        <v>0</v>
      </c>
      <c r="H24" s="278" t="e">
        <f>H25-H23</f>
        <v>#DIV/0!</v>
      </c>
      <c r="I24" s="383">
        <v>0.3</v>
      </c>
      <c r="J24" s="93"/>
      <c r="K24" s="93"/>
      <c r="L24" s="93"/>
      <c r="M24" s="93" t="s">
        <v>487</v>
      </c>
      <c r="N24" s="381">
        <v>0.27</v>
      </c>
      <c r="O24" s="382">
        <v>0.44800000000000001</v>
      </c>
    </row>
    <row r="25" spans="1:15" ht="12.75" customHeight="1">
      <c r="A25" s="110" t="s">
        <v>188</v>
      </c>
      <c r="B25" s="113"/>
      <c r="C25" s="116"/>
      <c r="D25" s="108"/>
      <c r="E25" s="93"/>
      <c r="F25" s="105" t="s">
        <v>189</v>
      </c>
      <c r="G25" s="280" t="e">
        <f>G23+G24</f>
        <v>#DIV/0!</v>
      </c>
      <c r="H25" s="280">
        <f>C18</f>
        <v>0</v>
      </c>
      <c r="I25" s="279">
        <f>H18</f>
        <v>42.089166666666664</v>
      </c>
      <c r="J25" s="93"/>
      <c r="K25" s="93"/>
      <c r="L25" s="93"/>
      <c r="M25" s="93" t="s">
        <v>488</v>
      </c>
      <c r="N25" s="381">
        <v>0.1</v>
      </c>
    </row>
    <row r="26" spans="1:15" ht="12.75" customHeight="1">
      <c r="A26" s="110" t="s">
        <v>190</v>
      </c>
      <c r="B26" s="117"/>
      <c r="C26" s="116"/>
      <c r="D26" s="108"/>
      <c r="E26" s="93"/>
      <c r="F26" s="532" t="s">
        <v>590</v>
      </c>
      <c r="G26" s="532"/>
      <c r="H26" s="532"/>
      <c r="I26" s="532"/>
      <c r="J26" s="93"/>
      <c r="K26" s="93"/>
      <c r="L26" s="93"/>
      <c r="M26" s="93" t="s">
        <v>489</v>
      </c>
      <c r="N26" s="381">
        <v>0.21</v>
      </c>
      <c r="O26" s="381">
        <v>0.09</v>
      </c>
    </row>
    <row r="27" spans="1:15" ht="12.75" customHeight="1">
      <c r="A27" s="93"/>
      <c r="B27" s="93"/>
      <c r="C27" s="93"/>
      <c r="D27" s="94"/>
      <c r="E27" s="93"/>
      <c r="F27" s="93"/>
      <c r="G27" s="93"/>
      <c r="H27" s="93"/>
      <c r="I27" s="93"/>
      <c r="J27" s="93"/>
      <c r="K27" s="93"/>
      <c r="L27" s="93"/>
      <c r="M27" s="93" t="s">
        <v>491</v>
      </c>
    </row>
    <row r="28" spans="1:15" ht="12.75" customHeight="1">
      <c r="A28" s="533" t="s">
        <v>152</v>
      </c>
      <c r="B28" s="533"/>
      <c r="C28" s="533"/>
      <c r="D28" s="533"/>
      <c r="E28" s="533"/>
      <c r="F28" s="533"/>
      <c r="G28" s="533"/>
      <c r="H28" s="533"/>
      <c r="I28" s="533"/>
      <c r="J28" s="533"/>
      <c r="K28" s="533"/>
      <c r="L28" s="93"/>
      <c r="M28" s="93"/>
    </row>
    <row r="29" spans="1:15" ht="12.75" customHeight="1">
      <c r="A29" s="118"/>
      <c r="B29" s="118"/>
      <c r="C29" s="118"/>
      <c r="D29" s="118"/>
      <c r="E29" s="118"/>
      <c r="F29" s="118"/>
      <c r="G29" s="118"/>
      <c r="H29" s="118"/>
      <c r="I29" s="118"/>
      <c r="J29" s="118"/>
      <c r="K29" s="93"/>
      <c r="L29" s="93"/>
      <c r="M29" s="93"/>
      <c r="N29" t="s">
        <v>490</v>
      </c>
    </row>
    <row r="30" spans="1:15" ht="12.75" customHeight="1">
      <c r="A30" s="119" t="s">
        <v>191</v>
      </c>
      <c r="B30" s="1">
        <v>2015</v>
      </c>
      <c r="C30" s="1">
        <v>2018</v>
      </c>
      <c r="D30" s="1">
        <v>2019</v>
      </c>
      <c r="E30" s="1">
        <v>2020</v>
      </c>
      <c r="F30" s="1">
        <v>2025</v>
      </c>
      <c r="G30" s="1">
        <v>2030</v>
      </c>
      <c r="H30" s="1">
        <v>2035</v>
      </c>
      <c r="I30" s="1">
        <v>2040</v>
      </c>
      <c r="J30" s="1">
        <v>2045</v>
      </c>
      <c r="K30" s="1">
        <v>2050</v>
      </c>
      <c r="L30" s="93"/>
      <c r="M30" s="93" t="s">
        <v>492</v>
      </c>
    </row>
    <row r="31" spans="1:15" ht="12.75" customHeight="1">
      <c r="A31" s="120" t="s">
        <v>192</v>
      </c>
      <c r="B31" s="121">
        <f>'Cadrage macroéconomique '!$G$5</f>
        <v>0</v>
      </c>
      <c r="C31" s="121">
        <f>'Cadrage macroéconomique '!$J$5</f>
        <v>11558</v>
      </c>
      <c r="D31" s="121">
        <f>'Cadrage macroéconomique '!$K$5</f>
        <v>11710</v>
      </c>
      <c r="E31" s="121">
        <f>'Cadrage macroéconomique '!$L$5</f>
        <v>11660</v>
      </c>
      <c r="F31" s="121">
        <f>'Cadrage macroéconomique '!$C$15*1000*1000</f>
        <v>11390</v>
      </c>
      <c r="G31" s="121">
        <f>'Cadrage macroéconomique '!$D$15*1000000</f>
        <v>11230</v>
      </c>
      <c r="H31" s="121">
        <f>'Cadrage macroéconomique '!$E$15*1000000</f>
        <v>11230</v>
      </c>
      <c r="I31" s="121">
        <f>'Cadrage macroéconomique '!$F$15*1000000</f>
        <v>11320</v>
      </c>
      <c r="J31" s="121">
        <f>'Cadrage macroéconomique '!$G$15*1000000</f>
        <v>11380.000000000002</v>
      </c>
      <c r="K31" s="121">
        <f>'Cadrage macroéconomique '!$H$15*1000000</f>
        <v>11349.999999999998</v>
      </c>
      <c r="L31" s="115"/>
      <c r="M31" s="531" t="s">
        <v>495</v>
      </c>
      <c r="N31" s="531"/>
    </row>
    <row r="32" spans="1:15" ht="12.75" customHeight="1">
      <c r="A32" s="122" t="s">
        <v>193</v>
      </c>
      <c r="B32" s="123"/>
      <c r="C32" s="147">
        <f>41.7%+44.8%</f>
        <v>0.86499999999999999</v>
      </c>
      <c r="D32" s="123">
        <f t="shared" ref="D32:K32" si="0">C32</f>
        <v>0.86499999999999999</v>
      </c>
      <c r="E32" s="123">
        <f t="shared" si="0"/>
        <v>0.86499999999999999</v>
      </c>
      <c r="F32" s="123">
        <f t="shared" si="0"/>
        <v>0.86499999999999999</v>
      </c>
      <c r="G32" s="123">
        <f t="shared" si="0"/>
        <v>0.86499999999999999</v>
      </c>
      <c r="H32" s="123">
        <f t="shared" si="0"/>
        <v>0.86499999999999999</v>
      </c>
      <c r="I32" s="123">
        <f t="shared" si="0"/>
        <v>0.86499999999999999</v>
      </c>
      <c r="J32" s="123">
        <f t="shared" si="0"/>
        <v>0.86499999999999999</v>
      </c>
      <c r="K32" s="123">
        <f t="shared" si="0"/>
        <v>0.86499999999999999</v>
      </c>
      <c r="L32" s="93"/>
      <c r="M32" s="93" t="s">
        <v>493</v>
      </c>
      <c r="N32" s="382">
        <v>0.41699999999999998</v>
      </c>
    </row>
    <row r="33" spans="1:14" ht="12.75" customHeight="1">
      <c r="A33" s="122" t="s">
        <v>194</v>
      </c>
      <c r="B33" s="124"/>
      <c r="C33" s="125">
        <f t="shared" ref="C33:K33" si="1">C31*C32</f>
        <v>9997.67</v>
      </c>
      <c r="D33" s="125">
        <f t="shared" si="1"/>
        <v>10129.15</v>
      </c>
      <c r="E33" s="125">
        <f t="shared" si="1"/>
        <v>10085.9</v>
      </c>
      <c r="F33" s="125">
        <f t="shared" si="1"/>
        <v>9852.35</v>
      </c>
      <c r="G33" s="125">
        <f t="shared" si="1"/>
        <v>9713.9500000000007</v>
      </c>
      <c r="H33" s="125">
        <f t="shared" si="1"/>
        <v>9713.9500000000007</v>
      </c>
      <c r="I33" s="125">
        <f t="shared" si="1"/>
        <v>9791.7999999999993</v>
      </c>
      <c r="J33" s="125">
        <f t="shared" si="1"/>
        <v>9843.7000000000007</v>
      </c>
      <c r="K33" s="125">
        <f t="shared" si="1"/>
        <v>9817.7499999999982</v>
      </c>
      <c r="L33" s="93"/>
      <c r="M33" s="93" t="s">
        <v>494</v>
      </c>
      <c r="N33" s="382">
        <v>0.44800000000000001</v>
      </c>
    </row>
    <row r="34" spans="1:14" ht="12.75" customHeight="1">
      <c r="A34" s="122" t="s">
        <v>195</v>
      </c>
      <c r="B34" s="1"/>
      <c r="C34" s="126">
        <v>1</v>
      </c>
      <c r="D34" s="126">
        <v>1</v>
      </c>
      <c r="E34" s="126">
        <v>1</v>
      </c>
      <c r="F34" s="126">
        <v>1</v>
      </c>
      <c r="G34" s="126">
        <v>1</v>
      </c>
      <c r="H34" s="126">
        <v>1</v>
      </c>
      <c r="I34" s="126">
        <v>1</v>
      </c>
      <c r="J34" s="126">
        <v>1</v>
      </c>
      <c r="K34" s="126">
        <v>1</v>
      </c>
      <c r="L34" s="93"/>
      <c r="M34" s="93" t="s">
        <v>496</v>
      </c>
    </row>
    <row r="35" spans="1:14" ht="12.75" customHeight="1">
      <c r="A35" s="532" t="s">
        <v>403</v>
      </c>
      <c r="B35" s="532"/>
      <c r="C35" s="532"/>
      <c r="D35" s="532"/>
      <c r="E35" s="532"/>
      <c r="F35" s="532"/>
      <c r="G35" s="532"/>
      <c r="H35" s="532"/>
      <c r="I35" s="532"/>
      <c r="J35" s="532"/>
      <c r="K35" s="532"/>
      <c r="L35" s="93"/>
      <c r="M35" s="93"/>
    </row>
    <row r="36" spans="1:14" ht="12.75" customHeight="1">
      <c r="A36" s="119" t="s">
        <v>196</v>
      </c>
      <c r="B36" s="1">
        <v>2015</v>
      </c>
      <c r="C36" s="1">
        <v>2018</v>
      </c>
      <c r="D36" s="1">
        <v>2019</v>
      </c>
      <c r="E36" s="1">
        <v>2020</v>
      </c>
      <c r="F36" s="1">
        <v>2025</v>
      </c>
      <c r="G36" s="1">
        <v>2030</v>
      </c>
      <c r="H36" s="1">
        <v>2035</v>
      </c>
      <c r="I36" s="1">
        <v>2040</v>
      </c>
      <c r="J36" s="1">
        <v>2045</v>
      </c>
      <c r="K36" s="1">
        <v>2050</v>
      </c>
      <c r="L36" s="93"/>
      <c r="M36" s="93"/>
    </row>
    <row r="37" spans="1:14" ht="12.75" customHeight="1">
      <c r="A37" s="120" t="s">
        <v>197</v>
      </c>
      <c r="B37" s="127">
        <f>1</f>
        <v>1</v>
      </c>
      <c r="C37" s="127">
        <f>1</f>
        <v>1</v>
      </c>
      <c r="D37" s="127">
        <f>1</f>
        <v>1</v>
      </c>
      <c r="E37" s="127">
        <f>1</f>
        <v>1</v>
      </c>
      <c r="F37" s="127">
        <f>0.5*D37+0.5*G37</f>
        <v>1.0150000000000001</v>
      </c>
      <c r="G37" s="127">
        <v>1.03</v>
      </c>
      <c r="H37" s="127">
        <f>0.75*G37+0.25*K37</f>
        <v>1.0474999999999999</v>
      </c>
      <c r="I37" s="127">
        <f>0.5*G37+0.5*K37</f>
        <v>1.0649999999999999</v>
      </c>
      <c r="J37" s="127">
        <f>0.25*G37+0.75*K37</f>
        <v>1.0825</v>
      </c>
      <c r="K37" s="127">
        <v>1.1000000000000001</v>
      </c>
      <c r="L37" s="93"/>
      <c r="M37" s="93"/>
    </row>
    <row r="38" spans="1:14" ht="12.75" customHeight="1">
      <c r="A38" s="120" t="s">
        <v>198</v>
      </c>
      <c r="B38" s="128">
        <f>0%</f>
        <v>0</v>
      </c>
      <c r="C38" s="128">
        <f>0%</f>
        <v>0</v>
      </c>
      <c r="D38" s="128">
        <f>0%</f>
        <v>0</v>
      </c>
      <c r="E38" s="128">
        <v>0</v>
      </c>
      <c r="F38" s="128">
        <v>1.0865628395508874E-2</v>
      </c>
      <c r="G38" s="128">
        <v>2.0576131687242798E-2</v>
      </c>
      <c r="H38" s="128">
        <v>3.2290958531611146E-2</v>
      </c>
      <c r="I38" s="128">
        <v>4.3800539083557952E-2</v>
      </c>
      <c r="J38" s="128">
        <v>5.5110220440881763E-2</v>
      </c>
      <c r="K38" s="128">
        <v>6.6225165562913912E-2</v>
      </c>
      <c r="L38" s="93"/>
      <c r="M38" s="93"/>
    </row>
    <row r="39" spans="1:14" ht="12.75" customHeight="1">
      <c r="A39" s="120" t="s">
        <v>199</v>
      </c>
      <c r="B39" s="128"/>
      <c r="C39" s="128"/>
      <c r="D39" s="128"/>
      <c r="E39" s="128">
        <v>0.99272954898911403</v>
      </c>
      <c r="F39" s="128">
        <v>0.90069945087288505</v>
      </c>
      <c r="G39" s="128">
        <v>0.84416717546272102</v>
      </c>
      <c r="H39" s="128">
        <v>0.80593952326986795</v>
      </c>
      <c r="I39" s="128">
        <v>0.77853415799552395</v>
      </c>
      <c r="J39" s="128">
        <v>0.76285818755827595</v>
      </c>
      <c r="K39" s="128">
        <v>0.76205287713841396</v>
      </c>
      <c r="L39" s="93"/>
      <c r="M39" s="93"/>
    </row>
    <row r="40" spans="1:14" ht="12.75" customHeight="1">
      <c r="A40" s="120" t="s">
        <v>200</v>
      </c>
      <c r="B40" s="129"/>
      <c r="C40" s="129"/>
      <c r="D40" s="129"/>
      <c r="E40" s="130">
        <v>0.3</v>
      </c>
      <c r="F40" s="130">
        <v>0.3</v>
      </c>
      <c r="G40" s="130">
        <v>0.3</v>
      </c>
      <c r="H40" s="130">
        <v>0.3</v>
      </c>
      <c r="I40" s="130">
        <v>0.3</v>
      </c>
      <c r="J40" s="130">
        <v>0.3</v>
      </c>
      <c r="K40" s="130">
        <v>0.3</v>
      </c>
      <c r="L40" s="93"/>
      <c r="M40" s="93"/>
    </row>
    <row r="41" spans="1:14" ht="12.75" customHeight="1">
      <c r="A41" s="131" t="s">
        <v>201</v>
      </c>
      <c r="B41" s="318">
        <f>B51*I23</f>
        <v>0</v>
      </c>
      <c r="C41" s="318">
        <f>C51*I23</f>
        <v>0</v>
      </c>
      <c r="D41" s="318">
        <f>D51*I23</f>
        <v>29.462416666666662</v>
      </c>
      <c r="E41" s="318">
        <f>E51*I23</f>
        <v>0</v>
      </c>
      <c r="F41" s="132">
        <f t="shared" ref="F41:K41" si="2">$D41*(F31/$D31)*(F32/$D32)*F37*(1-F38)*F39</f>
        <v>25.914117873322535</v>
      </c>
      <c r="G41" s="132">
        <f t="shared" si="2"/>
        <v>24.06177146257172</v>
      </c>
      <c r="H41" s="132">
        <f t="shared" si="2"/>
        <v>23.083013885792919</v>
      </c>
      <c r="I41" s="132">
        <f t="shared" si="2"/>
        <v>22.580506178181377</v>
      </c>
      <c r="J41" s="132">
        <f t="shared" si="2"/>
        <v>22.341205450717823</v>
      </c>
      <c r="K41" s="132">
        <f t="shared" si="2"/>
        <v>22.352561128115148</v>
      </c>
      <c r="L41" s="133"/>
      <c r="M41" s="133"/>
    </row>
    <row r="42" spans="1:14" ht="12.75" customHeight="1">
      <c r="A42" s="131" t="s">
        <v>202</v>
      </c>
      <c r="B42" s="132">
        <f>0</f>
        <v>0</v>
      </c>
      <c r="C42" s="132">
        <f>0</f>
        <v>0</v>
      </c>
      <c r="D42" s="132">
        <f>0</f>
        <v>0</v>
      </c>
      <c r="E42" s="132">
        <f>0</f>
        <v>0</v>
      </c>
      <c r="F42" s="132">
        <f t="shared" ref="F42:K42" si="3">$D41*(F31/$D31)*(F32/$D32)*F37*F38*F40</f>
        <v>9.4815063710301267E-2</v>
      </c>
      <c r="G42" s="132">
        <f t="shared" si="3"/>
        <v>0.17964429860605929</v>
      </c>
      <c r="H42" s="132">
        <f t="shared" si="3"/>
        <v>0.28671304398986358</v>
      </c>
      <c r="I42" s="132">
        <f t="shared" si="3"/>
        <v>0.39857331349797781</v>
      </c>
      <c r="J42" s="132">
        <f t="shared" si="3"/>
        <v>0.5124305836817743</v>
      </c>
      <c r="K42" s="132">
        <f t="shared" si="3"/>
        <v>0.62408583609978452</v>
      </c>
      <c r="L42" s="133"/>
      <c r="M42" s="133"/>
    </row>
    <row r="43" spans="1:14" ht="12.75" customHeight="1">
      <c r="A43" s="120" t="s">
        <v>203</v>
      </c>
      <c r="B43" s="127">
        <f>1</f>
        <v>1</v>
      </c>
      <c r="C43" s="127">
        <f>1</f>
        <v>1</v>
      </c>
      <c r="D43" s="127">
        <f>1</f>
        <v>1</v>
      </c>
      <c r="E43" s="127">
        <f>1</f>
        <v>1</v>
      </c>
      <c r="F43" s="127">
        <f>1</f>
        <v>1</v>
      </c>
      <c r="G43" s="127">
        <f>1</f>
        <v>1</v>
      </c>
      <c r="H43" s="127">
        <f>1</f>
        <v>1</v>
      </c>
      <c r="I43" s="127">
        <f>1</f>
        <v>1</v>
      </c>
      <c r="J43" s="127">
        <f>1</f>
        <v>1</v>
      </c>
      <c r="K43" s="127">
        <f>1</f>
        <v>1</v>
      </c>
      <c r="L43" s="93"/>
      <c r="M43" s="93"/>
    </row>
    <row r="44" spans="1:14" ht="12.75" customHeight="1">
      <c r="A44" s="120" t="s">
        <v>204</v>
      </c>
      <c r="B44" s="128">
        <f>0%</f>
        <v>0</v>
      </c>
      <c r="C44" s="128">
        <f>0%</f>
        <v>0</v>
      </c>
      <c r="D44" s="128">
        <f>0%</f>
        <v>0</v>
      </c>
      <c r="E44" s="128">
        <v>0</v>
      </c>
      <c r="F44" s="134">
        <v>1.0865628395508874E-2</v>
      </c>
      <c r="G44" s="134">
        <v>2.0576131687242798E-2</v>
      </c>
      <c r="H44" s="134">
        <v>3.2290958531611146E-2</v>
      </c>
      <c r="I44" s="134">
        <v>4.3800539083557952E-2</v>
      </c>
      <c r="J44" s="134">
        <v>5.5110220440881763E-2</v>
      </c>
      <c r="K44" s="134">
        <v>6.6225165562913912E-2</v>
      </c>
      <c r="L44" s="93"/>
      <c r="M44" s="93"/>
    </row>
    <row r="45" spans="1:14" ht="12.75" customHeight="1">
      <c r="A45" s="120" t="s">
        <v>205</v>
      </c>
      <c r="B45" s="129"/>
      <c r="C45" s="129"/>
      <c r="D45" s="129"/>
      <c r="E45" s="128">
        <v>0.99</v>
      </c>
      <c r="F45" s="128">
        <v>0.95146261136309096</v>
      </c>
      <c r="G45" s="128">
        <v>0.82840277834767595</v>
      </c>
      <c r="H45" s="128">
        <v>0.75636775414352997</v>
      </c>
      <c r="I45" s="128">
        <v>0.69934002664858097</v>
      </c>
      <c r="J45" s="128">
        <v>0.67232689257202705</v>
      </c>
      <c r="K45" s="128">
        <v>0.66332251454650903</v>
      </c>
      <c r="L45" s="93"/>
      <c r="M45" s="93"/>
    </row>
    <row r="46" spans="1:14" ht="12.75" customHeight="1">
      <c r="A46" s="120" t="s">
        <v>206</v>
      </c>
      <c r="B46" s="129"/>
      <c r="C46" s="129"/>
      <c r="D46" s="129"/>
      <c r="E46" s="130">
        <v>0.4</v>
      </c>
      <c r="F46" s="130">
        <f t="shared" ref="F46:K46" si="4">E46</f>
        <v>0.4</v>
      </c>
      <c r="G46" s="130">
        <f t="shared" si="4"/>
        <v>0.4</v>
      </c>
      <c r="H46" s="130">
        <f t="shared" si="4"/>
        <v>0.4</v>
      </c>
      <c r="I46" s="130">
        <f t="shared" si="4"/>
        <v>0.4</v>
      </c>
      <c r="J46" s="130">
        <f t="shared" si="4"/>
        <v>0.4</v>
      </c>
      <c r="K46" s="130">
        <f t="shared" si="4"/>
        <v>0.4</v>
      </c>
      <c r="L46" s="93"/>
      <c r="M46" s="93"/>
    </row>
    <row r="47" spans="1:14" ht="12.75" customHeight="1">
      <c r="A47" s="131" t="s">
        <v>207</v>
      </c>
      <c r="B47" s="318">
        <f>B51*I24</f>
        <v>0</v>
      </c>
      <c r="C47" s="318">
        <f>C51*I24</f>
        <v>0</v>
      </c>
      <c r="D47" s="318">
        <f>D51*I24</f>
        <v>12.626749999999999</v>
      </c>
      <c r="E47" s="318">
        <f>E51*I24</f>
        <v>0</v>
      </c>
      <c r="F47" s="132">
        <f t="shared" ref="F47:K47" si="5">$D47*(F34/$D34)*F43*(1-F44)*F45</f>
        <v>11.883342166623306</v>
      </c>
      <c r="G47" s="132">
        <f t="shared" si="5"/>
        <v>10.244807728384203</v>
      </c>
      <c r="H47" s="132">
        <f t="shared" si="5"/>
        <v>9.2420728206430258</v>
      </c>
      <c r="I47" s="132">
        <f t="shared" si="5"/>
        <v>8.4436157655169612</v>
      </c>
      <c r="J47" s="132">
        <f t="shared" si="5"/>
        <v>8.0214561985061756</v>
      </c>
      <c r="K47" s="132">
        <f t="shared" si="5"/>
        <v>7.8209315631627065</v>
      </c>
      <c r="L47" s="133"/>
      <c r="M47" s="133"/>
    </row>
    <row r="48" spans="1:14" ht="12.75" customHeight="1">
      <c r="A48" s="131" t="s">
        <v>208</v>
      </c>
      <c r="B48" s="132">
        <f>0</f>
        <v>0</v>
      </c>
      <c r="C48" s="132">
        <f>0</f>
        <v>0</v>
      </c>
      <c r="D48" s="132">
        <f>0</f>
        <v>0</v>
      </c>
      <c r="E48" s="132">
        <f>0</f>
        <v>0</v>
      </c>
      <c r="F48" s="132">
        <f t="shared" ref="F48:K48" si="6">$D47*(F34/$D34)*F43*F44*F46</f>
        <v>5.4879029337196676E-2</v>
      </c>
      <c r="G48" s="132">
        <f t="shared" si="6"/>
        <v>0.1039238683127572</v>
      </c>
      <c r="H48" s="132">
        <f t="shared" si="6"/>
        <v>0.16309194425560841</v>
      </c>
      <c r="I48" s="132">
        <f t="shared" si="6"/>
        <v>0.22122338274932615</v>
      </c>
      <c r="J48" s="132">
        <f t="shared" si="6"/>
        <v>0.27834519038076155</v>
      </c>
      <c r="K48" s="132">
        <f t="shared" si="6"/>
        <v>0.33448344370860927</v>
      </c>
      <c r="L48" s="133"/>
      <c r="M48" s="133"/>
    </row>
    <row r="49" spans="1:13" ht="12.75" customHeight="1">
      <c r="A49" s="135" t="s">
        <v>209</v>
      </c>
      <c r="B49" s="129">
        <f t="shared" ref="B49:K49" si="7">B41+B47</f>
        <v>0</v>
      </c>
      <c r="C49" s="129">
        <f t="shared" si="7"/>
        <v>0</v>
      </c>
      <c r="D49" s="129">
        <f t="shared" si="7"/>
        <v>42.089166666666664</v>
      </c>
      <c r="E49" s="129">
        <f t="shared" si="7"/>
        <v>0</v>
      </c>
      <c r="F49" s="136">
        <f t="shared" si="7"/>
        <v>37.79746003994584</v>
      </c>
      <c r="G49" s="136">
        <f t="shared" si="7"/>
        <v>34.306579190955922</v>
      </c>
      <c r="H49" s="136">
        <f t="shared" si="7"/>
        <v>32.325086706435947</v>
      </c>
      <c r="I49" s="136">
        <f t="shared" si="7"/>
        <v>31.02412194369834</v>
      </c>
      <c r="J49" s="136">
        <f t="shared" si="7"/>
        <v>30.362661649223998</v>
      </c>
      <c r="K49" s="136">
        <f t="shared" si="7"/>
        <v>30.173492691277854</v>
      </c>
      <c r="L49" s="93"/>
      <c r="M49" s="93"/>
    </row>
    <row r="50" spans="1:13" ht="12.75" customHeight="1">
      <c r="A50" s="135" t="s">
        <v>210</v>
      </c>
      <c r="B50" s="129">
        <f t="shared" ref="B50:K50" si="8">B42+B48</f>
        <v>0</v>
      </c>
      <c r="C50" s="129">
        <f t="shared" si="8"/>
        <v>0</v>
      </c>
      <c r="D50" s="129">
        <f t="shared" si="8"/>
        <v>0</v>
      </c>
      <c r="E50" s="129">
        <f t="shared" si="8"/>
        <v>0</v>
      </c>
      <c r="F50" s="136">
        <f t="shared" si="8"/>
        <v>0.14969409304749795</v>
      </c>
      <c r="G50" s="136">
        <f t="shared" si="8"/>
        <v>0.28356816691881648</v>
      </c>
      <c r="H50" s="136">
        <f t="shared" si="8"/>
        <v>0.44980498824547199</v>
      </c>
      <c r="I50" s="136">
        <f t="shared" si="8"/>
        <v>0.61979669624730394</v>
      </c>
      <c r="J50" s="136">
        <f t="shared" si="8"/>
        <v>0.79077577406253585</v>
      </c>
      <c r="K50" s="136">
        <f t="shared" si="8"/>
        <v>0.95856927980839379</v>
      </c>
      <c r="L50" s="93"/>
      <c r="M50" s="93"/>
    </row>
    <row r="51" spans="1:13" ht="12.75" customHeight="1">
      <c r="A51" s="135" t="s">
        <v>211</v>
      </c>
      <c r="B51" s="319">
        <f>D18</f>
        <v>0</v>
      </c>
      <c r="C51" s="319">
        <f>G18</f>
        <v>0</v>
      </c>
      <c r="D51" s="319">
        <f>H18</f>
        <v>42.089166666666664</v>
      </c>
      <c r="E51" s="319">
        <f>I18</f>
        <v>0</v>
      </c>
      <c r="F51" s="136">
        <f t="shared" ref="F51:K51" si="9">F49+F50</f>
        <v>37.94715413299334</v>
      </c>
      <c r="G51" s="136">
        <f t="shared" si="9"/>
        <v>34.590147357874741</v>
      </c>
      <c r="H51" s="136">
        <f t="shared" si="9"/>
        <v>32.774891694681422</v>
      </c>
      <c r="I51" s="136">
        <f t="shared" si="9"/>
        <v>31.643918639945642</v>
      </c>
      <c r="J51" s="136">
        <f t="shared" si="9"/>
        <v>31.153437423286533</v>
      </c>
      <c r="K51" s="136">
        <f t="shared" si="9"/>
        <v>31.132061971086248</v>
      </c>
      <c r="L51" s="93"/>
      <c r="M51" s="93"/>
    </row>
    <row r="52" spans="1:13" ht="12.75" customHeight="1">
      <c r="A52" s="120" t="s">
        <v>212</v>
      </c>
      <c r="B52" s="137"/>
      <c r="C52" s="137"/>
      <c r="D52" s="137"/>
      <c r="E52" s="137"/>
      <c r="F52" s="138">
        <f t="shared" ref="F52:K52" si="10">F51/$D51-1</f>
        <v>-9.8410419157898721E-2</v>
      </c>
      <c r="G52" s="138">
        <f t="shared" si="10"/>
        <v>-0.17816982142178917</v>
      </c>
      <c r="H52" s="138">
        <f t="shared" si="10"/>
        <v>-0.22129863120720472</v>
      </c>
      <c r="I52" s="138">
        <f t="shared" si="10"/>
        <v>-0.24816951377165986</v>
      </c>
      <c r="J52" s="138">
        <f t="shared" si="10"/>
        <v>-0.25982289765886224</v>
      </c>
      <c r="K52" s="138">
        <f t="shared" si="10"/>
        <v>-0.26033075879970102</v>
      </c>
      <c r="L52" s="93"/>
      <c r="M52" s="93"/>
    </row>
    <row r="53" spans="1:13" ht="12.75" customHeight="1">
      <c r="A53" s="532" t="s">
        <v>591</v>
      </c>
      <c r="B53" s="532"/>
      <c r="C53" s="532"/>
      <c r="D53" s="532"/>
      <c r="E53" s="532"/>
      <c r="F53" s="532"/>
      <c r="G53" s="532"/>
      <c r="H53" s="532"/>
      <c r="I53" s="532"/>
      <c r="J53" s="532"/>
      <c r="K53" s="532"/>
      <c r="L53" s="93"/>
      <c r="M53" s="93"/>
    </row>
    <row r="54" spans="1:13" ht="12.75" customHeight="1">
      <c r="A54" s="277"/>
      <c r="B54" s="277"/>
      <c r="C54" s="277"/>
      <c r="D54" s="277"/>
      <c r="E54" s="277"/>
      <c r="F54" s="277"/>
      <c r="G54" s="277"/>
      <c r="H54" s="277"/>
      <c r="I54" s="277"/>
      <c r="J54" s="277"/>
      <c r="K54" s="277"/>
      <c r="L54" s="93"/>
      <c r="M54" s="93"/>
    </row>
    <row r="55" spans="1:13" ht="12.75" customHeight="1">
      <c r="A55" s="534" t="s">
        <v>158</v>
      </c>
      <c r="B55" s="534"/>
      <c r="C55" s="534"/>
      <c r="D55" s="534"/>
      <c r="E55" s="534"/>
      <c r="F55" s="534"/>
      <c r="G55" s="534"/>
      <c r="H55" s="534"/>
      <c r="I55" s="534"/>
      <c r="J55" s="534"/>
      <c r="K55" s="534"/>
      <c r="L55" s="93"/>
      <c r="M55" s="93"/>
    </row>
    <row r="56" spans="1:13" ht="12.75" customHeight="1">
      <c r="A56" s="277"/>
      <c r="B56" s="277"/>
      <c r="C56" s="277"/>
      <c r="D56" s="277"/>
      <c r="E56" s="277"/>
      <c r="F56" s="277"/>
      <c r="G56" s="277"/>
      <c r="H56" s="277"/>
      <c r="I56" s="277"/>
      <c r="J56" s="277"/>
      <c r="K56" s="277"/>
      <c r="L56" s="93"/>
      <c r="M56" s="93"/>
    </row>
    <row r="57" spans="1:13" ht="12.75" customHeight="1">
      <c r="A57" s="119" t="s">
        <v>213</v>
      </c>
      <c r="B57" s="1">
        <v>2015</v>
      </c>
      <c r="C57" s="1">
        <v>2018</v>
      </c>
      <c r="D57" s="1">
        <v>2019</v>
      </c>
      <c r="E57" s="1">
        <v>2020</v>
      </c>
      <c r="F57" s="1">
        <v>2025</v>
      </c>
      <c r="G57" s="1">
        <v>2030</v>
      </c>
      <c r="H57" s="1">
        <v>2035</v>
      </c>
      <c r="I57" s="1">
        <v>2040</v>
      </c>
      <c r="J57" s="1">
        <v>2045</v>
      </c>
      <c r="K57" s="1">
        <v>2050</v>
      </c>
      <c r="L57" s="93"/>
      <c r="M57" s="93"/>
    </row>
    <row r="58" spans="1:13" ht="12.75" customHeight="1">
      <c r="A58" s="120" t="s">
        <v>192</v>
      </c>
      <c r="B58" s="121">
        <f t="shared" ref="B58:K58" si="11">B31</f>
        <v>0</v>
      </c>
      <c r="C58" s="121">
        <f t="shared" si="11"/>
        <v>11558</v>
      </c>
      <c r="D58" s="121">
        <f t="shared" si="11"/>
        <v>11710</v>
      </c>
      <c r="E58" s="121">
        <f t="shared" si="11"/>
        <v>11660</v>
      </c>
      <c r="F58" s="121">
        <f t="shared" si="11"/>
        <v>11390</v>
      </c>
      <c r="G58" s="121">
        <f t="shared" si="11"/>
        <v>11230</v>
      </c>
      <c r="H58" s="121">
        <f t="shared" si="11"/>
        <v>11230</v>
      </c>
      <c r="I58" s="121">
        <f t="shared" si="11"/>
        <v>11320</v>
      </c>
      <c r="J58" s="121">
        <f t="shared" si="11"/>
        <v>11380.000000000002</v>
      </c>
      <c r="K58" s="121">
        <f t="shared" si="11"/>
        <v>11349.999999999998</v>
      </c>
      <c r="L58" s="93"/>
      <c r="M58" s="93"/>
    </row>
    <row r="59" spans="1:13" ht="12.75" customHeight="1">
      <c r="A59" s="122" t="s">
        <v>193</v>
      </c>
      <c r="B59" s="123"/>
      <c r="C59" s="139">
        <f t="shared" ref="C59:K59" si="12">C32</f>
        <v>0.86499999999999999</v>
      </c>
      <c r="D59" s="139">
        <f t="shared" si="12"/>
        <v>0.86499999999999999</v>
      </c>
      <c r="E59" s="139">
        <f t="shared" si="12"/>
        <v>0.86499999999999999</v>
      </c>
      <c r="F59" s="139">
        <f t="shared" si="12"/>
        <v>0.86499999999999999</v>
      </c>
      <c r="G59" s="139">
        <f t="shared" si="12"/>
        <v>0.86499999999999999</v>
      </c>
      <c r="H59" s="139">
        <f t="shared" si="12"/>
        <v>0.86499999999999999</v>
      </c>
      <c r="I59" s="139">
        <f t="shared" si="12"/>
        <v>0.86499999999999999</v>
      </c>
      <c r="J59" s="139">
        <f t="shared" si="12"/>
        <v>0.86499999999999999</v>
      </c>
      <c r="K59" s="139">
        <f t="shared" si="12"/>
        <v>0.86499999999999999</v>
      </c>
      <c r="L59" s="93"/>
      <c r="M59" s="93"/>
    </row>
    <row r="60" spans="1:13" ht="12.75" customHeight="1">
      <c r="A60" s="122" t="s">
        <v>194</v>
      </c>
      <c r="B60" s="124"/>
      <c r="C60" s="121">
        <f t="shared" ref="C60:K60" si="13">C33</f>
        <v>9997.67</v>
      </c>
      <c r="D60" s="121">
        <f t="shared" si="13"/>
        <v>10129.15</v>
      </c>
      <c r="E60" s="121">
        <f t="shared" si="13"/>
        <v>10085.9</v>
      </c>
      <c r="F60" s="121">
        <f t="shared" si="13"/>
        <v>9852.35</v>
      </c>
      <c r="G60" s="121">
        <f t="shared" si="13"/>
        <v>9713.9500000000007</v>
      </c>
      <c r="H60" s="121">
        <f t="shared" si="13"/>
        <v>9713.9500000000007</v>
      </c>
      <c r="I60" s="121">
        <f t="shared" si="13"/>
        <v>9791.7999999999993</v>
      </c>
      <c r="J60" s="121">
        <f t="shared" si="13"/>
        <v>9843.7000000000007</v>
      </c>
      <c r="K60" s="121">
        <f t="shared" si="13"/>
        <v>9817.7499999999982</v>
      </c>
      <c r="L60" s="93"/>
      <c r="M60" s="93"/>
    </row>
    <row r="61" spans="1:13" ht="12.75" customHeight="1">
      <c r="A61" s="122" t="s">
        <v>195</v>
      </c>
      <c r="B61" s="1"/>
      <c r="C61" s="121">
        <f t="shared" ref="C61:K61" si="14">C34</f>
        <v>1</v>
      </c>
      <c r="D61" s="121">
        <f t="shared" si="14"/>
        <v>1</v>
      </c>
      <c r="E61" s="121">
        <f t="shared" si="14"/>
        <v>1</v>
      </c>
      <c r="F61" s="121">
        <f t="shared" si="14"/>
        <v>1</v>
      </c>
      <c r="G61" s="121">
        <f t="shared" si="14"/>
        <v>1</v>
      </c>
      <c r="H61" s="121">
        <f t="shared" si="14"/>
        <v>1</v>
      </c>
      <c r="I61" s="121">
        <f t="shared" si="14"/>
        <v>1</v>
      </c>
      <c r="J61" s="121">
        <f t="shared" si="14"/>
        <v>1</v>
      </c>
      <c r="K61" s="121">
        <f t="shared" si="14"/>
        <v>1</v>
      </c>
      <c r="L61" s="93"/>
      <c r="M61" s="93"/>
    </row>
    <row r="62" spans="1:13" ht="12.75" customHeight="1">
      <c r="A62" s="93"/>
      <c r="B62" s="93"/>
      <c r="C62" s="93"/>
      <c r="D62" s="94"/>
      <c r="E62" s="93"/>
      <c r="F62" s="93"/>
      <c r="G62" s="93"/>
      <c r="H62" s="93"/>
      <c r="I62" s="93"/>
      <c r="J62" s="93"/>
      <c r="K62" s="93"/>
      <c r="L62" s="93"/>
      <c r="M62" s="93"/>
    </row>
    <row r="63" spans="1:13" ht="12.75" customHeight="1">
      <c r="A63" s="119" t="s">
        <v>214</v>
      </c>
      <c r="B63" s="1">
        <v>2015</v>
      </c>
      <c r="C63" s="1">
        <v>2018</v>
      </c>
      <c r="D63" s="1">
        <v>2019</v>
      </c>
      <c r="E63" s="1">
        <v>2020</v>
      </c>
      <c r="F63" s="1">
        <v>2025</v>
      </c>
      <c r="G63" s="1">
        <v>2030</v>
      </c>
      <c r="H63" s="1">
        <v>2035</v>
      </c>
      <c r="I63" s="1">
        <v>2040</v>
      </c>
      <c r="J63" s="1">
        <v>2045</v>
      </c>
      <c r="K63" s="1">
        <v>2050</v>
      </c>
      <c r="L63" s="93"/>
      <c r="M63" s="93"/>
    </row>
    <row r="64" spans="1:13" ht="12.75" customHeight="1">
      <c r="A64" s="120" t="s">
        <v>197</v>
      </c>
      <c r="B64" s="140">
        <f>1</f>
        <v>1</v>
      </c>
      <c r="C64" s="140">
        <f>1</f>
        <v>1</v>
      </c>
      <c r="D64" s="140">
        <f>1</f>
        <v>1</v>
      </c>
      <c r="E64" s="140">
        <f>1</f>
        <v>1</v>
      </c>
      <c r="F64" s="140">
        <f>1</f>
        <v>1</v>
      </c>
      <c r="G64" s="140">
        <f>1</f>
        <v>1</v>
      </c>
      <c r="H64" s="140">
        <f>1</f>
        <v>1</v>
      </c>
      <c r="I64" s="140">
        <f>1</f>
        <v>1</v>
      </c>
      <c r="J64" s="140">
        <f>1</f>
        <v>1</v>
      </c>
      <c r="K64" s="140">
        <f>1</f>
        <v>1</v>
      </c>
      <c r="L64" s="93"/>
      <c r="M64" s="93"/>
    </row>
    <row r="65" spans="1:13" ht="12.75" customHeight="1">
      <c r="A65" s="120" t="s">
        <v>198</v>
      </c>
      <c r="B65" s="128">
        <f>0%</f>
        <v>0</v>
      </c>
      <c r="C65" s="128">
        <f>0%</f>
        <v>0</v>
      </c>
      <c r="D65" s="128">
        <f>0%</f>
        <v>0</v>
      </c>
      <c r="E65" s="128">
        <f>0%</f>
        <v>0</v>
      </c>
      <c r="F65" s="141">
        <f>E65+(G65-E65)/2</f>
        <v>7.4999999999999997E-2</v>
      </c>
      <c r="G65" s="141">
        <v>0.15</v>
      </c>
      <c r="H65" s="141">
        <f>$G$65+($K$65-$G$65)*5/20</f>
        <v>0.36249999999999999</v>
      </c>
      <c r="I65" s="141">
        <f>$G$65+($K$65-$G$65)*10/20</f>
        <v>0.57499999999999996</v>
      </c>
      <c r="J65" s="141">
        <f>$G$65+($K$65-$G$65)*15/20</f>
        <v>0.78749999999999998</v>
      </c>
      <c r="K65" s="141">
        <v>1</v>
      </c>
      <c r="L65" s="93"/>
      <c r="M65" s="93"/>
    </row>
    <row r="66" spans="1:13" ht="12.75" customHeight="1">
      <c r="A66" s="120" t="s">
        <v>199</v>
      </c>
      <c r="B66" s="129"/>
      <c r="C66" s="129"/>
      <c r="D66" s="129"/>
      <c r="E66" s="128">
        <v>0.99272954898911403</v>
      </c>
      <c r="F66" s="128">
        <v>0.90069945087288505</v>
      </c>
      <c r="G66" s="128">
        <v>0.84416717546272102</v>
      </c>
      <c r="H66" s="128">
        <v>0.80593952326986795</v>
      </c>
      <c r="I66" s="128">
        <v>0.77853415799552395</v>
      </c>
      <c r="J66" s="128">
        <v>0.76285818755827595</v>
      </c>
      <c r="K66" s="128">
        <v>0.76205287713841396</v>
      </c>
      <c r="L66" s="93"/>
      <c r="M66" s="93"/>
    </row>
    <row r="67" spans="1:13" ht="12.75" customHeight="1">
      <c r="A67" s="120" t="s">
        <v>200</v>
      </c>
      <c r="B67" s="129"/>
      <c r="C67" s="129"/>
      <c r="D67" s="129"/>
      <c r="E67" s="128">
        <f>30%</f>
        <v>0.3</v>
      </c>
      <c r="F67" s="128">
        <f>30%</f>
        <v>0.3</v>
      </c>
      <c r="G67" s="128">
        <f>30%</f>
        <v>0.3</v>
      </c>
      <c r="H67" s="128">
        <f>30%</f>
        <v>0.3</v>
      </c>
      <c r="I67" s="128">
        <f>30%</f>
        <v>0.3</v>
      </c>
      <c r="J67" s="128">
        <f>30%</f>
        <v>0.3</v>
      </c>
      <c r="K67" s="128">
        <f>30%</f>
        <v>0.3</v>
      </c>
      <c r="L67" s="93"/>
      <c r="M67" s="93"/>
    </row>
    <row r="68" spans="1:13" ht="12.75" customHeight="1">
      <c r="A68" s="131" t="s">
        <v>201</v>
      </c>
      <c r="B68" s="318">
        <f>B78*I23</f>
        <v>0</v>
      </c>
      <c r="C68" s="318">
        <f>C78*I23</f>
        <v>0</v>
      </c>
      <c r="D68" s="318">
        <f>D78*I23</f>
        <v>29.462416666666662</v>
      </c>
      <c r="E68" s="318">
        <f>E78*I23</f>
        <v>0</v>
      </c>
      <c r="F68" s="132">
        <f t="shared" ref="F68:K68" si="15">$D68*(F58/$D58)*(F59/$D59)*F64*(1-F65)*F66</f>
        <v>23.875739228173966</v>
      </c>
      <c r="G68" s="132">
        <f t="shared" si="15"/>
        <v>20.273961391834007</v>
      </c>
      <c r="H68" s="132">
        <f t="shared" si="15"/>
        <v>14.516899543597546</v>
      </c>
      <c r="I68" s="132">
        <f t="shared" si="15"/>
        <v>9.423766155878468</v>
      </c>
      <c r="J68" s="132">
        <f t="shared" si="15"/>
        <v>4.6414799663605981</v>
      </c>
      <c r="K68" s="132">
        <f t="shared" si="15"/>
        <v>0</v>
      </c>
      <c r="L68" s="93"/>
      <c r="M68" s="93"/>
    </row>
    <row r="69" spans="1:13" ht="12.75" customHeight="1">
      <c r="A69" s="131" t="s">
        <v>202</v>
      </c>
      <c r="B69" s="132">
        <f>0</f>
        <v>0</v>
      </c>
      <c r="C69" s="132">
        <f>0</f>
        <v>0</v>
      </c>
      <c r="D69" s="132">
        <f>0</f>
        <v>0</v>
      </c>
      <c r="E69" s="132">
        <f>0</f>
        <v>0</v>
      </c>
      <c r="F69" s="132">
        <f t="shared" ref="F69:K69" si="16">$D68*(F58/$D58)*(F59/$D59)*F64*F65*F67</f>
        <v>0.64478914015798461</v>
      </c>
      <c r="G69" s="132">
        <f t="shared" si="16"/>
        <v>1.2714630454739537</v>
      </c>
      <c r="H69" s="132">
        <f t="shared" si="16"/>
        <v>3.0727023598953882</v>
      </c>
      <c r="I69" s="132">
        <f t="shared" si="16"/>
        <v>4.9130026494449179</v>
      </c>
      <c r="J69" s="132">
        <f t="shared" si="16"/>
        <v>6.7643419102263023</v>
      </c>
      <c r="K69" s="132">
        <f t="shared" si="16"/>
        <v>8.5669964773697664</v>
      </c>
      <c r="L69" s="93"/>
      <c r="M69" s="93"/>
    </row>
    <row r="70" spans="1:13" ht="12.75" customHeight="1">
      <c r="A70" s="120" t="s">
        <v>203</v>
      </c>
      <c r="B70" s="127">
        <f>1</f>
        <v>1</v>
      </c>
      <c r="C70" s="127">
        <f>1</f>
        <v>1</v>
      </c>
      <c r="D70" s="127">
        <f>1</f>
        <v>1</v>
      </c>
      <c r="E70" s="127">
        <f>1</f>
        <v>1</v>
      </c>
      <c r="F70" s="127">
        <f>1</f>
        <v>1</v>
      </c>
      <c r="G70" s="127">
        <f>1</f>
        <v>1</v>
      </c>
      <c r="H70" s="127">
        <f>1</f>
        <v>1</v>
      </c>
      <c r="I70" s="127">
        <f>1</f>
        <v>1</v>
      </c>
      <c r="J70" s="127">
        <f>1</f>
        <v>1</v>
      </c>
      <c r="K70" s="127">
        <f>1</f>
        <v>1</v>
      </c>
      <c r="L70" s="93"/>
      <c r="M70" s="93"/>
    </row>
    <row r="71" spans="1:13" ht="12.75" customHeight="1">
      <c r="A71" s="120" t="s">
        <v>204</v>
      </c>
      <c r="B71" s="128">
        <f>0%</f>
        <v>0</v>
      </c>
      <c r="C71" s="128">
        <f>0%</f>
        <v>0</v>
      </c>
      <c r="D71" s="128">
        <f>0%</f>
        <v>0</v>
      </c>
      <c r="E71" s="128">
        <f>0%</f>
        <v>0</v>
      </c>
      <c r="F71" s="128">
        <v>1.2545967434604101E-2</v>
      </c>
      <c r="G71" s="128">
        <v>6.6102372112330499E-2</v>
      </c>
      <c r="H71" s="128">
        <v>0.16702069027261701</v>
      </c>
      <c r="I71" s="128">
        <v>0.3135</v>
      </c>
      <c r="J71" s="128">
        <v>0.46139999999999998</v>
      </c>
      <c r="K71" s="128">
        <v>0.57099999999999995</v>
      </c>
      <c r="L71" s="93"/>
      <c r="M71" s="93"/>
    </row>
    <row r="72" spans="1:13" ht="12.75" customHeight="1">
      <c r="A72" s="120" t="s">
        <v>205</v>
      </c>
      <c r="B72" s="129"/>
      <c r="C72" s="129"/>
      <c r="D72" s="129"/>
      <c r="E72" s="128">
        <v>0.99</v>
      </c>
      <c r="F72" s="128">
        <v>0.95225839320681305</v>
      </c>
      <c r="G72" s="128">
        <v>0.83268290493446995</v>
      </c>
      <c r="H72" s="128">
        <v>0.76277577185370304</v>
      </c>
      <c r="I72" s="128">
        <v>0.70272483596984203</v>
      </c>
      <c r="J72" s="128">
        <v>0.666709342233341</v>
      </c>
      <c r="K72" s="128">
        <v>0.634677810719394</v>
      </c>
      <c r="L72" s="93"/>
      <c r="M72" s="93"/>
    </row>
    <row r="73" spans="1:13" ht="12.75" customHeight="1">
      <c r="A73" s="120" t="s">
        <v>206</v>
      </c>
      <c r="B73" s="129"/>
      <c r="C73" s="129"/>
      <c r="D73" s="129"/>
      <c r="E73" s="130">
        <v>0.4</v>
      </c>
      <c r="F73" s="130">
        <f t="shared" ref="F73:K73" si="17">E73</f>
        <v>0.4</v>
      </c>
      <c r="G73" s="130">
        <f t="shared" si="17"/>
        <v>0.4</v>
      </c>
      <c r="H73" s="130">
        <f t="shared" si="17"/>
        <v>0.4</v>
      </c>
      <c r="I73" s="130">
        <f t="shared" si="17"/>
        <v>0.4</v>
      </c>
      <c r="J73" s="130">
        <f t="shared" si="17"/>
        <v>0.4</v>
      </c>
      <c r="K73" s="130">
        <f t="shared" si="17"/>
        <v>0.4</v>
      </c>
      <c r="L73" s="93"/>
      <c r="M73" s="93"/>
    </row>
    <row r="74" spans="1:13" ht="12.75" customHeight="1">
      <c r="A74" s="131" t="s">
        <v>207</v>
      </c>
      <c r="B74" s="318">
        <f>B78*I24</f>
        <v>0</v>
      </c>
      <c r="C74" s="318">
        <f>C78*I24</f>
        <v>0</v>
      </c>
      <c r="D74" s="318">
        <f>D78*I24</f>
        <v>12.626749999999999</v>
      </c>
      <c r="E74" s="318">
        <f>E78*I24</f>
        <v>0</v>
      </c>
      <c r="F74" s="132">
        <f t="shared" ref="F74:K74" si="18">$D74*(F61/$D61)*F70*(1-F71)*F72</f>
        <v>11.873076848939167</v>
      </c>
      <c r="G74" s="132">
        <f t="shared" si="18"/>
        <v>9.8190733160060315</v>
      </c>
      <c r="H74" s="132">
        <f t="shared" si="18"/>
        <v>8.0227394121956515</v>
      </c>
      <c r="I74" s="132">
        <f t="shared" si="18"/>
        <v>6.091404309702682</v>
      </c>
      <c r="J74" s="132">
        <f t="shared" si="18"/>
        <v>4.5341352599423494</v>
      </c>
      <c r="K74" s="132">
        <f t="shared" si="18"/>
        <v>3.4379708419489754</v>
      </c>
      <c r="L74" s="93"/>
      <c r="M74" s="93"/>
    </row>
    <row r="75" spans="1:13" ht="12.75" customHeight="1">
      <c r="A75" s="131" t="s">
        <v>208</v>
      </c>
      <c r="B75" s="132">
        <f>0</f>
        <v>0</v>
      </c>
      <c r="C75" s="132">
        <f>0</f>
        <v>0</v>
      </c>
      <c r="D75" s="132">
        <f>0</f>
        <v>0</v>
      </c>
      <c r="E75" s="132">
        <f>0</f>
        <v>0</v>
      </c>
      <c r="F75" s="132">
        <f t="shared" ref="F75:K75" si="19">$D74*(F61/$D61)*F70*F71*F73</f>
        <v>6.3365917721954934E-2</v>
      </c>
      <c r="G75" s="132">
        <f t="shared" si="19"/>
        <v>0.33386325082774765</v>
      </c>
      <c r="H75" s="132">
        <f t="shared" si="19"/>
        <v>0.84357140035990674</v>
      </c>
      <c r="I75" s="132">
        <f t="shared" si="19"/>
        <v>1.5833944500000001</v>
      </c>
      <c r="J75" s="132">
        <f t="shared" si="19"/>
        <v>2.3303929800000001</v>
      </c>
      <c r="K75" s="132">
        <f t="shared" si="19"/>
        <v>2.8839497000000001</v>
      </c>
      <c r="L75" s="93"/>
      <c r="M75" s="93"/>
    </row>
    <row r="76" spans="1:13" ht="12.75" customHeight="1">
      <c r="A76" s="135" t="s">
        <v>209</v>
      </c>
      <c r="B76" s="129">
        <f t="shared" ref="B76:K76" si="20">B68+B74</f>
        <v>0</v>
      </c>
      <c r="C76" s="129">
        <f t="shared" si="20"/>
        <v>0</v>
      </c>
      <c r="D76" s="129">
        <f t="shared" si="20"/>
        <v>42.089166666666664</v>
      </c>
      <c r="E76" s="129">
        <f t="shared" si="20"/>
        <v>0</v>
      </c>
      <c r="F76" s="136">
        <f t="shared" si="20"/>
        <v>35.748816077113133</v>
      </c>
      <c r="G76" s="136">
        <f t="shared" si="20"/>
        <v>30.09303470784004</v>
      </c>
      <c r="H76" s="136">
        <f t="shared" si="20"/>
        <v>22.539638955793198</v>
      </c>
      <c r="I76" s="136">
        <f t="shared" si="20"/>
        <v>15.51517046558115</v>
      </c>
      <c r="J76" s="136">
        <f t="shared" si="20"/>
        <v>9.1756152263029485</v>
      </c>
      <c r="K76" s="136">
        <f t="shared" si="20"/>
        <v>3.4379708419489754</v>
      </c>
      <c r="L76" s="93"/>
      <c r="M76" s="93"/>
    </row>
    <row r="77" spans="1:13" ht="12.75" customHeight="1">
      <c r="A77" s="135" t="s">
        <v>210</v>
      </c>
      <c r="B77" s="129">
        <f t="shared" ref="B77:K77" si="21">B69+B75</f>
        <v>0</v>
      </c>
      <c r="C77" s="129">
        <f t="shared" si="21"/>
        <v>0</v>
      </c>
      <c r="D77" s="129">
        <f t="shared" si="21"/>
        <v>0</v>
      </c>
      <c r="E77" s="129">
        <f t="shared" si="21"/>
        <v>0</v>
      </c>
      <c r="F77" s="136">
        <f t="shared" si="21"/>
        <v>0.7081550578799396</v>
      </c>
      <c r="G77" s="136">
        <f t="shared" si="21"/>
        <v>1.6053262963017014</v>
      </c>
      <c r="H77" s="136">
        <f t="shared" si="21"/>
        <v>3.9162737602552951</v>
      </c>
      <c r="I77" s="136">
        <f t="shared" si="21"/>
        <v>6.4963970994449181</v>
      </c>
      <c r="J77" s="136">
        <f t="shared" si="21"/>
        <v>9.0947348902263023</v>
      </c>
      <c r="K77" s="136">
        <f t="shared" si="21"/>
        <v>11.450946177369767</v>
      </c>
      <c r="L77" s="93"/>
      <c r="M77" s="93"/>
    </row>
    <row r="78" spans="1:13" ht="12.75" customHeight="1">
      <c r="A78" s="135" t="s">
        <v>211</v>
      </c>
      <c r="B78" s="319">
        <f>B51</f>
        <v>0</v>
      </c>
      <c r="C78" s="319">
        <f>C51</f>
        <v>0</v>
      </c>
      <c r="D78" s="319">
        <f>D51</f>
        <v>42.089166666666664</v>
      </c>
      <c r="E78" s="319">
        <f>E51</f>
        <v>0</v>
      </c>
      <c r="F78" s="136">
        <f t="shared" ref="F78:K78" si="22">F76+F77</f>
        <v>36.456971134993076</v>
      </c>
      <c r="G78" s="136">
        <f t="shared" si="22"/>
        <v>31.698361004141741</v>
      </c>
      <c r="H78" s="136">
        <f t="shared" si="22"/>
        <v>26.455912716048491</v>
      </c>
      <c r="I78" s="136">
        <f t="shared" si="22"/>
        <v>22.01156756502607</v>
      </c>
      <c r="J78" s="136">
        <f t="shared" si="22"/>
        <v>18.270350116529251</v>
      </c>
      <c r="K78" s="136">
        <f t="shared" si="22"/>
        <v>14.888917019318743</v>
      </c>
      <c r="L78" s="93"/>
      <c r="M78" s="93"/>
    </row>
    <row r="79" spans="1:13" ht="12.75" customHeight="1">
      <c r="A79" s="120" t="s">
        <v>212</v>
      </c>
      <c r="B79" s="137"/>
      <c r="C79" s="137"/>
      <c r="D79" s="137"/>
      <c r="E79" s="137"/>
      <c r="F79" s="138">
        <f t="shared" ref="F79:K79" si="23">F78/$D78-1</f>
        <v>-0.13381580054266351</v>
      </c>
      <c r="G79" s="138">
        <f t="shared" si="23"/>
        <v>-0.24687601312748542</v>
      </c>
      <c r="H79" s="138">
        <f t="shared" si="23"/>
        <v>-0.37143177660011106</v>
      </c>
      <c r="I79" s="138">
        <f t="shared" si="23"/>
        <v>-0.47702534147679954</v>
      </c>
      <c r="J79" s="138">
        <f t="shared" si="23"/>
        <v>-0.56591323698031748</v>
      </c>
      <c r="K79" s="138">
        <f t="shared" si="23"/>
        <v>-0.64625298625571714</v>
      </c>
      <c r="L79" s="93"/>
      <c r="M79" s="93"/>
    </row>
    <row r="80" spans="1:13" ht="12.75" customHeight="1">
      <c r="A80" s="532" t="s">
        <v>596</v>
      </c>
      <c r="B80" s="532"/>
      <c r="C80" s="532"/>
      <c r="D80" s="532"/>
      <c r="E80" s="532"/>
      <c r="F80" s="532"/>
      <c r="G80" s="532"/>
      <c r="H80" s="532"/>
      <c r="I80" s="532"/>
      <c r="J80" s="532"/>
      <c r="K80" s="532"/>
      <c r="L80" s="93"/>
      <c r="M80" s="93"/>
    </row>
    <row r="81" spans="1:13" ht="12.75" customHeight="1">
      <c r="A81" s="93"/>
      <c r="B81" s="93"/>
      <c r="C81" s="93"/>
      <c r="D81" s="94"/>
      <c r="E81" s="93"/>
      <c r="F81" s="93"/>
      <c r="G81" s="93"/>
      <c r="H81" s="93"/>
      <c r="I81" s="93"/>
      <c r="J81" s="93"/>
      <c r="K81" s="93"/>
      <c r="L81" s="93"/>
      <c r="M81" s="93"/>
    </row>
    <row r="84" spans="1:13" ht="21">
      <c r="A84" s="445" t="s">
        <v>531</v>
      </c>
      <c r="B84" s="443"/>
      <c r="C84" s="443"/>
      <c r="D84" s="443"/>
      <c r="E84" s="443"/>
      <c r="F84" s="443"/>
      <c r="G84" s="443"/>
      <c r="H84" s="443"/>
      <c r="I84" s="443"/>
      <c r="J84" s="443"/>
      <c r="K84" s="443"/>
    </row>
    <row r="85" spans="1:13">
      <c r="A85" s="443"/>
      <c r="B85" s="443"/>
      <c r="C85" s="443"/>
      <c r="D85" s="443"/>
      <c r="E85" s="443"/>
      <c r="F85" s="443"/>
      <c r="G85" s="443"/>
      <c r="H85" s="443"/>
      <c r="I85" s="443"/>
      <c r="J85" s="443"/>
      <c r="K85" s="443"/>
    </row>
    <row r="86" spans="1:13">
      <c r="A86" s="533" t="s">
        <v>578</v>
      </c>
      <c r="B86" s="533"/>
      <c r="C86" s="533"/>
      <c r="D86" s="533"/>
      <c r="E86" s="533"/>
      <c r="F86" s="533"/>
      <c r="G86" s="533"/>
      <c r="H86" s="533"/>
      <c r="I86" s="533"/>
      <c r="J86" s="533"/>
      <c r="K86" s="533"/>
    </row>
    <row r="88" spans="1:13" s="443" customFormat="1"/>
    <row r="89" spans="1:13">
      <c r="A89" s="443"/>
      <c r="B89" s="456">
        <v>2019</v>
      </c>
      <c r="C89" s="220">
        <v>2020</v>
      </c>
      <c r="D89" s="220">
        <v>2025</v>
      </c>
      <c r="E89" s="220">
        <v>2030</v>
      </c>
      <c r="F89" s="220">
        <v>2035</v>
      </c>
      <c r="G89" s="220">
        <v>2040</v>
      </c>
      <c r="H89" s="220">
        <v>2045</v>
      </c>
      <c r="I89" s="220">
        <v>2050</v>
      </c>
      <c r="J89" s="246"/>
    </row>
    <row r="90" spans="1:13">
      <c r="A90" s="246" t="s">
        <v>535</v>
      </c>
      <c r="B90" s="457">
        <v>0</v>
      </c>
      <c r="C90" s="474">
        <f t="shared" ref="C90:I90" si="24">C104+C124</f>
        <v>0</v>
      </c>
      <c r="D90" s="474">
        <f t="shared" si="24"/>
        <v>0</v>
      </c>
      <c r="E90" s="474">
        <f t="shared" si="24"/>
        <v>0</v>
      </c>
      <c r="F90" s="474">
        <f t="shared" si="24"/>
        <v>0</v>
      </c>
      <c r="G90" s="474">
        <f t="shared" si="24"/>
        <v>0</v>
      </c>
      <c r="H90" s="474">
        <f t="shared" si="24"/>
        <v>0</v>
      </c>
      <c r="I90" s="474">
        <f t="shared" si="24"/>
        <v>0</v>
      </c>
      <c r="J90" s="246"/>
    </row>
    <row r="91" spans="1:13">
      <c r="A91" s="246" t="s">
        <v>532</v>
      </c>
      <c r="B91" s="347">
        <v>0.5</v>
      </c>
      <c r="C91" s="347">
        <f>B91</f>
        <v>0.5</v>
      </c>
      <c r="D91" s="347">
        <f t="shared" ref="D91:I91" si="25">C91</f>
        <v>0.5</v>
      </c>
      <c r="E91" s="347">
        <f t="shared" si="25"/>
        <v>0.5</v>
      </c>
      <c r="F91" s="347">
        <f t="shared" si="25"/>
        <v>0.5</v>
      </c>
      <c r="G91" s="347">
        <f t="shared" si="25"/>
        <v>0.5</v>
      </c>
      <c r="H91" s="347">
        <f t="shared" si="25"/>
        <v>0.5</v>
      </c>
      <c r="I91" s="347">
        <f t="shared" si="25"/>
        <v>0.5</v>
      </c>
      <c r="J91" s="246" t="s">
        <v>534</v>
      </c>
    </row>
    <row r="92" spans="1:13">
      <c r="A92" s="246" t="s">
        <v>533</v>
      </c>
      <c r="B92" s="347">
        <v>0.5</v>
      </c>
      <c r="C92" s="347">
        <f>B92</f>
        <v>0.5</v>
      </c>
      <c r="D92" s="347">
        <f t="shared" ref="D92:I92" si="26">C92</f>
        <v>0.5</v>
      </c>
      <c r="E92" s="347">
        <f t="shared" si="26"/>
        <v>0.5</v>
      </c>
      <c r="F92" s="347">
        <f t="shared" si="26"/>
        <v>0.5</v>
      </c>
      <c r="G92" s="347">
        <f t="shared" si="26"/>
        <v>0.5</v>
      </c>
      <c r="H92" s="347">
        <f t="shared" si="26"/>
        <v>0.5</v>
      </c>
      <c r="I92" s="347">
        <f t="shared" si="26"/>
        <v>0.5</v>
      </c>
      <c r="J92" s="246" t="s">
        <v>534</v>
      </c>
    </row>
    <row r="94" spans="1:13">
      <c r="A94" s="468" t="s">
        <v>562</v>
      </c>
    </row>
    <row r="96" spans="1:13">
      <c r="A96" s="446"/>
      <c r="B96" s="447">
        <v>2015</v>
      </c>
      <c r="C96" s="447">
        <v>2016</v>
      </c>
      <c r="D96" s="447">
        <v>2017</v>
      </c>
      <c r="E96" s="448">
        <v>2018</v>
      </c>
      <c r="F96" s="448">
        <v>2019</v>
      </c>
      <c r="G96" s="448">
        <v>2020</v>
      </c>
      <c r="H96" s="448">
        <v>2025</v>
      </c>
      <c r="I96" s="448">
        <v>2030</v>
      </c>
      <c r="J96" s="448">
        <v>2035</v>
      </c>
      <c r="K96" s="448">
        <v>2040</v>
      </c>
      <c r="L96" s="448">
        <v>2045</v>
      </c>
      <c r="M96" s="448">
        <v>2050</v>
      </c>
    </row>
    <row r="97" spans="1:13">
      <c r="A97" s="452" t="s">
        <v>536</v>
      </c>
      <c r="B97" s="449"/>
      <c r="C97" s="449"/>
      <c r="D97" s="449"/>
      <c r="E97" s="450">
        <v>6.7</v>
      </c>
      <c r="F97" s="450">
        <v>7.4</v>
      </c>
      <c r="G97" s="450">
        <v>6.5</v>
      </c>
      <c r="H97" s="450">
        <v>7.1360239528224252</v>
      </c>
      <c r="I97" s="450">
        <v>6.8720479056448491</v>
      </c>
      <c r="J97" s="450">
        <v>7.0000002209023497</v>
      </c>
      <c r="K97" s="450">
        <v>7.1279525361598495</v>
      </c>
      <c r="L97" s="450">
        <v>7.2559048514173492</v>
      </c>
      <c r="M97" s="450">
        <v>7.3838571666748498</v>
      </c>
    </row>
    <row r="98" spans="1:13">
      <c r="A98" s="452" t="s">
        <v>537</v>
      </c>
      <c r="B98" s="451">
        <f>1</f>
        <v>1</v>
      </c>
      <c r="C98" s="451">
        <f>1</f>
        <v>1</v>
      </c>
      <c r="D98" s="451">
        <f>1</f>
        <v>1</v>
      </c>
      <c r="E98" s="451">
        <f>1</f>
        <v>1</v>
      </c>
      <c r="F98" s="451">
        <f>1</f>
        <v>1</v>
      </c>
      <c r="G98" s="451">
        <v>1</v>
      </c>
      <c r="H98" s="451">
        <v>0.95</v>
      </c>
      <c r="I98" s="451">
        <v>0.95</v>
      </c>
      <c r="J98" s="451">
        <f>I98</f>
        <v>0.95</v>
      </c>
      <c r="K98" s="451">
        <f>J98</f>
        <v>0.95</v>
      </c>
      <c r="L98" s="451">
        <f>K98</f>
        <v>0.95</v>
      </c>
      <c r="M98" s="451">
        <f>L98</f>
        <v>0.95</v>
      </c>
    </row>
    <row r="99" spans="1:13">
      <c r="A99" s="454" t="s">
        <v>538</v>
      </c>
      <c r="B99" s="453">
        <v>1</v>
      </c>
      <c r="C99" s="455">
        <f t="shared" ref="C99:F100" si="27">B99</f>
        <v>1</v>
      </c>
      <c r="D99" s="455">
        <f t="shared" si="27"/>
        <v>1</v>
      </c>
      <c r="E99" s="455">
        <f t="shared" si="27"/>
        <v>1</v>
      </c>
      <c r="F99" s="455">
        <f t="shared" si="27"/>
        <v>1</v>
      </c>
      <c r="G99" s="453">
        <v>1</v>
      </c>
      <c r="H99" s="453">
        <f>0.5*G99+0.5*I99</f>
        <v>0.99</v>
      </c>
      <c r="I99" s="453">
        <v>0.98</v>
      </c>
      <c r="J99" s="453">
        <f>0.75*I99+0.25*M99</f>
        <v>0.97249999999999992</v>
      </c>
      <c r="K99" s="453">
        <f>0.5*I99+0.5*M99</f>
        <v>0.96499999999999997</v>
      </c>
      <c r="L99" s="453">
        <f>0.25*I99+0.75*M99</f>
        <v>0.95749999999999991</v>
      </c>
      <c r="M99" s="453">
        <v>0.95</v>
      </c>
    </row>
    <row r="100" spans="1:13">
      <c r="A100" s="454" t="s">
        <v>539</v>
      </c>
      <c r="B100" s="453">
        <v>0</v>
      </c>
      <c r="C100" s="455">
        <f t="shared" si="27"/>
        <v>0</v>
      </c>
      <c r="D100" s="455">
        <f t="shared" si="27"/>
        <v>0</v>
      </c>
      <c r="E100" s="455">
        <f t="shared" si="27"/>
        <v>0</v>
      </c>
      <c r="F100" s="455">
        <f t="shared" si="27"/>
        <v>0</v>
      </c>
      <c r="G100" s="453">
        <v>0</v>
      </c>
      <c r="H100" s="453">
        <f>0.5*G100+0.5*I100</f>
        <v>0.01</v>
      </c>
      <c r="I100" s="453">
        <v>0.02</v>
      </c>
      <c r="J100" s="453">
        <f>0.75*I100+0.25*M100</f>
        <v>2.75E-2</v>
      </c>
      <c r="K100" s="453">
        <f>0.5*I100+0.5*M100</f>
        <v>3.5000000000000003E-2</v>
      </c>
      <c r="L100" s="453">
        <f>0.25*I100+0.75*M100</f>
        <v>4.2500000000000003E-2</v>
      </c>
      <c r="M100" s="453">
        <v>0.05</v>
      </c>
    </row>
    <row r="101" spans="1:13">
      <c r="A101" s="536" t="s">
        <v>561</v>
      </c>
      <c r="B101" s="536"/>
      <c r="C101" s="536"/>
      <c r="D101" s="536"/>
      <c r="E101" s="536"/>
      <c r="F101" s="536"/>
      <c r="G101" s="536"/>
      <c r="H101" s="536"/>
      <c r="I101" s="536"/>
      <c r="J101" s="536"/>
      <c r="K101" s="536"/>
      <c r="L101" s="536"/>
      <c r="M101" s="536"/>
    </row>
    <row r="103" spans="1:13">
      <c r="A103" s="446"/>
      <c r="B103" s="447">
        <v>2019</v>
      </c>
      <c r="C103" s="447">
        <v>2020</v>
      </c>
      <c r="D103" s="447">
        <v>2025</v>
      </c>
      <c r="E103" s="448">
        <v>2030</v>
      </c>
      <c r="F103" s="448">
        <v>2035</v>
      </c>
      <c r="G103" s="448">
        <v>2040</v>
      </c>
      <c r="H103" s="448">
        <v>2045</v>
      </c>
      <c r="I103" s="448">
        <v>2050</v>
      </c>
    </row>
    <row r="104" spans="1:13">
      <c r="A104" s="452" t="s">
        <v>541</v>
      </c>
      <c r="B104" s="473">
        <f>B90*B91</f>
        <v>0</v>
      </c>
      <c r="C104" s="473">
        <f t="shared" ref="C104:I104" si="28">$B$104*G98*E31/$D$31</f>
        <v>0</v>
      </c>
      <c r="D104" s="473">
        <f t="shared" si="28"/>
        <v>0</v>
      </c>
      <c r="E104" s="473">
        <f t="shared" si="28"/>
        <v>0</v>
      </c>
      <c r="F104" s="473">
        <f t="shared" si="28"/>
        <v>0</v>
      </c>
      <c r="G104" s="473">
        <f t="shared" si="28"/>
        <v>0</v>
      </c>
      <c r="H104" s="473">
        <f t="shared" si="28"/>
        <v>0</v>
      </c>
      <c r="I104" s="473">
        <f t="shared" si="28"/>
        <v>0</v>
      </c>
      <c r="J104" t="s">
        <v>540</v>
      </c>
    </row>
    <row r="105" spans="1:13">
      <c r="A105" s="452" t="s">
        <v>543</v>
      </c>
      <c r="B105" s="451">
        <f>B104</f>
        <v>0</v>
      </c>
      <c r="C105" s="451">
        <f t="shared" ref="C105:H105" si="29">C104*G99</f>
        <v>0</v>
      </c>
      <c r="D105" s="451">
        <f t="shared" si="29"/>
        <v>0</v>
      </c>
      <c r="E105" s="451">
        <f t="shared" si="29"/>
        <v>0</v>
      </c>
      <c r="F105" s="451">
        <f t="shared" si="29"/>
        <v>0</v>
      </c>
      <c r="G105" s="451">
        <f t="shared" si="29"/>
        <v>0</v>
      </c>
      <c r="H105" s="451">
        <f t="shared" si="29"/>
        <v>0</v>
      </c>
      <c r="I105" s="451">
        <f>I104*M99</f>
        <v>0</v>
      </c>
    </row>
    <row r="106" spans="1:13">
      <c r="A106" s="454" t="s">
        <v>542</v>
      </c>
      <c r="B106" s="473">
        <v>0</v>
      </c>
      <c r="C106" s="473">
        <f t="shared" ref="C106:H106" si="30">C104*G100</f>
        <v>0</v>
      </c>
      <c r="D106" s="473">
        <f t="shared" si="30"/>
        <v>0</v>
      </c>
      <c r="E106" s="473">
        <f t="shared" si="30"/>
        <v>0</v>
      </c>
      <c r="F106" s="473">
        <f t="shared" si="30"/>
        <v>0</v>
      </c>
      <c r="G106" s="473">
        <f t="shared" si="30"/>
        <v>0</v>
      </c>
      <c r="H106" s="473">
        <f t="shared" si="30"/>
        <v>0</v>
      </c>
      <c r="I106" s="473">
        <f>I104*M100</f>
        <v>0</v>
      </c>
    </row>
    <row r="107" spans="1:13">
      <c r="A107" s="535" t="s">
        <v>560</v>
      </c>
      <c r="B107" s="535"/>
      <c r="C107" s="535"/>
      <c r="D107" s="535"/>
      <c r="E107" s="535"/>
      <c r="F107" s="535"/>
      <c r="G107" s="535"/>
      <c r="H107" s="535"/>
      <c r="I107" s="535"/>
    </row>
    <row r="108" spans="1:13" s="443" customFormat="1">
      <c r="A108" s="311"/>
      <c r="B108" s="311"/>
      <c r="C108" s="311"/>
      <c r="D108" s="311"/>
      <c r="E108" s="311"/>
      <c r="F108" s="311"/>
      <c r="G108" s="311"/>
      <c r="H108" s="311"/>
      <c r="I108" s="311"/>
    </row>
    <row r="109" spans="1:13" s="443" customFormat="1">
      <c r="A109" s="468" t="s">
        <v>544</v>
      </c>
    </row>
    <row r="110" spans="1:13" s="443" customFormat="1"/>
    <row r="111" spans="1:13">
      <c r="A111" s="446"/>
      <c r="B111" s="447">
        <v>2015</v>
      </c>
      <c r="C111" s="447">
        <v>2016</v>
      </c>
      <c r="D111" s="447">
        <v>2017</v>
      </c>
      <c r="E111" s="448">
        <v>2018</v>
      </c>
      <c r="F111" s="448">
        <v>2019</v>
      </c>
      <c r="G111" s="448">
        <v>2020</v>
      </c>
      <c r="H111" s="448">
        <v>2025</v>
      </c>
      <c r="I111" s="448">
        <v>2030</v>
      </c>
      <c r="J111" s="448">
        <v>2035</v>
      </c>
      <c r="K111" s="448">
        <v>2040</v>
      </c>
      <c r="L111" s="448">
        <v>2045</v>
      </c>
      <c r="M111" s="448">
        <v>2050</v>
      </c>
    </row>
    <row r="112" spans="1:13">
      <c r="A112" s="452" t="s">
        <v>545</v>
      </c>
      <c r="B112" s="458">
        <v>1</v>
      </c>
      <c r="C112" s="458">
        <v>1</v>
      </c>
      <c r="D112" s="458">
        <v>1</v>
      </c>
      <c r="E112" s="450">
        <v>1</v>
      </c>
      <c r="F112" s="450">
        <v>1</v>
      </c>
      <c r="G112" s="450">
        <v>1</v>
      </c>
      <c r="H112" s="450">
        <v>1.0149999999999999</v>
      </c>
      <c r="I112" s="450">
        <v>1.05</v>
      </c>
      <c r="J112" s="450">
        <v>1.1421451712341411</v>
      </c>
      <c r="K112" s="450">
        <v>1.2423767544509194</v>
      </c>
      <c r="L112" s="450">
        <v>1.3514043913806302</v>
      </c>
      <c r="M112" s="450">
        <v>1.47</v>
      </c>
    </row>
    <row r="113" spans="1:13">
      <c r="A113" s="452" t="s">
        <v>546</v>
      </c>
      <c r="B113" s="451">
        <v>1</v>
      </c>
      <c r="C113" s="451">
        <v>1</v>
      </c>
      <c r="D113" s="451">
        <v>1</v>
      </c>
      <c r="E113" s="451">
        <v>1</v>
      </c>
      <c r="F113" s="451">
        <v>1</v>
      </c>
      <c r="G113" s="451">
        <v>1</v>
      </c>
      <c r="H113" s="451">
        <v>0.9</v>
      </c>
      <c r="I113" s="451">
        <v>0.8</v>
      </c>
      <c r="J113" s="451">
        <v>0.72499999999999998</v>
      </c>
      <c r="K113" s="451">
        <v>0.65</v>
      </c>
      <c r="L113" s="451">
        <v>0.57499999999999996</v>
      </c>
      <c r="M113" s="451">
        <v>0.5</v>
      </c>
    </row>
    <row r="114" spans="1:13" s="443" customFormat="1">
      <c r="A114" s="459" t="s">
        <v>547</v>
      </c>
      <c r="B114" s="460">
        <v>0</v>
      </c>
      <c r="C114" s="460">
        <f>B114</f>
        <v>0</v>
      </c>
      <c r="D114" s="460">
        <f>C114</f>
        <v>0</v>
      </c>
      <c r="E114" s="460">
        <f>D114</f>
        <v>0</v>
      </c>
      <c r="F114" s="460">
        <f>E114</f>
        <v>0</v>
      </c>
      <c r="G114" s="460">
        <v>0.02</v>
      </c>
      <c r="H114" s="460">
        <v>0.03</v>
      </c>
      <c r="I114" s="460">
        <v>0.04</v>
      </c>
      <c r="J114" s="460">
        <v>0.05</v>
      </c>
      <c r="K114" s="460">
        <v>0.06</v>
      </c>
      <c r="L114" s="460">
        <v>7.0000000000000007E-2</v>
      </c>
      <c r="M114" s="460">
        <v>0.08</v>
      </c>
    </row>
    <row r="115" spans="1:13" s="443" customFormat="1">
      <c r="A115" s="461" t="s">
        <v>548</v>
      </c>
      <c r="B115" s="462">
        <v>0</v>
      </c>
      <c r="C115" s="463">
        <f t="shared" ref="C115:G117" si="31">B115</f>
        <v>0</v>
      </c>
      <c r="D115" s="463">
        <f t="shared" si="31"/>
        <v>0</v>
      </c>
      <c r="E115" s="463">
        <f t="shared" si="31"/>
        <v>0</v>
      </c>
      <c r="F115" s="463">
        <f t="shared" si="31"/>
        <v>0</v>
      </c>
      <c r="G115" s="462">
        <f>0</f>
        <v>0</v>
      </c>
      <c r="H115" s="462">
        <f>0</f>
        <v>0</v>
      </c>
      <c r="I115" s="462">
        <f>0</f>
        <v>0</v>
      </c>
      <c r="J115" s="462">
        <f>0</f>
        <v>0</v>
      </c>
      <c r="K115" s="462">
        <f>0</f>
        <v>0</v>
      </c>
      <c r="L115" s="462">
        <f>0</f>
        <v>0</v>
      </c>
      <c r="M115" s="462">
        <f>0</f>
        <v>0</v>
      </c>
    </row>
    <row r="116" spans="1:13">
      <c r="A116" s="461" t="s">
        <v>549</v>
      </c>
      <c r="B116" s="462">
        <f>B114-B115</f>
        <v>0</v>
      </c>
      <c r="C116" s="462">
        <f t="shared" ref="C116:M116" si="32">C114-C115</f>
        <v>0</v>
      </c>
      <c r="D116" s="462">
        <f t="shared" si="32"/>
        <v>0</v>
      </c>
      <c r="E116" s="462">
        <f t="shared" si="32"/>
        <v>0</v>
      </c>
      <c r="F116" s="462">
        <f t="shared" si="32"/>
        <v>0</v>
      </c>
      <c r="G116" s="462">
        <f t="shared" si="32"/>
        <v>0.02</v>
      </c>
      <c r="H116" s="462">
        <f t="shared" si="32"/>
        <v>0.03</v>
      </c>
      <c r="I116" s="462">
        <f t="shared" si="32"/>
        <v>0.04</v>
      </c>
      <c r="J116" s="462">
        <f t="shared" si="32"/>
        <v>0.05</v>
      </c>
      <c r="K116" s="462">
        <f t="shared" si="32"/>
        <v>0.06</v>
      </c>
      <c r="L116" s="462">
        <f t="shared" si="32"/>
        <v>7.0000000000000007E-2</v>
      </c>
      <c r="M116" s="462">
        <f t="shared" si="32"/>
        <v>0.08</v>
      </c>
    </row>
    <row r="117" spans="1:13">
      <c r="A117" s="464" t="s">
        <v>550</v>
      </c>
      <c r="B117" s="465">
        <v>1</v>
      </c>
      <c r="C117" s="465">
        <f t="shared" si="31"/>
        <v>1</v>
      </c>
      <c r="D117" s="465">
        <f t="shared" si="31"/>
        <v>1</v>
      </c>
      <c r="E117" s="465">
        <f t="shared" si="31"/>
        <v>1</v>
      </c>
      <c r="F117" s="465">
        <f t="shared" si="31"/>
        <v>1</v>
      </c>
      <c r="G117" s="465">
        <f t="shared" si="31"/>
        <v>1</v>
      </c>
      <c r="H117" s="465">
        <f t="shared" ref="H117:M117" si="33">1-H114</f>
        <v>0.97</v>
      </c>
      <c r="I117" s="465">
        <f t="shared" si="33"/>
        <v>0.96</v>
      </c>
      <c r="J117" s="465">
        <f t="shared" si="33"/>
        <v>0.95</v>
      </c>
      <c r="K117" s="465">
        <f t="shared" si="33"/>
        <v>0.94</v>
      </c>
      <c r="L117" s="465">
        <f t="shared" si="33"/>
        <v>0.92999999999999994</v>
      </c>
      <c r="M117" s="465">
        <f t="shared" si="33"/>
        <v>0.92</v>
      </c>
    </row>
    <row r="118" spans="1:13">
      <c r="A118" s="466" t="s">
        <v>551</v>
      </c>
      <c r="B118" s="467">
        <f>0%</f>
        <v>0</v>
      </c>
      <c r="C118" s="467">
        <f>0%</f>
        <v>0</v>
      </c>
      <c r="D118" s="467">
        <f>0%</f>
        <v>0</v>
      </c>
      <c r="E118" s="467">
        <f>0%</f>
        <v>0</v>
      </c>
      <c r="F118" s="467">
        <f>0%</f>
        <v>0</v>
      </c>
      <c r="G118" s="467">
        <f>0%</f>
        <v>0</v>
      </c>
      <c r="H118" s="467">
        <f>0%</f>
        <v>0</v>
      </c>
      <c r="I118" s="467">
        <f>0%</f>
        <v>0</v>
      </c>
      <c r="J118" s="467">
        <f>0%</f>
        <v>0</v>
      </c>
      <c r="K118" s="467">
        <f>0%</f>
        <v>0</v>
      </c>
      <c r="L118" s="467">
        <f>0%</f>
        <v>0</v>
      </c>
      <c r="M118" s="467">
        <f>0%</f>
        <v>0</v>
      </c>
    </row>
    <row r="119" spans="1:13">
      <c r="A119" s="466" t="s">
        <v>552</v>
      </c>
      <c r="B119" s="467">
        <f>B117-B118</f>
        <v>1</v>
      </c>
      <c r="C119" s="467">
        <f t="shared" ref="C119:M119" si="34">C117-C118</f>
        <v>1</v>
      </c>
      <c r="D119" s="467">
        <f t="shared" si="34"/>
        <v>1</v>
      </c>
      <c r="E119" s="467">
        <f t="shared" si="34"/>
        <v>1</v>
      </c>
      <c r="F119" s="467">
        <f t="shared" si="34"/>
        <v>1</v>
      </c>
      <c r="G119" s="467">
        <f t="shared" si="34"/>
        <v>1</v>
      </c>
      <c r="H119" s="467">
        <f t="shared" si="34"/>
        <v>0.97</v>
      </c>
      <c r="I119" s="467">
        <f t="shared" si="34"/>
        <v>0.96</v>
      </c>
      <c r="J119" s="467">
        <f t="shared" si="34"/>
        <v>0.95</v>
      </c>
      <c r="K119" s="467">
        <f t="shared" si="34"/>
        <v>0.94</v>
      </c>
      <c r="L119" s="467">
        <f t="shared" si="34"/>
        <v>0.92999999999999994</v>
      </c>
      <c r="M119" s="467">
        <f t="shared" si="34"/>
        <v>0.92</v>
      </c>
    </row>
    <row r="120" spans="1:13">
      <c r="A120" s="535" t="s">
        <v>558</v>
      </c>
      <c r="B120" s="535"/>
      <c r="C120" s="535"/>
      <c r="D120" s="535"/>
      <c r="E120" s="535"/>
      <c r="F120" s="535"/>
      <c r="G120" s="535"/>
      <c r="H120" s="535"/>
      <c r="I120" s="535"/>
      <c r="J120" s="535"/>
      <c r="K120" s="535"/>
      <c r="L120" s="535"/>
      <c r="M120" s="535"/>
    </row>
    <row r="121" spans="1:13" s="443" customFormat="1">
      <c r="A121" s="311"/>
      <c r="B121" s="311"/>
      <c r="C121" s="311"/>
      <c r="D121" s="311"/>
      <c r="E121" s="311"/>
      <c r="F121" s="311"/>
      <c r="G121" s="311"/>
      <c r="H121" s="311"/>
      <c r="I121" s="311"/>
      <c r="J121" s="311"/>
      <c r="K121" s="311"/>
      <c r="L121" s="311"/>
      <c r="M121" s="311"/>
    </row>
    <row r="122" spans="1:13">
      <c r="A122" s="469" t="s">
        <v>553</v>
      </c>
      <c r="B122" s="470"/>
      <c r="C122" s="470"/>
      <c r="D122" s="470"/>
      <c r="E122" s="471"/>
      <c r="F122" s="471"/>
      <c r="G122" s="471"/>
      <c r="H122" s="471"/>
      <c r="I122" s="471"/>
      <c r="J122" s="471"/>
      <c r="K122" s="471"/>
      <c r="L122" s="471"/>
      <c r="M122" s="471"/>
    </row>
    <row r="123" spans="1:13">
      <c r="A123" s="446"/>
      <c r="B123" s="448">
        <v>2019</v>
      </c>
      <c r="C123" s="448">
        <v>2020</v>
      </c>
      <c r="D123" s="448">
        <v>2025</v>
      </c>
      <c r="E123" s="448">
        <v>2030</v>
      </c>
      <c r="F123" s="448">
        <v>2035</v>
      </c>
      <c r="G123" s="448">
        <v>2040</v>
      </c>
      <c r="H123" s="448">
        <v>2045</v>
      </c>
      <c r="I123" s="448">
        <v>2050</v>
      </c>
    </row>
    <row r="124" spans="1:13">
      <c r="A124" s="452" t="s">
        <v>554</v>
      </c>
      <c r="B124" s="472">
        <f>B90*B92</f>
        <v>0</v>
      </c>
      <c r="C124" s="472">
        <f t="shared" ref="C124:I124" si="35">$B$124*G112*G113</f>
        <v>0</v>
      </c>
      <c r="D124" s="472">
        <f t="shared" si="35"/>
        <v>0</v>
      </c>
      <c r="E124" s="472">
        <f t="shared" si="35"/>
        <v>0</v>
      </c>
      <c r="F124" s="472">
        <f t="shared" si="35"/>
        <v>0</v>
      </c>
      <c r="G124" s="472">
        <f t="shared" si="35"/>
        <v>0</v>
      </c>
      <c r="H124" s="472">
        <f t="shared" si="35"/>
        <v>0</v>
      </c>
      <c r="I124" s="472">
        <f t="shared" si="35"/>
        <v>0</v>
      </c>
    </row>
    <row r="125" spans="1:13">
      <c r="A125" s="452" t="s">
        <v>555</v>
      </c>
      <c r="B125" s="472">
        <f t="shared" ref="B125:I125" si="36">B124*F115</f>
        <v>0</v>
      </c>
      <c r="C125" s="472">
        <f t="shared" si="36"/>
        <v>0</v>
      </c>
      <c r="D125" s="472">
        <f t="shared" si="36"/>
        <v>0</v>
      </c>
      <c r="E125" s="472">
        <f t="shared" si="36"/>
        <v>0</v>
      </c>
      <c r="F125" s="472">
        <f t="shared" si="36"/>
        <v>0</v>
      </c>
      <c r="G125" s="472">
        <f t="shared" si="36"/>
        <v>0</v>
      </c>
      <c r="H125" s="472">
        <f t="shared" si="36"/>
        <v>0</v>
      </c>
      <c r="I125" s="472">
        <f t="shared" si="36"/>
        <v>0</v>
      </c>
    </row>
    <row r="126" spans="1:13">
      <c r="A126" s="452" t="s">
        <v>556</v>
      </c>
      <c r="B126" s="472">
        <f t="shared" ref="B126:I126" si="37">B124*F116</f>
        <v>0</v>
      </c>
      <c r="C126" s="472">
        <f t="shared" si="37"/>
        <v>0</v>
      </c>
      <c r="D126" s="472">
        <f t="shared" si="37"/>
        <v>0</v>
      </c>
      <c r="E126" s="472">
        <f t="shared" si="37"/>
        <v>0</v>
      </c>
      <c r="F126" s="472">
        <f t="shared" si="37"/>
        <v>0</v>
      </c>
      <c r="G126" s="472">
        <f t="shared" si="37"/>
        <v>0</v>
      </c>
      <c r="H126" s="472">
        <f t="shared" si="37"/>
        <v>0</v>
      </c>
      <c r="I126" s="472">
        <f t="shared" si="37"/>
        <v>0</v>
      </c>
    </row>
    <row r="127" spans="1:13">
      <c r="A127" s="452" t="s">
        <v>557</v>
      </c>
      <c r="B127" s="451">
        <f t="shared" ref="B127:I127" si="38">B124*F119</f>
        <v>0</v>
      </c>
      <c r="C127" s="451">
        <f t="shared" si="38"/>
        <v>0</v>
      </c>
      <c r="D127" s="451">
        <f t="shared" si="38"/>
        <v>0</v>
      </c>
      <c r="E127" s="451">
        <f t="shared" si="38"/>
        <v>0</v>
      </c>
      <c r="F127" s="451">
        <f t="shared" si="38"/>
        <v>0</v>
      </c>
      <c r="G127" s="451">
        <f t="shared" si="38"/>
        <v>0</v>
      </c>
      <c r="H127" s="451">
        <f t="shared" si="38"/>
        <v>0</v>
      </c>
      <c r="I127" s="451">
        <f t="shared" si="38"/>
        <v>0</v>
      </c>
      <c r="J127" s="239"/>
      <c r="K127" s="239"/>
      <c r="L127" s="239"/>
      <c r="M127" s="239"/>
    </row>
    <row r="128" spans="1:13">
      <c r="A128" s="537" t="s">
        <v>559</v>
      </c>
      <c r="B128" s="537"/>
      <c r="C128" s="537"/>
      <c r="D128" s="537"/>
      <c r="E128" s="537"/>
      <c r="F128" s="537"/>
      <c r="G128" s="537"/>
      <c r="H128" s="537"/>
      <c r="I128" s="537"/>
      <c r="J128" s="242"/>
      <c r="K128" s="242"/>
      <c r="L128" s="242"/>
      <c r="M128" s="242"/>
    </row>
    <row r="131" spans="1:13">
      <c r="A131" s="533" t="s">
        <v>600</v>
      </c>
      <c r="B131" s="533"/>
      <c r="C131" s="533"/>
      <c r="D131" s="533"/>
      <c r="E131" s="533"/>
      <c r="F131" s="533"/>
      <c r="G131" s="533"/>
      <c r="H131" s="533"/>
      <c r="I131" s="533"/>
      <c r="J131" s="533"/>
      <c r="K131" s="533"/>
      <c r="L131" s="489"/>
      <c r="M131" s="489"/>
    </row>
    <row r="132" spans="1:13">
      <c r="A132" s="489"/>
      <c r="B132" s="489"/>
      <c r="C132" s="489"/>
      <c r="D132" s="489"/>
      <c r="E132" s="489"/>
      <c r="F132" s="489"/>
      <c r="G132" s="489"/>
      <c r="H132" s="489"/>
      <c r="I132" s="489"/>
      <c r="J132" s="489"/>
      <c r="K132" s="489"/>
      <c r="L132" s="489"/>
      <c r="M132" s="489"/>
    </row>
    <row r="133" spans="1:13">
      <c r="A133" s="489"/>
      <c r="B133" s="489"/>
      <c r="C133" s="489"/>
      <c r="D133" s="489"/>
      <c r="E133" s="489"/>
      <c r="F133" s="489"/>
      <c r="G133" s="489"/>
      <c r="H133" s="489"/>
      <c r="I133" s="489"/>
      <c r="J133" s="489"/>
      <c r="K133" s="489"/>
      <c r="L133" s="489"/>
      <c r="M133" s="489"/>
    </row>
    <row r="134" spans="1:13">
      <c r="A134" s="489"/>
      <c r="B134" s="456">
        <v>2019</v>
      </c>
      <c r="C134" s="220">
        <v>2020</v>
      </c>
      <c r="D134" s="220">
        <v>2025</v>
      </c>
      <c r="E134" s="220">
        <v>2030</v>
      </c>
      <c r="F134" s="220">
        <v>2035</v>
      </c>
      <c r="G134" s="220">
        <v>2040</v>
      </c>
      <c r="H134" s="220">
        <v>2045</v>
      </c>
      <c r="I134" s="220">
        <v>2050</v>
      </c>
      <c r="J134" s="246"/>
      <c r="K134" s="489"/>
      <c r="L134" s="489"/>
      <c r="M134" s="489"/>
    </row>
    <row r="135" spans="1:13">
      <c r="A135" s="246" t="s">
        <v>535</v>
      </c>
      <c r="B135" s="457">
        <f>C3</f>
        <v>0</v>
      </c>
      <c r="C135" s="474">
        <f t="shared" ref="C135:I135" si="39">C149+C169</f>
        <v>0</v>
      </c>
      <c r="D135" s="474">
        <f t="shared" si="39"/>
        <v>0</v>
      </c>
      <c r="E135" s="474">
        <f t="shared" si="39"/>
        <v>0</v>
      </c>
      <c r="F135" s="474">
        <f t="shared" si="39"/>
        <v>0</v>
      </c>
      <c r="G135" s="474">
        <f t="shared" si="39"/>
        <v>0</v>
      </c>
      <c r="H135" s="474">
        <f t="shared" si="39"/>
        <v>0</v>
      </c>
      <c r="I135" s="474">
        <f t="shared" si="39"/>
        <v>0</v>
      </c>
      <c r="J135" s="246"/>
      <c r="K135" s="489"/>
      <c r="L135" s="489"/>
      <c r="M135" s="489"/>
    </row>
    <row r="136" spans="1:13">
      <c r="A136" s="246" t="s">
        <v>532</v>
      </c>
      <c r="B136" s="347">
        <f>1-B137</f>
        <v>0.43020841214994909</v>
      </c>
      <c r="C136" s="347">
        <f>B136</f>
        <v>0.43020841214994909</v>
      </c>
      <c r="D136" s="347">
        <f t="shared" ref="D136:I136" si="40">C136</f>
        <v>0.43020841214994909</v>
      </c>
      <c r="E136" s="347">
        <f t="shared" si="40"/>
        <v>0.43020841214994909</v>
      </c>
      <c r="F136" s="347">
        <f t="shared" si="40"/>
        <v>0.43020841214994909</v>
      </c>
      <c r="G136" s="347">
        <f t="shared" si="40"/>
        <v>0.43020841214994909</v>
      </c>
      <c r="H136" s="347">
        <f t="shared" si="40"/>
        <v>0.43020841214994909</v>
      </c>
      <c r="I136" s="347">
        <f t="shared" si="40"/>
        <v>0.43020841214994909</v>
      </c>
      <c r="J136" s="246" t="s">
        <v>534</v>
      </c>
      <c r="K136" s="489"/>
      <c r="L136" s="489"/>
      <c r="M136" s="489"/>
    </row>
    <row r="137" spans="1:13">
      <c r="A137" s="246" t="s">
        <v>533</v>
      </c>
      <c r="B137" s="347">
        <v>0.56979158785005091</v>
      </c>
      <c r="C137" s="347">
        <v>0.56979158785005091</v>
      </c>
      <c r="D137" s="347">
        <v>0.56979158785005091</v>
      </c>
      <c r="E137" s="347">
        <v>0.56979158785005091</v>
      </c>
      <c r="F137" s="347">
        <v>0.56979158785005091</v>
      </c>
      <c r="G137" s="347">
        <v>0.56979158785005091</v>
      </c>
      <c r="H137" s="347">
        <v>0.56979158785005091</v>
      </c>
      <c r="I137" s="347">
        <v>0.56979158785005091</v>
      </c>
      <c r="J137" s="246" t="s">
        <v>534</v>
      </c>
      <c r="K137" s="489"/>
      <c r="L137" s="489"/>
      <c r="M137" s="489"/>
    </row>
    <row r="138" spans="1:13">
      <c r="A138" s="489"/>
      <c r="B138" s="489"/>
      <c r="C138" s="489"/>
      <c r="D138" s="489"/>
      <c r="E138" s="489"/>
      <c r="F138" s="489"/>
      <c r="G138" s="489"/>
      <c r="H138" s="489"/>
      <c r="I138" s="489"/>
      <c r="J138" s="489"/>
      <c r="K138" s="489"/>
      <c r="L138" s="489"/>
      <c r="M138" s="489"/>
    </row>
    <row r="139" spans="1:13">
      <c r="A139" s="468" t="s">
        <v>562</v>
      </c>
      <c r="B139" s="489"/>
      <c r="C139" s="489"/>
      <c r="D139" s="489"/>
      <c r="E139" s="489"/>
      <c r="F139" s="489"/>
      <c r="G139" s="489"/>
      <c r="H139" s="489"/>
      <c r="I139" s="489"/>
      <c r="J139" s="489"/>
      <c r="K139" s="489"/>
      <c r="L139" s="489"/>
      <c r="M139" s="489"/>
    </row>
    <row r="140" spans="1:13" s="443" customFormat="1">
      <c r="A140" s="489"/>
      <c r="B140" s="489"/>
      <c r="C140" s="489"/>
      <c r="D140" s="489"/>
      <c r="E140" s="489"/>
      <c r="F140" s="489"/>
      <c r="G140" s="489"/>
      <c r="H140" s="489"/>
      <c r="I140" s="489"/>
      <c r="J140" s="489"/>
      <c r="K140" s="489"/>
      <c r="L140" s="489"/>
      <c r="M140" s="489"/>
    </row>
    <row r="141" spans="1:13" s="443" customFormat="1">
      <c r="A141" s="446"/>
      <c r="B141" s="447">
        <v>2015</v>
      </c>
      <c r="C141" s="447">
        <v>2016</v>
      </c>
      <c r="D141" s="447">
        <v>2017</v>
      </c>
      <c r="E141" s="448">
        <v>2018</v>
      </c>
      <c r="F141" s="448">
        <v>2019</v>
      </c>
      <c r="G141" s="448">
        <v>2020</v>
      </c>
      <c r="H141" s="448">
        <v>2025</v>
      </c>
      <c r="I141" s="448">
        <v>2030</v>
      </c>
      <c r="J141" s="448">
        <v>2035</v>
      </c>
      <c r="K141" s="448">
        <v>2040</v>
      </c>
      <c r="L141" s="448">
        <v>2045</v>
      </c>
      <c r="M141" s="448">
        <v>2050</v>
      </c>
    </row>
    <row r="142" spans="1:13" s="443" customFormat="1">
      <c r="A142" s="452" t="s">
        <v>536</v>
      </c>
      <c r="B142" s="449"/>
      <c r="C142" s="449"/>
      <c r="D142" s="449"/>
      <c r="E142" s="450">
        <v>6.7</v>
      </c>
      <c r="F142" s="450">
        <v>7.4</v>
      </c>
      <c r="G142" s="450">
        <v>6.5</v>
      </c>
      <c r="H142" s="450">
        <v>8.4019402802782412</v>
      </c>
      <c r="I142" s="450">
        <v>10.158421406369076</v>
      </c>
      <c r="J142" s="450">
        <v>11.004956523566499</v>
      </c>
      <c r="K142" s="450">
        <v>11.851491640763923</v>
      </c>
      <c r="L142" s="450">
        <v>12.698026757961344</v>
      </c>
      <c r="M142" s="450">
        <v>13.544561875158768</v>
      </c>
    </row>
    <row r="143" spans="1:13">
      <c r="A143" s="452" t="s">
        <v>537</v>
      </c>
      <c r="B143" s="451">
        <f>1</f>
        <v>1</v>
      </c>
      <c r="C143" s="451">
        <f>1</f>
        <v>1</v>
      </c>
      <c r="D143" s="451">
        <f>1</f>
        <v>1</v>
      </c>
      <c r="E143" s="451">
        <f>1</f>
        <v>1</v>
      </c>
      <c r="F143" s="451">
        <f>1</f>
        <v>1</v>
      </c>
      <c r="G143" s="451">
        <v>1</v>
      </c>
      <c r="H143" s="451">
        <v>0.95</v>
      </c>
      <c r="I143" s="451">
        <v>0.9</v>
      </c>
      <c r="J143" s="451">
        <v>0.85</v>
      </c>
      <c r="K143" s="451">
        <v>0.8</v>
      </c>
      <c r="L143" s="451">
        <v>0.6</v>
      </c>
      <c r="M143" s="451">
        <v>0.4</v>
      </c>
    </row>
    <row r="144" spans="1:13" s="443" customFormat="1">
      <c r="A144" s="454" t="s">
        <v>538</v>
      </c>
      <c r="B144" s="453">
        <v>1</v>
      </c>
      <c r="C144" s="455">
        <f t="shared" ref="C144:F145" si="41">B144</f>
        <v>1</v>
      </c>
      <c r="D144" s="455">
        <f t="shared" si="41"/>
        <v>1</v>
      </c>
      <c r="E144" s="455">
        <f t="shared" si="41"/>
        <v>1</v>
      </c>
      <c r="F144" s="455">
        <f t="shared" si="41"/>
        <v>1</v>
      </c>
      <c r="G144" s="453">
        <v>1</v>
      </c>
      <c r="H144" s="453">
        <v>0.99</v>
      </c>
      <c r="I144" s="453">
        <v>0.98</v>
      </c>
      <c r="J144" s="453">
        <v>0.90999999999999992</v>
      </c>
      <c r="K144" s="453">
        <v>0.84</v>
      </c>
      <c r="L144" s="453">
        <v>0.76999999999999991</v>
      </c>
      <c r="M144" s="453">
        <v>0.7</v>
      </c>
    </row>
    <row r="145" spans="1:13" s="443" customFormat="1">
      <c r="A145" s="454" t="s">
        <v>539</v>
      </c>
      <c r="B145" s="453">
        <v>0</v>
      </c>
      <c r="C145" s="455">
        <f t="shared" si="41"/>
        <v>0</v>
      </c>
      <c r="D145" s="455">
        <f t="shared" si="41"/>
        <v>0</v>
      </c>
      <c r="E145" s="455">
        <f t="shared" si="41"/>
        <v>0</v>
      </c>
      <c r="F145" s="455">
        <f t="shared" si="41"/>
        <v>0</v>
      </c>
      <c r="G145" s="453">
        <v>0</v>
      </c>
      <c r="H145" s="453">
        <v>0.01</v>
      </c>
      <c r="I145" s="453">
        <v>0.02</v>
      </c>
      <c r="J145" s="453">
        <v>0.09</v>
      </c>
      <c r="K145" s="453">
        <v>0.16</v>
      </c>
      <c r="L145" s="453">
        <v>0.22999999999999998</v>
      </c>
      <c r="M145" s="453">
        <v>0.3</v>
      </c>
    </row>
    <row r="146" spans="1:13">
      <c r="A146" s="536" t="s">
        <v>561</v>
      </c>
      <c r="B146" s="536"/>
      <c r="C146" s="536"/>
      <c r="D146" s="536"/>
      <c r="E146" s="536"/>
      <c r="F146" s="536"/>
      <c r="G146" s="536"/>
      <c r="H146" s="536"/>
      <c r="I146" s="536"/>
      <c r="J146" s="536"/>
      <c r="K146" s="536"/>
      <c r="L146" s="536"/>
      <c r="M146" s="536"/>
    </row>
    <row r="147" spans="1:13">
      <c r="A147" s="489"/>
      <c r="B147" s="489"/>
      <c r="C147" s="489"/>
      <c r="D147" s="489"/>
      <c r="E147" s="489"/>
      <c r="F147" s="489"/>
      <c r="G147" s="489"/>
      <c r="H147" s="489"/>
      <c r="I147" s="489"/>
      <c r="J147" s="489"/>
      <c r="K147" s="489"/>
      <c r="L147" s="489"/>
      <c r="M147" s="489"/>
    </row>
    <row r="148" spans="1:13">
      <c r="A148" s="446"/>
      <c r="B148" s="447">
        <v>2019</v>
      </c>
      <c r="C148" s="447">
        <v>2020</v>
      </c>
      <c r="D148" s="447">
        <v>2025</v>
      </c>
      <c r="E148" s="448">
        <v>2030</v>
      </c>
      <c r="F148" s="448">
        <v>2035</v>
      </c>
      <c r="G148" s="448">
        <v>2040</v>
      </c>
      <c r="H148" s="448">
        <v>2045</v>
      </c>
      <c r="I148" s="448">
        <v>2050</v>
      </c>
      <c r="J148" s="489"/>
      <c r="K148" s="489"/>
      <c r="L148" s="489"/>
      <c r="M148" s="489"/>
    </row>
    <row r="149" spans="1:13">
      <c r="A149" s="452" t="s">
        <v>541</v>
      </c>
      <c r="B149" s="568">
        <f>B135*B136</f>
        <v>0</v>
      </c>
      <c r="C149" s="568">
        <f>$B$149*G143*E31/$D$31</f>
        <v>0</v>
      </c>
      <c r="D149" s="568">
        <f t="shared" ref="D149:I149" si="42">$B$149*H143*F31/$D$31</f>
        <v>0</v>
      </c>
      <c r="E149" s="568">
        <f t="shared" si="42"/>
        <v>0</v>
      </c>
      <c r="F149" s="568">
        <f t="shared" si="42"/>
        <v>0</v>
      </c>
      <c r="G149" s="568">
        <f t="shared" si="42"/>
        <v>0</v>
      </c>
      <c r="H149" s="568">
        <f t="shared" si="42"/>
        <v>0</v>
      </c>
      <c r="I149" s="568">
        <f t="shared" si="42"/>
        <v>0</v>
      </c>
      <c r="J149" s="489" t="s">
        <v>540</v>
      </c>
      <c r="K149" s="489"/>
      <c r="L149" s="489"/>
      <c r="M149" s="489"/>
    </row>
    <row r="150" spans="1:13">
      <c r="A150" s="452" t="s">
        <v>543</v>
      </c>
      <c r="B150" s="569">
        <f>B149</f>
        <v>0</v>
      </c>
      <c r="C150" s="569">
        <f t="shared" ref="C150:H150" si="43">C149*G144</f>
        <v>0</v>
      </c>
      <c r="D150" s="569">
        <f t="shared" si="43"/>
        <v>0</v>
      </c>
      <c r="E150" s="569">
        <f t="shared" si="43"/>
        <v>0</v>
      </c>
      <c r="F150" s="569">
        <f t="shared" si="43"/>
        <v>0</v>
      </c>
      <c r="G150" s="569">
        <f t="shared" si="43"/>
        <v>0</v>
      </c>
      <c r="H150" s="569">
        <f t="shared" si="43"/>
        <v>0</v>
      </c>
      <c r="I150" s="569">
        <f>I149*M144</f>
        <v>0</v>
      </c>
      <c r="J150" s="489"/>
      <c r="K150" s="489"/>
      <c r="L150" s="489"/>
      <c r="M150" s="489"/>
    </row>
    <row r="151" spans="1:13">
      <c r="A151" s="454" t="s">
        <v>542</v>
      </c>
      <c r="B151" s="568">
        <v>0</v>
      </c>
      <c r="C151" s="568">
        <f t="shared" ref="C151:H151" si="44">C149*G145</f>
        <v>0</v>
      </c>
      <c r="D151" s="568">
        <f t="shared" si="44"/>
        <v>0</v>
      </c>
      <c r="E151" s="568">
        <f t="shared" si="44"/>
        <v>0</v>
      </c>
      <c r="F151" s="568">
        <f t="shared" si="44"/>
        <v>0</v>
      </c>
      <c r="G151" s="568">
        <f t="shared" si="44"/>
        <v>0</v>
      </c>
      <c r="H151" s="568">
        <f t="shared" si="44"/>
        <v>0</v>
      </c>
      <c r="I151" s="568">
        <f>I149*M145</f>
        <v>0</v>
      </c>
      <c r="J151" s="489"/>
      <c r="K151" s="489"/>
      <c r="L151" s="489"/>
      <c r="M151" s="489"/>
    </row>
    <row r="152" spans="1:13">
      <c r="A152" s="535" t="s">
        <v>560</v>
      </c>
      <c r="B152" s="535"/>
      <c r="C152" s="535"/>
      <c r="D152" s="535"/>
      <c r="E152" s="535"/>
      <c r="F152" s="535"/>
      <c r="G152" s="535"/>
      <c r="H152" s="535"/>
      <c r="I152" s="535"/>
      <c r="J152" s="489"/>
      <c r="K152" s="489"/>
      <c r="L152" s="489"/>
      <c r="M152" s="489"/>
    </row>
    <row r="153" spans="1:13">
      <c r="A153" s="311"/>
      <c r="B153" s="311"/>
      <c r="C153" s="311"/>
      <c r="D153" s="311"/>
      <c r="E153" s="311"/>
      <c r="F153" s="311"/>
      <c r="G153" s="311"/>
      <c r="H153" s="311"/>
      <c r="I153" s="311"/>
      <c r="J153" s="489"/>
      <c r="K153" s="489"/>
      <c r="L153" s="489"/>
      <c r="M153" s="489"/>
    </row>
    <row r="154" spans="1:13">
      <c r="A154" s="468" t="s">
        <v>544</v>
      </c>
      <c r="B154" s="489"/>
      <c r="C154" s="489"/>
      <c r="D154" s="489"/>
      <c r="E154" s="489"/>
      <c r="F154" s="489"/>
      <c r="G154" s="489"/>
      <c r="H154" s="489"/>
      <c r="I154" s="489"/>
      <c r="J154" s="489"/>
      <c r="K154" s="489"/>
      <c r="L154" s="489"/>
      <c r="M154" s="489"/>
    </row>
    <row r="155" spans="1:13">
      <c r="A155" s="489"/>
      <c r="B155" s="489"/>
      <c r="C155" s="489"/>
      <c r="D155" s="489"/>
      <c r="E155" s="489"/>
      <c r="F155" s="489"/>
      <c r="G155" s="489"/>
      <c r="H155" s="489"/>
      <c r="I155" s="489"/>
      <c r="J155" s="489"/>
      <c r="K155" s="489"/>
      <c r="L155" s="489"/>
      <c r="M155" s="489"/>
    </row>
    <row r="156" spans="1:13">
      <c r="A156" s="446"/>
      <c r="B156" s="447">
        <v>2015</v>
      </c>
      <c r="C156" s="447">
        <v>2016</v>
      </c>
      <c r="D156" s="447">
        <v>2017</v>
      </c>
      <c r="E156" s="448">
        <v>2018</v>
      </c>
      <c r="F156" s="448">
        <v>2019</v>
      </c>
      <c r="G156" s="448">
        <v>2020</v>
      </c>
      <c r="H156" s="448">
        <v>2025</v>
      </c>
      <c r="I156" s="448">
        <v>2030</v>
      </c>
      <c r="J156" s="448">
        <v>2035</v>
      </c>
      <c r="K156" s="448">
        <v>2040</v>
      </c>
      <c r="L156" s="448">
        <v>2045</v>
      </c>
      <c r="M156" s="448">
        <v>2050</v>
      </c>
    </row>
    <row r="157" spans="1:13">
      <c r="A157" s="452" t="s">
        <v>545</v>
      </c>
      <c r="B157" s="490">
        <v>1</v>
      </c>
      <c r="C157" s="490">
        <v>1</v>
      </c>
      <c r="D157" s="490">
        <v>1</v>
      </c>
      <c r="E157" s="450">
        <v>1</v>
      </c>
      <c r="F157" s="450">
        <v>1</v>
      </c>
      <c r="G157" s="450">
        <v>1</v>
      </c>
      <c r="H157" s="450">
        <v>1.0149999999999999</v>
      </c>
      <c r="I157" s="450">
        <v>1.03</v>
      </c>
      <c r="J157" s="450">
        <v>1.0422786874780956</v>
      </c>
      <c r="K157" s="450">
        <v>1.0547037498748169</v>
      </c>
      <c r="L157" s="450">
        <v>1.0672769321337372</v>
      </c>
      <c r="M157" s="450">
        <v>1.08</v>
      </c>
    </row>
    <row r="158" spans="1:13">
      <c r="A158" s="452" t="s">
        <v>546</v>
      </c>
      <c r="B158" s="451">
        <v>1</v>
      </c>
      <c r="C158" s="451">
        <v>1</v>
      </c>
      <c r="D158" s="451">
        <v>1</v>
      </c>
      <c r="E158" s="451">
        <v>1</v>
      </c>
      <c r="F158" s="451">
        <v>1</v>
      </c>
      <c r="G158" s="451">
        <v>1</v>
      </c>
      <c r="H158" s="451">
        <v>0.9</v>
      </c>
      <c r="I158" s="451">
        <v>0.8</v>
      </c>
      <c r="J158" s="451">
        <v>0.72499999999999998</v>
      </c>
      <c r="K158" s="451">
        <v>0.65</v>
      </c>
      <c r="L158" s="451">
        <v>0.57499999999999996</v>
      </c>
      <c r="M158" s="451">
        <v>0.5</v>
      </c>
    </row>
    <row r="159" spans="1:13">
      <c r="A159" s="459" t="s">
        <v>547</v>
      </c>
      <c r="B159" s="460">
        <v>0</v>
      </c>
      <c r="C159" s="460">
        <f>B159</f>
        <v>0</v>
      </c>
      <c r="D159" s="460">
        <f t="shared" ref="D159:F160" si="45">C159</f>
        <v>0</v>
      </c>
      <c r="E159" s="460">
        <f t="shared" si="45"/>
        <v>0</v>
      </c>
      <c r="F159" s="460">
        <f t="shared" si="45"/>
        <v>0</v>
      </c>
      <c r="G159" s="460">
        <v>0.02</v>
      </c>
      <c r="H159" s="460">
        <v>0.03</v>
      </c>
      <c r="I159" s="460">
        <v>0.04</v>
      </c>
      <c r="J159" s="460">
        <v>0.155</v>
      </c>
      <c r="K159" s="460">
        <v>0.27</v>
      </c>
      <c r="L159" s="460">
        <v>0.38500000000000001</v>
      </c>
      <c r="M159" s="460">
        <v>0.5</v>
      </c>
    </row>
    <row r="160" spans="1:13">
      <c r="A160" s="461" t="s">
        <v>548</v>
      </c>
      <c r="B160" s="462">
        <v>0</v>
      </c>
      <c r="C160" s="463">
        <f t="shared" ref="C160" si="46">B160</f>
        <v>0</v>
      </c>
      <c r="D160" s="463">
        <f t="shared" si="45"/>
        <v>0</v>
      </c>
      <c r="E160" s="463">
        <f t="shared" si="45"/>
        <v>0</v>
      </c>
      <c r="F160" s="463">
        <f t="shared" si="45"/>
        <v>0</v>
      </c>
      <c r="G160" s="462">
        <f>0</f>
        <v>0</v>
      </c>
      <c r="H160" s="462">
        <v>0</v>
      </c>
      <c r="I160" s="462">
        <v>4.0000000000000001E-3</v>
      </c>
      <c r="J160" s="462">
        <v>0.128</v>
      </c>
      <c r="K160" s="462">
        <v>0.252</v>
      </c>
      <c r="L160" s="462">
        <v>0.376</v>
      </c>
      <c r="M160" s="462">
        <v>0.5</v>
      </c>
    </row>
    <row r="161" spans="1:13">
      <c r="A161" s="461" t="s">
        <v>549</v>
      </c>
      <c r="B161" s="462">
        <f>B159-B160</f>
        <v>0</v>
      </c>
      <c r="C161" s="462">
        <f t="shared" ref="C161:M161" si="47">C159-C160</f>
        <v>0</v>
      </c>
      <c r="D161" s="462">
        <f t="shared" si="47"/>
        <v>0</v>
      </c>
      <c r="E161" s="462">
        <f t="shared" si="47"/>
        <v>0</v>
      </c>
      <c r="F161" s="462">
        <f t="shared" si="47"/>
        <v>0</v>
      </c>
      <c r="G161" s="462">
        <f t="shared" si="47"/>
        <v>0.02</v>
      </c>
      <c r="H161" s="462">
        <f t="shared" si="47"/>
        <v>0.03</v>
      </c>
      <c r="I161" s="462">
        <f t="shared" si="47"/>
        <v>3.6000000000000004E-2</v>
      </c>
      <c r="J161" s="462">
        <f t="shared" si="47"/>
        <v>2.6999999999999996E-2</v>
      </c>
      <c r="K161" s="462">
        <f t="shared" si="47"/>
        <v>1.8000000000000016E-2</v>
      </c>
      <c r="L161" s="462">
        <f t="shared" si="47"/>
        <v>9.000000000000008E-3</v>
      </c>
      <c r="M161" s="462">
        <f t="shared" si="47"/>
        <v>0</v>
      </c>
    </row>
    <row r="162" spans="1:13">
      <c r="A162" s="464" t="s">
        <v>550</v>
      </c>
      <c r="B162" s="465">
        <v>1</v>
      </c>
      <c r="C162" s="465">
        <f t="shared" ref="C162:G162" si="48">B162</f>
        <v>1</v>
      </c>
      <c r="D162" s="465">
        <f t="shared" si="48"/>
        <v>1</v>
      </c>
      <c r="E162" s="465">
        <f t="shared" si="48"/>
        <v>1</v>
      </c>
      <c r="F162" s="465">
        <f t="shared" si="48"/>
        <v>1</v>
      </c>
      <c r="G162" s="465">
        <f t="shared" si="48"/>
        <v>1</v>
      </c>
      <c r="H162" s="465">
        <f>1-H159</f>
        <v>0.97</v>
      </c>
      <c r="I162" s="465">
        <f t="shared" ref="I162:M162" si="49">1-I159</f>
        <v>0.96</v>
      </c>
      <c r="J162" s="465">
        <f t="shared" si="49"/>
        <v>0.84499999999999997</v>
      </c>
      <c r="K162" s="465">
        <f t="shared" si="49"/>
        <v>0.73</v>
      </c>
      <c r="L162" s="465">
        <f t="shared" si="49"/>
        <v>0.61499999999999999</v>
      </c>
      <c r="M162" s="465">
        <f t="shared" si="49"/>
        <v>0.5</v>
      </c>
    </row>
    <row r="163" spans="1:13">
      <c r="A163" s="466" t="s">
        <v>551</v>
      </c>
      <c r="B163" s="467">
        <f>0%</f>
        <v>0</v>
      </c>
      <c r="C163" s="467">
        <f>0%</f>
        <v>0</v>
      </c>
      <c r="D163" s="467">
        <f>0%</f>
        <v>0</v>
      </c>
      <c r="E163" s="467">
        <f>0%</f>
        <v>0</v>
      </c>
      <c r="F163" s="467">
        <f>0%</f>
        <v>0</v>
      </c>
      <c r="G163" s="467">
        <f>0%</f>
        <v>0</v>
      </c>
      <c r="H163" s="467">
        <f>0%</f>
        <v>0</v>
      </c>
      <c r="I163" s="467">
        <f>0%</f>
        <v>0</v>
      </c>
      <c r="J163" s="467">
        <f>0%</f>
        <v>0</v>
      </c>
      <c r="K163" s="467">
        <f>0%</f>
        <v>0</v>
      </c>
      <c r="L163" s="467">
        <f>0%</f>
        <v>0</v>
      </c>
      <c r="M163" s="467">
        <f>0%</f>
        <v>0</v>
      </c>
    </row>
    <row r="164" spans="1:13">
      <c r="A164" s="466" t="s">
        <v>552</v>
      </c>
      <c r="B164" s="467">
        <f>B162-B163</f>
        <v>1</v>
      </c>
      <c r="C164" s="467">
        <f t="shared" ref="C164:M164" si="50">C162-C163</f>
        <v>1</v>
      </c>
      <c r="D164" s="467">
        <f t="shared" si="50"/>
        <v>1</v>
      </c>
      <c r="E164" s="467">
        <f t="shared" si="50"/>
        <v>1</v>
      </c>
      <c r="F164" s="467">
        <f t="shared" si="50"/>
        <v>1</v>
      </c>
      <c r="G164" s="467">
        <f t="shared" si="50"/>
        <v>1</v>
      </c>
      <c r="H164" s="467">
        <f t="shared" si="50"/>
        <v>0.97</v>
      </c>
      <c r="I164" s="467">
        <f t="shared" si="50"/>
        <v>0.96</v>
      </c>
      <c r="J164" s="467">
        <f t="shared" si="50"/>
        <v>0.84499999999999997</v>
      </c>
      <c r="K164" s="467">
        <f t="shared" si="50"/>
        <v>0.73</v>
      </c>
      <c r="L164" s="467">
        <f t="shared" si="50"/>
        <v>0.61499999999999999</v>
      </c>
      <c r="M164" s="467">
        <f t="shared" si="50"/>
        <v>0.5</v>
      </c>
    </row>
    <row r="165" spans="1:13">
      <c r="A165" s="535" t="s">
        <v>558</v>
      </c>
      <c r="B165" s="535"/>
      <c r="C165" s="535"/>
      <c r="D165" s="535"/>
      <c r="E165" s="535"/>
      <c r="F165" s="535"/>
      <c r="G165" s="535"/>
      <c r="H165" s="535"/>
      <c r="I165" s="535"/>
      <c r="J165" s="535"/>
      <c r="K165" s="535"/>
      <c r="L165" s="535"/>
      <c r="M165" s="535"/>
    </row>
    <row r="166" spans="1:13">
      <c r="A166" s="311"/>
      <c r="B166" s="311"/>
      <c r="C166" s="311"/>
      <c r="D166" s="311"/>
      <c r="E166" s="311"/>
      <c r="F166" s="311"/>
      <c r="G166" s="311"/>
      <c r="H166" s="311"/>
      <c r="I166" s="311"/>
      <c r="J166" s="311"/>
      <c r="K166" s="311"/>
      <c r="L166" s="311"/>
      <c r="M166" s="311"/>
    </row>
    <row r="167" spans="1:13">
      <c r="A167" s="469" t="s">
        <v>601</v>
      </c>
      <c r="B167" s="470"/>
      <c r="C167" s="470"/>
      <c r="D167" s="470"/>
      <c r="E167" s="471"/>
      <c r="F167" s="471"/>
      <c r="G167" s="471"/>
      <c r="H167" s="471"/>
      <c r="I167" s="471"/>
      <c r="J167" s="471"/>
      <c r="K167" s="471"/>
      <c r="L167" s="471"/>
      <c r="M167" s="471"/>
    </row>
    <row r="168" spans="1:13">
      <c r="A168" s="446"/>
      <c r="B168" s="448">
        <v>2019</v>
      </c>
      <c r="C168" s="448">
        <v>2020</v>
      </c>
      <c r="D168" s="448">
        <v>2025</v>
      </c>
      <c r="E168" s="448">
        <v>2030</v>
      </c>
      <c r="F168" s="448">
        <v>2035</v>
      </c>
      <c r="G168" s="448">
        <v>2040</v>
      </c>
      <c r="H168" s="448">
        <v>2045</v>
      </c>
      <c r="I168" s="448">
        <v>2050</v>
      </c>
      <c r="J168" s="489"/>
      <c r="K168" s="489"/>
      <c r="L168" s="489"/>
      <c r="M168" s="489"/>
    </row>
    <row r="169" spans="1:13">
      <c r="A169" s="452" t="s">
        <v>554</v>
      </c>
      <c r="B169" s="472">
        <f>B135*B137</f>
        <v>0</v>
      </c>
      <c r="C169" s="472">
        <f t="shared" ref="C169:I169" si="51">$B$125*G157*G158</f>
        <v>0</v>
      </c>
      <c r="D169" s="472">
        <f t="shared" si="51"/>
        <v>0</v>
      </c>
      <c r="E169" s="472">
        <f t="shared" si="51"/>
        <v>0</v>
      </c>
      <c r="F169" s="472">
        <f t="shared" si="51"/>
        <v>0</v>
      </c>
      <c r="G169" s="472">
        <f t="shared" si="51"/>
        <v>0</v>
      </c>
      <c r="H169" s="472">
        <f t="shared" si="51"/>
        <v>0</v>
      </c>
      <c r="I169" s="472">
        <f t="shared" si="51"/>
        <v>0</v>
      </c>
      <c r="J169" s="489"/>
      <c r="K169" s="489"/>
      <c r="L169" s="489"/>
      <c r="M169" s="489"/>
    </row>
    <row r="170" spans="1:13">
      <c r="A170" s="452" t="s">
        <v>555</v>
      </c>
      <c r="B170" s="472">
        <f t="shared" ref="B170:I170" si="52">B169*F160</f>
        <v>0</v>
      </c>
      <c r="C170" s="472">
        <f t="shared" si="52"/>
        <v>0</v>
      </c>
      <c r="D170" s="472">
        <f t="shared" si="52"/>
        <v>0</v>
      </c>
      <c r="E170" s="472">
        <f t="shared" si="52"/>
        <v>0</v>
      </c>
      <c r="F170" s="472">
        <f t="shared" si="52"/>
        <v>0</v>
      </c>
      <c r="G170" s="472">
        <f t="shared" si="52"/>
        <v>0</v>
      </c>
      <c r="H170" s="472">
        <f t="shared" si="52"/>
        <v>0</v>
      </c>
      <c r="I170" s="472">
        <f t="shared" si="52"/>
        <v>0</v>
      </c>
      <c r="J170" s="489"/>
      <c r="K170" s="489"/>
      <c r="L170" s="489"/>
      <c r="M170" s="489"/>
    </row>
    <row r="171" spans="1:13">
      <c r="A171" s="452" t="s">
        <v>556</v>
      </c>
      <c r="B171" s="472">
        <f t="shared" ref="B171:I171" si="53">B169*F161</f>
        <v>0</v>
      </c>
      <c r="C171" s="472">
        <f t="shared" si="53"/>
        <v>0</v>
      </c>
      <c r="D171" s="472">
        <f t="shared" si="53"/>
        <v>0</v>
      </c>
      <c r="E171" s="472">
        <f t="shared" si="53"/>
        <v>0</v>
      </c>
      <c r="F171" s="472">
        <f t="shared" si="53"/>
        <v>0</v>
      </c>
      <c r="G171" s="472">
        <f t="shared" si="53"/>
        <v>0</v>
      </c>
      <c r="H171" s="472">
        <f t="shared" si="53"/>
        <v>0</v>
      </c>
      <c r="I171" s="472">
        <f t="shared" si="53"/>
        <v>0</v>
      </c>
      <c r="J171" s="489"/>
      <c r="K171" s="489"/>
      <c r="L171" s="489"/>
      <c r="M171" s="489"/>
    </row>
    <row r="172" spans="1:13">
      <c r="A172" s="452" t="s">
        <v>557</v>
      </c>
      <c r="B172" s="451">
        <f t="shared" ref="B172:I172" si="54">B169*F164</f>
        <v>0</v>
      </c>
      <c r="C172" s="451">
        <f t="shared" si="54"/>
        <v>0</v>
      </c>
      <c r="D172" s="451">
        <f t="shared" si="54"/>
        <v>0</v>
      </c>
      <c r="E172" s="451">
        <f t="shared" si="54"/>
        <v>0</v>
      </c>
      <c r="F172" s="451">
        <f t="shared" si="54"/>
        <v>0</v>
      </c>
      <c r="G172" s="451">
        <f t="shared" si="54"/>
        <v>0</v>
      </c>
      <c r="H172" s="451">
        <f t="shared" si="54"/>
        <v>0</v>
      </c>
      <c r="I172" s="451">
        <f t="shared" si="54"/>
        <v>0</v>
      </c>
      <c r="J172" s="239"/>
      <c r="K172" s="239"/>
      <c r="L172" s="239"/>
      <c r="M172" s="239"/>
    </row>
    <row r="173" spans="1:13">
      <c r="A173" s="489"/>
      <c r="B173" s="489"/>
      <c r="C173" s="489"/>
      <c r="D173" s="489"/>
      <c r="E173" s="489"/>
      <c r="F173" s="489"/>
      <c r="G173" s="489"/>
      <c r="H173" s="489"/>
      <c r="I173" s="489"/>
      <c r="J173" s="489"/>
      <c r="K173" s="489"/>
      <c r="L173" s="489"/>
      <c r="M173" s="489"/>
    </row>
    <row r="174" spans="1:13">
      <c r="A174" s="489"/>
      <c r="B174" s="489"/>
      <c r="C174" s="489"/>
      <c r="D174" s="489"/>
      <c r="E174" s="489"/>
      <c r="F174" s="489"/>
      <c r="G174" s="489"/>
      <c r="H174" s="489"/>
      <c r="I174" s="489"/>
      <c r="J174" s="489"/>
      <c r="K174" s="489"/>
      <c r="L174" s="489"/>
      <c r="M174" s="489"/>
    </row>
    <row r="176" spans="1:13" ht="21">
      <c r="A176" s="445" t="s">
        <v>563</v>
      </c>
    </row>
    <row r="178" spans="1:13">
      <c r="A178" s="533" t="s">
        <v>578</v>
      </c>
      <c r="B178" s="533"/>
      <c r="C178" s="533"/>
      <c r="D178" s="533"/>
      <c r="E178" s="533"/>
      <c r="F178" s="533"/>
      <c r="G178" s="533"/>
      <c r="H178" s="533"/>
      <c r="I178" s="533"/>
      <c r="J178" s="533"/>
      <c r="K178" s="533"/>
    </row>
    <row r="180" spans="1:13">
      <c r="A180" s="446" t="s">
        <v>564</v>
      </c>
      <c r="B180" s="448" t="s">
        <v>166</v>
      </c>
      <c r="C180" s="448" t="s">
        <v>167</v>
      </c>
      <c r="D180" s="448" t="s">
        <v>168</v>
      </c>
      <c r="E180" s="448" t="s">
        <v>566</v>
      </c>
      <c r="F180" s="448" t="s">
        <v>567</v>
      </c>
      <c r="G180" s="448" t="s">
        <v>568</v>
      </c>
      <c r="H180" s="448" t="s">
        <v>569</v>
      </c>
    </row>
    <row r="181" spans="1:13">
      <c r="A181" s="452" t="s">
        <v>579</v>
      </c>
      <c r="B181" s="472">
        <v>788.02024800000004</v>
      </c>
      <c r="C181" s="472">
        <v>837.57731299999989</v>
      </c>
      <c r="D181" s="472">
        <v>769.64257750000013</v>
      </c>
      <c r="E181" s="472">
        <v>734.78288249999991</v>
      </c>
      <c r="F181" s="472">
        <v>907.62306899999987</v>
      </c>
      <c r="G181" s="472">
        <v>878.98520249999979</v>
      </c>
      <c r="H181" s="472">
        <v>723.73879599999998</v>
      </c>
    </row>
    <row r="182" spans="1:13">
      <c r="A182" t="s">
        <v>580</v>
      </c>
      <c r="B182" s="472">
        <v>140.82576549999999</v>
      </c>
      <c r="C182" s="472">
        <v>139.1134065</v>
      </c>
      <c r="D182" s="472">
        <v>139.32531499999999</v>
      </c>
      <c r="E182" s="472">
        <v>141.041662</v>
      </c>
      <c r="F182" s="472">
        <v>119.050904</v>
      </c>
      <c r="G182" s="472">
        <v>37.693899999999999</v>
      </c>
      <c r="H182" s="472">
        <v>2.1427214999999999</v>
      </c>
    </row>
    <row r="183" spans="1:13">
      <c r="A183" s="452" t="s">
        <v>581</v>
      </c>
      <c r="B183" s="472">
        <f>B181*44/3600</f>
        <v>9.6313585866666678</v>
      </c>
      <c r="C183" s="472">
        <f t="shared" ref="C183:H183" si="55">C181*44/3600</f>
        <v>10.237056047777777</v>
      </c>
      <c r="D183" s="472">
        <f t="shared" si="55"/>
        <v>9.4067426138888912</v>
      </c>
      <c r="E183" s="472">
        <f t="shared" si="55"/>
        <v>8.9806796749999993</v>
      </c>
      <c r="F183" s="472">
        <f t="shared" si="55"/>
        <v>11.093170843333331</v>
      </c>
      <c r="G183" s="472">
        <f t="shared" si="55"/>
        <v>10.743152474999999</v>
      </c>
      <c r="H183" s="472">
        <f t="shared" si="55"/>
        <v>8.8456963955555548</v>
      </c>
    </row>
    <row r="184" spans="1:13">
      <c r="A184" s="246" t="s">
        <v>582</v>
      </c>
      <c r="B184" s="472">
        <f>B182*44/3600</f>
        <v>1.7212038005555554</v>
      </c>
      <c r="C184" s="472">
        <f t="shared" ref="C184:H184" si="56">C182*44/3600</f>
        <v>1.7002749683333331</v>
      </c>
      <c r="D184" s="472">
        <f t="shared" si="56"/>
        <v>1.7028649611111109</v>
      </c>
      <c r="E184" s="472">
        <f t="shared" si="56"/>
        <v>1.7238425355555556</v>
      </c>
      <c r="F184" s="472">
        <f t="shared" si="56"/>
        <v>1.4550666044444445</v>
      </c>
      <c r="G184" s="472">
        <f t="shared" si="56"/>
        <v>0.46070322222222221</v>
      </c>
      <c r="H184" s="472">
        <f t="shared" si="56"/>
        <v>2.6188818333333336E-2</v>
      </c>
      <c r="I184" s="443"/>
      <c r="J184" s="443"/>
      <c r="K184" s="443"/>
      <c r="L184" s="443"/>
      <c r="M184" s="443"/>
    </row>
    <row r="185" spans="1:13">
      <c r="A185" s="535" t="s">
        <v>584</v>
      </c>
      <c r="B185" s="535"/>
      <c r="C185" s="535"/>
      <c r="D185" s="535"/>
      <c r="E185" s="535"/>
      <c r="F185" s="535"/>
      <c r="G185" s="535"/>
      <c r="H185" s="535"/>
      <c r="I185" s="443"/>
      <c r="J185" s="443"/>
      <c r="K185" s="443"/>
      <c r="L185" s="443"/>
      <c r="M185" s="443"/>
    </row>
    <row r="186" spans="1:13">
      <c r="A186" s="443"/>
      <c r="B186" s="443"/>
      <c r="C186" s="443"/>
      <c r="D186" s="443"/>
      <c r="E186" s="443"/>
      <c r="F186" s="443"/>
      <c r="G186" s="443"/>
      <c r="H186" s="443"/>
      <c r="I186" s="443"/>
      <c r="J186" s="443"/>
      <c r="K186" s="443"/>
      <c r="L186" s="443"/>
      <c r="M186" s="443"/>
    </row>
    <row r="187" spans="1:13">
      <c r="A187" s="475" t="s">
        <v>574</v>
      </c>
      <c r="B187" s="476">
        <v>2018</v>
      </c>
      <c r="C187" s="476">
        <v>2019</v>
      </c>
      <c r="D187" s="476">
        <v>2020</v>
      </c>
      <c r="E187" s="476">
        <v>2025</v>
      </c>
      <c r="F187" s="476">
        <v>2030</v>
      </c>
      <c r="G187" s="476">
        <v>2035</v>
      </c>
      <c r="H187" s="476">
        <v>2040</v>
      </c>
      <c r="I187" s="476">
        <v>2045</v>
      </c>
      <c r="J187" s="476">
        <v>2050</v>
      </c>
    </row>
    <row r="188" spans="1:13">
      <c r="A188" s="479" t="s">
        <v>575</v>
      </c>
      <c r="B188" s="482"/>
      <c r="C188" s="482">
        <v>1</v>
      </c>
      <c r="D188" s="482">
        <v>0.53619199286752905</v>
      </c>
      <c r="E188" s="482">
        <v>1.1422880895580272</v>
      </c>
      <c r="F188" s="482">
        <v>1.2558809424785182</v>
      </c>
      <c r="G188" s="482">
        <v>1.4090414788885288</v>
      </c>
      <c r="H188" s="482">
        <v>1.5917392274655779</v>
      </c>
      <c r="I188" s="482">
        <v>1.7954063493562997</v>
      </c>
      <c r="J188" s="482">
        <v>1.9898293358431327</v>
      </c>
      <c r="K188" s="443"/>
      <c r="L188" s="443"/>
      <c r="M188" s="443"/>
    </row>
    <row r="189" spans="1:13">
      <c r="A189" s="481" t="s">
        <v>576</v>
      </c>
      <c r="B189" s="483"/>
      <c r="C189" s="483">
        <v>1</v>
      </c>
      <c r="D189" s="483">
        <v>0.98499999999999999</v>
      </c>
      <c r="E189" s="483">
        <v>0.91330825483014066</v>
      </c>
      <c r="F189" s="483">
        <v>0.84683448562525598</v>
      </c>
      <c r="G189" s="483">
        <v>0.78519890984404295</v>
      </c>
      <c r="H189" s="483">
        <v>0.72804938684689524</v>
      </c>
      <c r="I189" s="483">
        <v>0.67505940602161607</v>
      </c>
      <c r="J189" s="483">
        <v>0.62592622134037912</v>
      </c>
      <c r="K189" s="443"/>
      <c r="L189" s="443"/>
      <c r="M189" s="443"/>
    </row>
    <row r="190" spans="1:13">
      <c r="A190" s="478" t="s">
        <v>571</v>
      </c>
      <c r="B190" s="484">
        <v>854.54475589700007</v>
      </c>
      <c r="C190" s="484">
        <v>873.86362250900004</v>
      </c>
      <c r="D190" s="484">
        <v>596.83967486100016</v>
      </c>
      <c r="E190" s="484">
        <f t="shared" ref="E190:J190" si="57">$C$190*E189*E188</f>
        <v>911.6679604105251</v>
      </c>
      <c r="F190" s="484">
        <f t="shared" si="57"/>
        <v>929.37431650895917</v>
      </c>
      <c r="G190" s="484">
        <f t="shared" si="57"/>
        <v>966.8233411386409</v>
      </c>
      <c r="H190" s="484">
        <f t="shared" si="57"/>
        <v>1012.6897646662835</v>
      </c>
      <c r="I190" s="484">
        <f t="shared" si="57"/>
        <v>1059.1279045199626</v>
      </c>
      <c r="J190" s="484">
        <f t="shared" si="57"/>
        <v>1088.3852199726828</v>
      </c>
    </row>
    <row r="191" spans="1:13">
      <c r="A191" s="246" t="s">
        <v>572</v>
      </c>
      <c r="B191" s="485"/>
      <c r="C191" s="485"/>
      <c r="D191" s="486">
        <f>D190/$C$190</f>
        <v>0.68298949571487999</v>
      </c>
      <c r="E191" s="486">
        <f t="shared" ref="E191:J191" si="58">E190/$C$190</f>
        <v>1.0432611415874973</v>
      </c>
      <c r="F191" s="486">
        <f t="shared" si="58"/>
        <v>1.0635232919303577</v>
      </c>
      <c r="G191" s="486">
        <f t="shared" si="58"/>
        <v>1.1063778331483107</v>
      </c>
      <c r="H191" s="486">
        <f t="shared" si="58"/>
        <v>1.1588647685764648</v>
      </c>
      <c r="I191" s="486">
        <f t="shared" si="58"/>
        <v>1.2120059437639017</v>
      </c>
      <c r="J191" s="486">
        <f t="shared" si="58"/>
        <v>1.245486357296528</v>
      </c>
    </row>
    <row r="192" spans="1:13">
      <c r="A192" s="538" t="s">
        <v>573</v>
      </c>
      <c r="B192" s="539"/>
      <c r="C192" s="539"/>
      <c r="D192" s="539"/>
      <c r="E192" s="539"/>
      <c r="F192" s="539"/>
      <c r="G192" s="539"/>
      <c r="H192" s="539"/>
      <c r="I192" s="539"/>
      <c r="J192" s="540"/>
    </row>
    <row r="194" spans="1:22">
      <c r="A194" s="475" t="s">
        <v>565</v>
      </c>
      <c r="B194" s="476">
        <v>2018</v>
      </c>
      <c r="C194" s="476">
        <v>2019</v>
      </c>
      <c r="D194" s="476">
        <v>2020</v>
      </c>
      <c r="E194" s="476">
        <v>2025</v>
      </c>
      <c r="F194" s="476">
        <v>2030</v>
      </c>
      <c r="G194" s="476">
        <v>2035</v>
      </c>
      <c r="H194" s="476">
        <v>2040</v>
      </c>
      <c r="I194" s="476">
        <v>2045</v>
      </c>
      <c r="J194" s="476">
        <v>2050</v>
      </c>
    </row>
    <row r="195" spans="1:22">
      <c r="A195" s="479" t="s">
        <v>575</v>
      </c>
      <c r="B195" s="480"/>
      <c r="C195" s="480">
        <v>1</v>
      </c>
      <c r="D195" s="480">
        <v>0.44563782003342767</v>
      </c>
      <c r="E195" s="480">
        <v>0.96151765436937453</v>
      </c>
      <c r="F195" s="480">
        <v>0.96517932254598748</v>
      </c>
      <c r="G195" s="480">
        <v>1.0054168307825717</v>
      </c>
      <c r="H195" s="480">
        <v>1.0640948052616099</v>
      </c>
      <c r="I195" s="480">
        <v>1.1310695308864491</v>
      </c>
      <c r="J195" s="480">
        <v>1.1835388472709474</v>
      </c>
    </row>
    <row r="196" spans="1:22">
      <c r="A196" s="481" t="s">
        <v>576</v>
      </c>
      <c r="B196" s="483"/>
      <c r="C196" s="483">
        <v>1</v>
      </c>
      <c r="D196" s="483">
        <v>0.98499999999999999</v>
      </c>
      <c r="E196" s="483">
        <v>0.91330825483014066</v>
      </c>
      <c r="F196" s="483">
        <v>0.84683448562525598</v>
      </c>
      <c r="G196" s="483">
        <v>0.78519890984404295</v>
      </c>
      <c r="H196" s="483">
        <v>0.72804938684689524</v>
      </c>
      <c r="I196" s="483">
        <v>0.67505940602161607</v>
      </c>
      <c r="J196" s="483">
        <v>0.62592622134037912</v>
      </c>
    </row>
    <row r="197" spans="1:22">
      <c r="A197" s="478" t="s">
        <v>577</v>
      </c>
      <c r="B197" s="477">
        <v>5903.7976366930016</v>
      </c>
      <c r="C197" s="477">
        <v>6076.5395623849945</v>
      </c>
      <c r="D197" s="477">
        <v>2509.3328292910014</v>
      </c>
      <c r="E197" s="477">
        <v>6338.1240104176941</v>
      </c>
      <c r="F197" s="477">
        <v>6434.8559396955197</v>
      </c>
      <c r="G197" s="477">
        <v>6648.8648685072094</v>
      </c>
      <c r="H197" s="477">
        <v>6920.3214620554681</v>
      </c>
      <c r="I197" s="477">
        <v>7224.7199661410759</v>
      </c>
      <c r="J197" s="477">
        <v>7417.5780659631846</v>
      </c>
    </row>
    <row r="198" spans="1:22">
      <c r="A198" s="246" t="s">
        <v>572</v>
      </c>
      <c r="B198" s="485"/>
      <c r="C198" s="485"/>
      <c r="D198" s="486">
        <f t="shared" ref="D198:J198" si="59">D197/$C$197</f>
        <v>0.41295424863589758</v>
      </c>
      <c r="E198" s="486">
        <f t="shared" si="59"/>
        <v>1.0430482588563992</v>
      </c>
      <c r="F198" s="486">
        <f t="shared" si="59"/>
        <v>1.0589671759118588</v>
      </c>
      <c r="G198" s="486">
        <f t="shared" si="59"/>
        <v>1.0941860577465872</v>
      </c>
      <c r="H198" s="486">
        <f t="shared" si="59"/>
        <v>1.1388589494082544</v>
      </c>
      <c r="I198" s="486">
        <f t="shared" si="59"/>
        <v>1.1889530039207759</v>
      </c>
      <c r="J198" s="486">
        <f t="shared" si="59"/>
        <v>1.2206911499234678</v>
      </c>
      <c r="K198" s="487"/>
    </row>
    <row r="199" spans="1:22">
      <c r="A199" s="538" t="s">
        <v>573</v>
      </c>
      <c r="B199" s="539"/>
      <c r="C199" s="539"/>
      <c r="D199" s="539"/>
      <c r="E199" s="539"/>
      <c r="F199" s="539"/>
      <c r="G199" s="539"/>
      <c r="H199" s="539"/>
      <c r="I199" s="539"/>
      <c r="J199" s="540"/>
    </row>
    <row r="201" spans="1:22">
      <c r="A201" s="446" t="s">
        <v>564</v>
      </c>
      <c r="B201" s="476">
        <v>2019</v>
      </c>
      <c r="C201" s="476">
        <v>2020</v>
      </c>
      <c r="D201" s="476">
        <v>2025</v>
      </c>
      <c r="E201" s="476">
        <v>2030</v>
      </c>
      <c r="F201" s="476">
        <v>2035</v>
      </c>
      <c r="G201" s="476">
        <v>2040</v>
      </c>
      <c r="H201" s="476">
        <v>2045</v>
      </c>
      <c r="I201" s="476">
        <v>2050</v>
      </c>
    </row>
    <row r="202" spans="1:22">
      <c r="A202" s="452" t="s">
        <v>565</v>
      </c>
      <c r="B202" s="472">
        <f>F184</f>
        <v>1.4550666044444445</v>
      </c>
      <c r="C202" s="472">
        <f>G184</f>
        <v>0.46070322222222221</v>
      </c>
      <c r="D202" s="472">
        <f t="shared" ref="D202:I202" si="60">$B$202*E198</f>
        <v>1.5177046882858707</v>
      </c>
      <c r="E202" s="472">
        <f t="shared" si="60"/>
        <v>1.5408677728721911</v>
      </c>
      <c r="F202" s="472">
        <f t="shared" si="60"/>
        <v>1.5921135916757794</v>
      </c>
      <c r="G202" s="472">
        <f t="shared" si="60"/>
        <v>1.6571156244566361</v>
      </c>
      <c r="H202" s="472">
        <f t="shared" si="60"/>
        <v>1.7300058102590257</v>
      </c>
      <c r="I202" s="472">
        <f t="shared" si="60"/>
        <v>1.7761869265945247</v>
      </c>
    </row>
    <row r="203" spans="1:22">
      <c r="A203" s="452" t="s">
        <v>570</v>
      </c>
      <c r="B203" s="472">
        <f>F183</f>
        <v>11.093170843333331</v>
      </c>
      <c r="C203" s="472">
        <f>G183</f>
        <v>10.743152474999999</v>
      </c>
      <c r="D203" s="472">
        <f t="shared" ref="D203:I203" si="61">$B$203*E191</f>
        <v>11.573074077841071</v>
      </c>
      <c r="E203" s="472">
        <f t="shared" si="61"/>
        <v>11.797845573247725</v>
      </c>
      <c r="F203" s="472">
        <f t="shared" si="61"/>
        <v>12.273238320391149</v>
      </c>
      <c r="G203" s="472">
        <f t="shared" si="61"/>
        <v>12.855484862138667</v>
      </c>
      <c r="H203" s="472">
        <f t="shared" si="61"/>
        <v>13.44498899730841</v>
      </c>
      <c r="I203" s="472">
        <f t="shared" si="61"/>
        <v>13.816392944531284</v>
      </c>
    </row>
    <row r="204" spans="1:22">
      <c r="A204" s="535" t="s">
        <v>583</v>
      </c>
      <c r="B204" s="535"/>
      <c r="C204" s="535"/>
      <c r="D204" s="535"/>
      <c r="E204" s="535"/>
      <c r="F204" s="535"/>
      <c r="G204" s="535"/>
      <c r="H204" s="535"/>
      <c r="I204" s="535"/>
    </row>
    <row r="207" spans="1:22">
      <c r="A207" s="533" t="s">
        <v>600</v>
      </c>
      <c r="B207" s="533"/>
      <c r="C207" s="533"/>
      <c r="D207" s="533"/>
      <c r="E207" s="533"/>
      <c r="F207" s="533"/>
      <c r="G207" s="533"/>
      <c r="H207" s="533"/>
      <c r="I207" s="533"/>
      <c r="J207" s="533"/>
      <c r="K207" s="533"/>
      <c r="L207" s="489"/>
      <c r="M207" s="489"/>
      <c r="N207" s="489"/>
      <c r="O207" s="489"/>
      <c r="P207" s="489"/>
      <c r="Q207" s="489"/>
      <c r="R207" s="489"/>
      <c r="S207" s="489"/>
      <c r="T207" s="489"/>
      <c r="U207" s="489"/>
      <c r="V207" s="489"/>
    </row>
    <row r="208" spans="1:22">
      <c r="A208" s="489"/>
      <c r="B208" s="489"/>
      <c r="C208" s="489"/>
      <c r="D208" s="489"/>
      <c r="E208" s="489"/>
      <c r="F208" s="489"/>
      <c r="G208" s="489"/>
      <c r="H208" s="489"/>
      <c r="I208" s="489"/>
      <c r="J208" s="489"/>
      <c r="K208" s="489"/>
      <c r="L208" s="489"/>
      <c r="M208" s="489"/>
      <c r="N208" s="489"/>
      <c r="O208" s="489"/>
      <c r="P208" s="489"/>
      <c r="Q208" s="489"/>
      <c r="R208" s="489"/>
      <c r="S208" s="489"/>
      <c r="T208" s="489"/>
      <c r="U208" s="489"/>
      <c r="V208" s="489"/>
    </row>
    <row r="209" spans="1:22">
      <c r="A209" s="446" t="s">
        <v>564</v>
      </c>
      <c r="B209" s="448" t="s">
        <v>166</v>
      </c>
      <c r="C209" s="448" t="s">
        <v>167</v>
      </c>
      <c r="D209" s="448" t="s">
        <v>168</v>
      </c>
      <c r="E209" s="448" t="s">
        <v>566</v>
      </c>
      <c r="F209" s="448" t="s">
        <v>567</v>
      </c>
      <c r="G209" s="448" t="s">
        <v>568</v>
      </c>
      <c r="H209" s="448" t="s">
        <v>569</v>
      </c>
      <c r="I209" s="489"/>
      <c r="J209" s="489"/>
      <c r="K209" s="489"/>
      <c r="L209" s="489"/>
      <c r="M209" s="489"/>
      <c r="N209" s="489"/>
      <c r="O209" s="489"/>
      <c r="P209" s="489"/>
      <c r="Q209" s="489"/>
      <c r="R209" s="489"/>
      <c r="S209" s="489"/>
      <c r="T209" s="489"/>
      <c r="U209" s="489"/>
      <c r="V209" s="489"/>
    </row>
    <row r="210" spans="1:22">
      <c r="A210" s="452" t="s">
        <v>602</v>
      </c>
      <c r="B210" s="570"/>
      <c r="C210" s="570"/>
      <c r="D210" s="570"/>
      <c r="E210" s="570"/>
      <c r="F210" s="570"/>
      <c r="G210" s="570"/>
      <c r="H210" s="570"/>
      <c r="I210" s="489"/>
      <c r="J210" s="489"/>
      <c r="K210" s="489"/>
      <c r="L210" s="489"/>
      <c r="M210" s="489"/>
      <c r="N210" s="489"/>
      <c r="O210" s="489"/>
      <c r="P210" s="489"/>
      <c r="Q210" s="489"/>
      <c r="R210" s="489"/>
      <c r="S210" s="489"/>
      <c r="T210" s="489"/>
      <c r="U210" s="489"/>
      <c r="V210" s="489"/>
    </row>
    <row r="211" spans="1:22">
      <c r="A211" s="489" t="s">
        <v>580</v>
      </c>
      <c r="B211" s="570"/>
      <c r="C211" s="570"/>
      <c r="D211" s="570"/>
      <c r="E211" s="570"/>
      <c r="F211" s="570"/>
      <c r="G211" s="570"/>
      <c r="H211" s="570"/>
      <c r="I211" s="489"/>
      <c r="J211" s="489"/>
      <c r="K211" s="489"/>
      <c r="L211" s="489"/>
      <c r="M211" s="489"/>
      <c r="N211" s="489"/>
      <c r="O211" s="489"/>
      <c r="P211" s="489"/>
      <c r="Q211" s="489"/>
      <c r="R211" s="489"/>
      <c r="S211" s="489"/>
      <c r="T211" s="489"/>
      <c r="U211" s="489"/>
      <c r="V211" s="489"/>
    </row>
    <row r="212" spans="1:22">
      <c r="A212" s="452" t="s">
        <v>603</v>
      </c>
      <c r="B212" s="472">
        <f>B210*44/3600</f>
        <v>0</v>
      </c>
      <c r="C212" s="472">
        <f t="shared" ref="C212:H213" si="62">C210*44/3600</f>
        <v>0</v>
      </c>
      <c r="D212" s="472">
        <f t="shared" si="62"/>
        <v>0</v>
      </c>
      <c r="E212" s="472">
        <f t="shared" si="62"/>
        <v>0</v>
      </c>
      <c r="F212" s="472">
        <f>6.2*11.63</f>
        <v>72.106000000000009</v>
      </c>
      <c r="G212" s="472">
        <f t="shared" ref="G212:K213" si="63">G210*44/3600</f>
        <v>0</v>
      </c>
      <c r="H212" s="472">
        <f t="shared" si="63"/>
        <v>0</v>
      </c>
      <c r="I212" s="489"/>
      <c r="J212" s="489"/>
      <c r="K212" s="489"/>
      <c r="L212" s="489"/>
      <c r="M212" s="489"/>
      <c r="N212" s="489"/>
      <c r="O212" s="489"/>
      <c r="P212" s="489"/>
      <c r="Q212" s="489"/>
      <c r="R212" s="489"/>
      <c r="S212" s="489"/>
      <c r="T212" s="489"/>
      <c r="U212" s="489"/>
      <c r="V212" s="489"/>
    </row>
    <row r="213" spans="1:22">
      <c r="A213" s="246" t="s">
        <v>582</v>
      </c>
      <c r="B213" s="472">
        <f>B211*44/3600</f>
        <v>0</v>
      </c>
      <c r="C213" s="472">
        <f t="shared" si="62"/>
        <v>0</v>
      </c>
      <c r="D213" s="472">
        <f t="shared" si="62"/>
        <v>0</v>
      </c>
      <c r="E213" s="472">
        <f t="shared" si="62"/>
        <v>0</v>
      </c>
      <c r="F213" s="472">
        <v>173.2</v>
      </c>
      <c r="G213" s="472">
        <f t="shared" si="63"/>
        <v>0</v>
      </c>
      <c r="H213" s="472">
        <f t="shared" si="63"/>
        <v>0</v>
      </c>
      <c r="I213" s="489"/>
      <c r="J213" s="489"/>
      <c r="K213" s="489"/>
      <c r="L213" s="489"/>
      <c r="M213" s="489"/>
      <c r="N213" s="489"/>
      <c r="O213" s="489"/>
      <c r="P213" s="489"/>
      <c r="Q213" s="489"/>
      <c r="R213" s="489"/>
      <c r="S213" s="489"/>
      <c r="T213" s="489"/>
      <c r="U213" s="489"/>
      <c r="V213" s="489"/>
    </row>
    <row r="214" spans="1:22">
      <c r="A214" s="535" t="s">
        <v>584</v>
      </c>
      <c r="B214" s="535"/>
      <c r="C214" s="535"/>
      <c r="D214" s="535"/>
      <c r="E214" s="535"/>
      <c r="F214" s="535"/>
      <c r="G214" s="535"/>
      <c r="H214" s="535"/>
      <c r="I214" s="489"/>
      <c r="J214" s="489"/>
      <c r="K214" s="489"/>
      <c r="L214" s="489"/>
      <c r="M214" s="489"/>
      <c r="N214" s="489"/>
      <c r="O214" s="489"/>
      <c r="P214" s="489"/>
      <c r="Q214" s="489"/>
      <c r="R214" s="489"/>
      <c r="S214" s="489"/>
      <c r="T214" s="489"/>
      <c r="U214" s="489"/>
      <c r="V214" s="489"/>
    </row>
    <row r="215" spans="1:22">
      <c r="A215" s="489"/>
      <c r="B215" s="489"/>
      <c r="C215" s="489"/>
      <c r="D215" s="489"/>
      <c r="E215" s="489"/>
      <c r="F215" s="489"/>
      <c r="G215" s="489"/>
      <c r="H215" s="489"/>
      <c r="I215" s="489"/>
      <c r="J215" s="489"/>
      <c r="K215" s="489"/>
      <c r="L215" s="489"/>
      <c r="M215" s="489"/>
      <c r="N215" s="489"/>
      <c r="O215" s="489"/>
      <c r="P215" s="489"/>
      <c r="Q215" s="489"/>
      <c r="R215" s="489"/>
      <c r="S215" s="489"/>
      <c r="T215" s="489"/>
      <c r="U215" s="489"/>
      <c r="V215" s="489"/>
    </row>
    <row r="216" spans="1:22">
      <c r="A216" s="475" t="s">
        <v>574</v>
      </c>
      <c r="B216" s="476">
        <v>2018</v>
      </c>
      <c r="C216" s="476">
        <v>2019</v>
      </c>
      <c r="D216" s="476">
        <v>2020</v>
      </c>
      <c r="E216" s="476">
        <v>2025</v>
      </c>
      <c r="F216" s="476">
        <v>2030</v>
      </c>
      <c r="G216" s="476">
        <v>2035</v>
      </c>
      <c r="H216" s="476">
        <v>2040</v>
      </c>
      <c r="I216" s="476">
        <v>2045</v>
      </c>
      <c r="J216" s="476">
        <v>2050</v>
      </c>
      <c r="K216" s="489"/>
      <c r="L216" s="489"/>
      <c r="M216" s="489"/>
      <c r="N216" s="489"/>
      <c r="O216" s="489"/>
      <c r="P216" s="489"/>
      <c r="Q216" s="489"/>
      <c r="R216" s="489"/>
      <c r="S216" s="489"/>
      <c r="T216" s="489"/>
      <c r="U216" s="489"/>
      <c r="V216" s="489"/>
    </row>
    <row r="217" spans="1:22">
      <c r="A217" s="479" t="s">
        <v>575</v>
      </c>
      <c r="B217" s="482"/>
      <c r="C217" s="482">
        <v>1</v>
      </c>
      <c r="D217" s="482">
        <v>0.53619199286752905</v>
      </c>
      <c r="E217" s="482">
        <v>1.1205514631334093</v>
      </c>
      <c r="F217" s="482">
        <v>1.2011364029665057</v>
      </c>
      <c r="G217" s="482">
        <v>1.2830902553383599</v>
      </c>
      <c r="H217" s="482">
        <v>1.4166809438596295</v>
      </c>
      <c r="I217" s="482">
        <v>1.6138253541868293</v>
      </c>
      <c r="J217" s="482">
        <v>1.7359777486040251</v>
      </c>
      <c r="K217" s="489"/>
      <c r="L217" s="489"/>
      <c r="M217" s="489"/>
      <c r="N217" s="489"/>
      <c r="O217" s="489"/>
      <c r="P217" s="489"/>
      <c r="Q217" s="489"/>
      <c r="R217" s="489"/>
      <c r="S217" s="489"/>
      <c r="T217" s="489"/>
      <c r="U217" s="489"/>
      <c r="V217" s="489"/>
    </row>
    <row r="218" spans="1:22">
      <c r="A218" s="481" t="s">
        <v>576</v>
      </c>
      <c r="B218" s="483"/>
      <c r="C218" s="483">
        <v>1</v>
      </c>
      <c r="D218" s="483">
        <v>0.98499999999999999</v>
      </c>
      <c r="E218" s="483">
        <v>0.91330825483014066</v>
      </c>
      <c r="F218" s="483">
        <v>0.84683448562525598</v>
      </c>
      <c r="G218" s="483">
        <v>0.78519890984404295</v>
      </c>
      <c r="H218" s="483">
        <v>0.72804938684689524</v>
      </c>
      <c r="I218" s="483">
        <v>0.67505940602161607</v>
      </c>
      <c r="J218" s="483">
        <v>0.62592622134037912</v>
      </c>
      <c r="K218" s="489"/>
      <c r="L218" s="489"/>
      <c r="M218" s="489"/>
      <c r="N218" s="489"/>
      <c r="O218" s="489"/>
      <c r="P218" s="489"/>
      <c r="Q218" s="489"/>
      <c r="R218" s="489"/>
      <c r="S218" s="489"/>
      <c r="T218" s="489"/>
      <c r="U218" s="489"/>
      <c r="V218" s="489"/>
    </row>
    <row r="219" spans="1:22">
      <c r="A219" s="478" t="s">
        <v>571</v>
      </c>
      <c r="B219" s="484">
        <v>0.85454475589700007</v>
      </c>
      <c r="C219" s="484">
        <v>0.87386362250900007</v>
      </c>
      <c r="D219" s="484">
        <v>0.5968396748610002</v>
      </c>
      <c r="E219" s="484">
        <v>0.89623424898382609</v>
      </c>
      <c r="F219" s="484">
        <v>0.89213817011298491</v>
      </c>
      <c r="G219" s="484">
        <v>0.88431577054173738</v>
      </c>
      <c r="H219" s="484">
        <v>0.9061013102490989</v>
      </c>
      <c r="I219" s="484">
        <v>0.95814704756053781</v>
      </c>
      <c r="J219" s="484">
        <v>0.95629086955001508</v>
      </c>
      <c r="K219" s="489"/>
      <c r="L219" s="489"/>
      <c r="M219" s="489"/>
      <c r="N219" s="489"/>
      <c r="O219" s="489"/>
      <c r="P219" s="489"/>
      <c r="Q219" s="489"/>
      <c r="R219" s="489"/>
      <c r="S219" s="489"/>
      <c r="T219" s="489"/>
      <c r="U219" s="489"/>
      <c r="V219" s="489"/>
    </row>
    <row r="220" spans="1:22">
      <c r="A220" s="246" t="s">
        <v>572</v>
      </c>
      <c r="B220" s="485"/>
      <c r="C220" s="485"/>
      <c r="D220" s="486">
        <f>D219/$C$219</f>
        <v>0.68298949571487999</v>
      </c>
      <c r="E220" s="486">
        <f t="shared" ref="E220:J220" si="64">E219/$C$219</f>
        <v>1.0255996769960471</v>
      </c>
      <c r="F220" s="486">
        <f t="shared" si="64"/>
        <v>1.0209123564973626</v>
      </c>
      <c r="G220" s="486">
        <f t="shared" si="64"/>
        <v>1.0119608457927651</v>
      </c>
      <c r="H220" s="486">
        <f t="shared" si="64"/>
        <v>1.0368909826541806</v>
      </c>
      <c r="I220" s="486">
        <f t="shared" si="64"/>
        <v>1.096449174540012</v>
      </c>
      <c r="J220" s="486">
        <f t="shared" si="64"/>
        <v>1.0943250696308349</v>
      </c>
      <c r="K220" s="489"/>
      <c r="L220" s="489"/>
      <c r="M220" s="489"/>
      <c r="N220" s="489"/>
      <c r="O220" s="489"/>
      <c r="P220" s="489"/>
      <c r="Q220" s="489"/>
      <c r="R220" s="489"/>
      <c r="S220" s="489"/>
      <c r="T220" s="489"/>
      <c r="U220" s="489"/>
      <c r="V220" s="489"/>
    </row>
    <row r="221" spans="1:22">
      <c r="A221" s="538" t="s">
        <v>573</v>
      </c>
      <c r="B221" s="539"/>
      <c r="C221" s="539"/>
      <c r="D221" s="539"/>
      <c r="E221" s="539"/>
      <c r="F221" s="539"/>
      <c r="G221" s="539"/>
      <c r="H221" s="539"/>
      <c r="I221" s="539"/>
      <c r="J221" s="540"/>
      <c r="K221" s="489"/>
      <c r="L221" s="489"/>
      <c r="M221" s="489"/>
      <c r="N221" s="489"/>
      <c r="O221" s="489"/>
      <c r="P221" s="489"/>
      <c r="Q221" s="489"/>
      <c r="R221" s="489"/>
      <c r="S221" s="489"/>
      <c r="T221" s="489"/>
      <c r="U221" s="489"/>
      <c r="V221" s="489"/>
    </row>
    <row r="222" spans="1:22">
      <c r="A222" s="489"/>
      <c r="B222" s="489"/>
      <c r="C222" s="489"/>
      <c r="D222" s="489"/>
      <c r="E222" s="489"/>
      <c r="F222" s="489"/>
      <c r="G222" s="489"/>
      <c r="H222" s="489"/>
      <c r="I222" s="489"/>
      <c r="J222" s="489"/>
      <c r="K222" s="489"/>
      <c r="L222" s="489"/>
      <c r="M222" s="489"/>
      <c r="N222" s="489"/>
      <c r="O222" s="489"/>
      <c r="P222" s="489"/>
      <c r="Q222" s="489"/>
      <c r="R222" s="489"/>
      <c r="S222" s="489"/>
      <c r="T222" s="489"/>
      <c r="U222" s="489"/>
      <c r="V222" s="489"/>
    </row>
    <row r="223" spans="1:22">
      <c r="A223" s="475" t="s">
        <v>565</v>
      </c>
      <c r="B223" s="476">
        <v>2018</v>
      </c>
      <c r="C223" s="476">
        <v>2019</v>
      </c>
      <c r="D223" s="476">
        <v>2020</v>
      </c>
      <c r="E223" s="476">
        <v>2025</v>
      </c>
      <c r="F223" s="476">
        <v>2030</v>
      </c>
      <c r="G223" s="476">
        <v>2035</v>
      </c>
      <c r="H223" s="476">
        <v>2040</v>
      </c>
      <c r="I223" s="476">
        <v>2045</v>
      </c>
      <c r="J223" s="476">
        <v>2050</v>
      </c>
      <c r="K223" s="489"/>
      <c r="L223" s="489"/>
      <c r="M223" s="489"/>
      <c r="N223" s="489"/>
      <c r="O223" s="489"/>
      <c r="P223" s="489"/>
      <c r="Q223" s="489"/>
      <c r="R223" s="489"/>
      <c r="S223" s="489"/>
      <c r="T223" s="489"/>
      <c r="U223" s="489"/>
      <c r="V223" s="489"/>
    </row>
    <row r="224" spans="1:22">
      <c r="A224" s="479" t="s">
        <v>575</v>
      </c>
      <c r="B224" s="480"/>
      <c r="C224" s="480">
        <v>1</v>
      </c>
      <c r="D224" s="480">
        <v>0.44563782003342767</v>
      </c>
      <c r="E224" s="480">
        <v>1.1289550985748806</v>
      </c>
      <c r="F224" s="480">
        <v>1.2093121833483269</v>
      </c>
      <c r="G224" s="480">
        <v>1.2673191125786336</v>
      </c>
      <c r="H224" s="480">
        <v>1.3796522178398569</v>
      </c>
      <c r="I224" s="480">
        <v>1.5594235801445901</v>
      </c>
      <c r="J224" s="480">
        <v>1.6539238172349704</v>
      </c>
      <c r="K224" s="489"/>
      <c r="L224" s="489"/>
      <c r="M224" s="571" t="s">
        <v>574</v>
      </c>
      <c r="N224" s="233">
        <v>2018</v>
      </c>
      <c r="O224" s="233">
        <v>2019</v>
      </c>
      <c r="P224" s="233">
        <v>2020</v>
      </c>
      <c r="Q224" s="233">
        <v>2025</v>
      </c>
      <c r="R224" s="233">
        <v>2030</v>
      </c>
      <c r="S224" s="233">
        <v>2035</v>
      </c>
      <c r="T224" s="233">
        <v>2040</v>
      </c>
      <c r="U224" s="233">
        <v>2045</v>
      </c>
      <c r="V224" s="233">
        <v>2050</v>
      </c>
    </row>
    <row r="225" spans="1:22">
      <c r="A225" s="481" t="s">
        <v>576</v>
      </c>
      <c r="B225" s="483"/>
      <c r="C225" s="483">
        <v>1</v>
      </c>
      <c r="D225" s="483">
        <v>0.98499999999999999</v>
      </c>
      <c r="E225" s="483">
        <v>0.91330825483014066</v>
      </c>
      <c r="F225" s="483">
        <v>0.84683448562525598</v>
      </c>
      <c r="G225" s="483">
        <v>0.78519890984404295</v>
      </c>
      <c r="H225" s="483">
        <v>0.72804938684689524</v>
      </c>
      <c r="I225" s="483">
        <v>0.67505940602161607</v>
      </c>
      <c r="J225" s="483">
        <v>0.62592622134037912</v>
      </c>
      <c r="K225" s="489"/>
      <c r="L225" s="489"/>
      <c r="M225" s="572" t="s">
        <v>604</v>
      </c>
      <c r="N225" s="233">
        <v>0</v>
      </c>
      <c r="O225" s="233">
        <v>0</v>
      </c>
      <c r="P225" s="233">
        <v>0</v>
      </c>
      <c r="Q225" s="233">
        <v>17.92468497967652</v>
      </c>
      <c r="R225" s="233">
        <v>38.361941314858349</v>
      </c>
      <c r="S225" s="233">
        <v>132.64736558126063</v>
      </c>
      <c r="T225" s="233">
        <v>217.46431445978376</v>
      </c>
      <c r="U225" s="233">
        <v>258.69970284134524</v>
      </c>
      <c r="V225" s="233">
        <v>334.70180434250528</v>
      </c>
    </row>
    <row r="226" spans="1:22">
      <c r="A226" s="478" t="s">
        <v>577</v>
      </c>
      <c r="B226" s="477">
        <v>5.9037976366930014</v>
      </c>
      <c r="C226" s="477">
        <v>6.0765395623849949</v>
      </c>
      <c r="D226" s="477">
        <v>2.5093328292910013</v>
      </c>
      <c r="E226" s="477">
        <v>6.2692560140969507</v>
      </c>
      <c r="F226" s="477">
        <v>6.2306542769309265</v>
      </c>
      <c r="G226" s="477">
        <v>6.0597237229090171</v>
      </c>
      <c r="H226" s="477">
        <v>6.122680233842269</v>
      </c>
      <c r="I226" s="477">
        <v>6.4227513885224141</v>
      </c>
      <c r="J226" s="477">
        <v>6.3233843573366162</v>
      </c>
      <c r="K226" s="489"/>
      <c r="L226" s="489"/>
      <c r="M226" s="572" t="s">
        <v>605</v>
      </c>
      <c r="N226" s="233">
        <v>0</v>
      </c>
      <c r="O226" s="233">
        <v>0</v>
      </c>
      <c r="P226" s="233">
        <v>0</v>
      </c>
      <c r="Q226" s="233">
        <v>0</v>
      </c>
      <c r="R226" s="233">
        <v>6.2449671907908977</v>
      </c>
      <c r="S226" s="233">
        <v>44.215788527086893</v>
      </c>
      <c r="T226" s="233">
        <v>72.488104819927912</v>
      </c>
      <c r="U226" s="233">
        <v>105.39617523165917</v>
      </c>
      <c r="V226" s="233">
        <v>267.7614434740043</v>
      </c>
    </row>
    <row r="227" spans="1:22">
      <c r="A227" s="246" t="s">
        <v>572</v>
      </c>
      <c r="B227" s="485"/>
      <c r="C227" s="485"/>
      <c r="D227" s="486">
        <f>D226/$C$226</f>
        <v>0.41295424863589758</v>
      </c>
      <c r="E227" s="486">
        <f t="shared" ref="E227:J227" si="65">E226/$C$226</f>
        <v>1.0317148353488734</v>
      </c>
      <c r="F227" s="486">
        <f t="shared" si="65"/>
        <v>1.0253622498403421</v>
      </c>
      <c r="G227" s="486">
        <f t="shared" si="65"/>
        <v>0.99723266189525506</v>
      </c>
      <c r="H227" s="486">
        <f t="shared" si="65"/>
        <v>1.0075932479305976</v>
      </c>
      <c r="I227" s="486">
        <f t="shared" si="65"/>
        <v>1.0569751620281616</v>
      </c>
      <c r="J227" s="486">
        <f t="shared" si="65"/>
        <v>1.0406225932403437</v>
      </c>
      <c r="K227" s="487"/>
      <c r="L227" s="489"/>
      <c r="M227" s="572" t="s">
        <v>606</v>
      </c>
      <c r="N227" s="233">
        <v>0</v>
      </c>
      <c r="O227" s="233">
        <v>0</v>
      </c>
      <c r="P227" s="233">
        <v>0</v>
      </c>
      <c r="Q227" s="233">
        <v>0</v>
      </c>
      <c r="R227" s="233">
        <v>0</v>
      </c>
      <c r="S227" s="233">
        <v>0</v>
      </c>
      <c r="T227" s="233">
        <v>0</v>
      </c>
      <c r="U227" s="233">
        <v>0</v>
      </c>
      <c r="V227" s="233">
        <v>0</v>
      </c>
    </row>
    <row r="228" spans="1:22">
      <c r="A228" s="538" t="s">
        <v>573</v>
      </c>
      <c r="B228" s="539"/>
      <c r="C228" s="539"/>
      <c r="D228" s="539"/>
      <c r="E228" s="539"/>
      <c r="F228" s="539"/>
      <c r="G228" s="539"/>
      <c r="H228" s="539"/>
      <c r="I228" s="539"/>
      <c r="J228" s="540"/>
      <c r="K228" s="489"/>
      <c r="L228" s="489"/>
      <c r="M228" s="572" t="s">
        <v>607</v>
      </c>
      <c r="N228" s="233">
        <v>854.54475589700007</v>
      </c>
      <c r="O228" s="233">
        <v>873.86362250900004</v>
      </c>
      <c r="P228" s="233">
        <v>596.83967486100016</v>
      </c>
      <c r="Q228" s="233">
        <v>878.30956400414959</v>
      </c>
      <c r="R228" s="233">
        <v>847.53126160733575</v>
      </c>
      <c r="S228" s="233">
        <v>707.45261643339018</v>
      </c>
      <c r="T228" s="233">
        <v>616.14889096938725</v>
      </c>
      <c r="U228" s="233">
        <v>594.05116948753334</v>
      </c>
      <c r="V228" s="233">
        <v>353.82762173350568</v>
      </c>
    </row>
    <row r="229" spans="1:22">
      <c r="A229" s="489"/>
      <c r="B229" s="489"/>
      <c r="C229" s="489"/>
      <c r="D229" s="489"/>
      <c r="E229" s="489"/>
      <c r="F229" s="489"/>
      <c r="G229" s="489"/>
      <c r="H229" s="489"/>
      <c r="I229" s="489"/>
      <c r="J229" s="489"/>
      <c r="K229" s="489"/>
      <c r="L229" s="489"/>
      <c r="M229" s="489" t="s">
        <v>608</v>
      </c>
      <c r="N229" s="233">
        <v>854.54475589700007</v>
      </c>
      <c r="O229" s="233">
        <v>873.86362250900004</v>
      </c>
      <c r="P229" s="233">
        <v>596.83967486100016</v>
      </c>
      <c r="Q229" s="233">
        <v>896.23424898382609</v>
      </c>
      <c r="R229" s="233">
        <v>892.13817011298488</v>
      </c>
      <c r="S229" s="233">
        <v>884.31577054173738</v>
      </c>
      <c r="T229" s="233">
        <v>906.1013102490989</v>
      </c>
      <c r="U229" s="233">
        <v>958.14704756053777</v>
      </c>
      <c r="V229" s="233">
        <v>956.29086955001503</v>
      </c>
    </row>
    <row r="230" spans="1:22">
      <c r="A230" s="446" t="s">
        <v>564</v>
      </c>
      <c r="B230" s="476">
        <v>2019</v>
      </c>
      <c r="C230" s="476">
        <v>2020</v>
      </c>
      <c r="D230" s="476">
        <v>2025</v>
      </c>
      <c r="E230" s="476">
        <v>2030</v>
      </c>
      <c r="F230" s="476">
        <v>2035</v>
      </c>
      <c r="G230" s="476">
        <v>2040</v>
      </c>
      <c r="H230" s="476">
        <v>2045</v>
      </c>
      <c r="I230" s="476">
        <v>2050</v>
      </c>
      <c r="J230" s="489"/>
      <c r="K230" s="489"/>
      <c r="L230" s="489"/>
      <c r="M230" s="489"/>
      <c r="N230" s="489">
        <f t="shared" ref="N230:P230" si="66">N225/N229</f>
        <v>0</v>
      </c>
      <c r="O230" s="489">
        <f t="shared" si="66"/>
        <v>0</v>
      </c>
      <c r="P230" s="489">
        <f t="shared" si="66"/>
        <v>0</v>
      </c>
      <c r="Q230" s="489">
        <f>Q225/Q229</f>
        <v>1.9999999999999997E-2</v>
      </c>
      <c r="R230" s="489">
        <f t="shared" ref="R230:V230" si="67">R225/R229</f>
        <v>4.2999999999999997E-2</v>
      </c>
      <c r="S230" s="489">
        <f t="shared" si="67"/>
        <v>0.15000000000000002</v>
      </c>
      <c r="T230" s="489">
        <f t="shared" si="67"/>
        <v>0.24000000000000002</v>
      </c>
      <c r="U230" s="489">
        <f t="shared" si="67"/>
        <v>0.27000000000000007</v>
      </c>
      <c r="V230" s="489">
        <f t="shared" si="67"/>
        <v>0.35000000000000003</v>
      </c>
    </row>
    <row r="231" spans="1:22">
      <c r="A231" s="452" t="s">
        <v>565</v>
      </c>
      <c r="B231" s="472">
        <f>F213</f>
        <v>173.2</v>
      </c>
      <c r="C231" s="472">
        <f>G213</f>
        <v>0</v>
      </c>
      <c r="D231" s="472">
        <f>$B$202*E227</f>
        <v>1.5012138022260444</v>
      </c>
      <c r="E231" s="472">
        <f t="shared" ref="E231:I231" si="68">$B$202*F227</f>
        <v>1.4919703672007028</v>
      </c>
      <c r="F231" s="472">
        <f t="shared" si="68"/>
        <v>1.4510399431850236</v>
      </c>
      <c r="G231" s="472">
        <f t="shared" si="68"/>
        <v>1.4661152859275239</v>
      </c>
      <c r="H231" s="472">
        <f t="shared" si="68"/>
        <v>1.5379692599944335</v>
      </c>
      <c r="I231" s="472">
        <f t="shared" si="68"/>
        <v>1.5141751832543993</v>
      </c>
      <c r="J231" s="489"/>
      <c r="K231" s="489"/>
      <c r="L231" s="489"/>
      <c r="M231" s="489"/>
      <c r="N231" s="489">
        <f t="shared" ref="N231:P231" si="69">N226/N229</f>
        <v>0</v>
      </c>
      <c r="O231" s="489">
        <f t="shared" si="69"/>
        <v>0</v>
      </c>
      <c r="P231" s="489">
        <f t="shared" si="69"/>
        <v>0</v>
      </c>
      <c r="Q231" s="489">
        <f>Q226/Q229</f>
        <v>0</v>
      </c>
      <c r="R231" s="489">
        <f t="shared" ref="R231:V231" si="70">R226/R229</f>
        <v>7.0000000000000036E-3</v>
      </c>
      <c r="S231" s="489">
        <f t="shared" si="70"/>
        <v>5.0000000000000031E-2</v>
      </c>
      <c r="T231" s="489">
        <f t="shared" si="70"/>
        <v>0.08</v>
      </c>
      <c r="U231" s="489">
        <f t="shared" si="70"/>
        <v>0.11000000000000001</v>
      </c>
      <c r="V231" s="489">
        <f t="shared" si="70"/>
        <v>0.28000000000000008</v>
      </c>
    </row>
    <row r="232" spans="1:22">
      <c r="A232" s="452" t="s">
        <v>609</v>
      </c>
      <c r="B232" s="472">
        <f>B231*O245</f>
        <v>0</v>
      </c>
      <c r="C232" s="472">
        <f t="shared" ref="C232:I232" si="71">C231*P245</f>
        <v>0</v>
      </c>
      <c r="D232" s="472">
        <f t="shared" si="71"/>
        <v>3.0024276044520889E-2</v>
      </c>
      <c r="E232" s="472">
        <f t="shared" si="71"/>
        <v>6.4154725789630218E-2</v>
      </c>
      <c r="F232" s="472">
        <f t="shared" si="71"/>
        <v>0.21765599147775352</v>
      </c>
      <c r="G232" s="472">
        <f t="shared" si="71"/>
        <v>0.35186766862260577</v>
      </c>
      <c r="H232" s="472">
        <f t="shared" si="71"/>
        <v>0.415251700198497</v>
      </c>
      <c r="I232" s="472">
        <f t="shared" si="71"/>
        <v>0.5299613141390398</v>
      </c>
      <c r="J232" s="489"/>
      <c r="K232" s="489"/>
      <c r="L232" s="489"/>
      <c r="M232" s="489"/>
      <c r="N232" s="489"/>
      <c r="O232" s="489"/>
      <c r="P232" s="489"/>
      <c r="Q232" s="489"/>
      <c r="R232" s="489"/>
      <c r="S232" s="489"/>
      <c r="T232" s="489"/>
      <c r="U232" s="489"/>
      <c r="V232" s="489"/>
    </row>
    <row r="233" spans="1:22">
      <c r="A233" s="452" t="s">
        <v>610</v>
      </c>
      <c r="B233" s="472">
        <f>B231*O246</f>
        <v>0</v>
      </c>
      <c r="C233" s="472">
        <f t="shared" ref="C233:I233" si="72">C231*P246</f>
        <v>0</v>
      </c>
      <c r="D233" s="472">
        <f t="shared" si="72"/>
        <v>0</v>
      </c>
      <c r="E233" s="472">
        <f t="shared" si="72"/>
        <v>1.0443792570404918E-2</v>
      </c>
      <c r="F233" s="472">
        <f t="shared" si="72"/>
        <v>7.2551997159251189E-2</v>
      </c>
      <c r="G233" s="472">
        <f t="shared" si="72"/>
        <v>0.11728922287420192</v>
      </c>
      <c r="H233" s="472">
        <f t="shared" si="72"/>
        <v>0.16917661859938765</v>
      </c>
      <c r="I233" s="472">
        <f t="shared" si="72"/>
        <v>0.42396905131123191</v>
      </c>
      <c r="J233" s="489"/>
      <c r="K233" s="489"/>
      <c r="L233" s="489"/>
      <c r="M233" s="489"/>
      <c r="N233" s="489">
        <f t="shared" ref="N233:P233" si="73">N228/N229</f>
        <v>1</v>
      </c>
      <c r="O233" s="489">
        <f t="shared" si="73"/>
        <v>1</v>
      </c>
      <c r="P233" s="489">
        <f t="shared" si="73"/>
        <v>1</v>
      </c>
      <c r="Q233" s="489">
        <f>Q228/Q229</f>
        <v>0.98</v>
      </c>
      <c r="R233" s="489">
        <f t="shared" ref="R233:V233" si="74">R228/R229</f>
        <v>0.95000000000000018</v>
      </c>
      <c r="S233" s="489">
        <f t="shared" si="74"/>
        <v>0.80000000000000027</v>
      </c>
      <c r="T233" s="489">
        <f t="shared" si="74"/>
        <v>0.68</v>
      </c>
      <c r="U233" s="489">
        <f t="shared" si="74"/>
        <v>0.61999999999999988</v>
      </c>
      <c r="V233" s="489">
        <f t="shared" si="74"/>
        <v>0.37000000000000011</v>
      </c>
    </row>
    <row r="234" spans="1:22">
      <c r="A234" s="452" t="s">
        <v>611</v>
      </c>
      <c r="B234" s="472">
        <f>B231*O247</f>
        <v>173.2</v>
      </c>
      <c r="C234" s="472">
        <f t="shared" ref="C234:I234" si="75">C231*P247</f>
        <v>0</v>
      </c>
      <c r="D234" s="472">
        <f t="shared" si="75"/>
        <v>1.4711895261815231</v>
      </c>
      <c r="E234" s="472">
        <f t="shared" si="75"/>
        <v>1.4173718488406675</v>
      </c>
      <c r="F234" s="472">
        <f t="shared" si="75"/>
        <v>1.1578830766239023</v>
      </c>
      <c r="G234" s="472">
        <f t="shared" si="75"/>
        <v>0.98239060923508903</v>
      </c>
      <c r="H234" s="472">
        <f t="shared" si="75"/>
        <v>0.91893866898985022</v>
      </c>
      <c r="I234" s="472">
        <f t="shared" si="75"/>
        <v>0.49136260294464251</v>
      </c>
      <c r="J234" s="489"/>
      <c r="K234" s="489"/>
      <c r="L234" s="489"/>
      <c r="M234" s="489"/>
      <c r="N234" s="489"/>
      <c r="O234" s="489"/>
      <c r="P234" s="489"/>
      <c r="Q234" s="489"/>
      <c r="R234" s="489"/>
      <c r="S234" s="489"/>
      <c r="T234" s="489"/>
      <c r="U234" s="489"/>
      <c r="V234" s="489"/>
    </row>
    <row r="235" spans="1:22">
      <c r="A235" s="452" t="s">
        <v>612</v>
      </c>
      <c r="B235" s="472">
        <f>F212</f>
        <v>72.106000000000009</v>
      </c>
      <c r="C235" s="472">
        <f>G212</f>
        <v>0</v>
      </c>
      <c r="D235" s="472">
        <f t="shared" ref="D235:I235" si="76">$B$203*E220</f>
        <v>11.377152433784632</v>
      </c>
      <c r="E235" s="472">
        <f t="shared" si="76"/>
        <v>11.325155186695266</v>
      </c>
      <c r="F235" s="472">
        <f t="shared" si="76"/>
        <v>11.225854549143239</v>
      </c>
      <c r="G235" s="472">
        <f t="shared" si="76"/>
        <v>11.502408816494603</v>
      </c>
      <c r="H235" s="472">
        <f t="shared" si="76"/>
        <v>12.163098014204159</v>
      </c>
      <c r="I235" s="472">
        <f t="shared" si="76"/>
        <v>12.139534955557494</v>
      </c>
      <c r="J235" s="489"/>
      <c r="K235" s="489"/>
      <c r="L235" s="489"/>
      <c r="M235" s="489"/>
      <c r="N235" s="489"/>
      <c r="O235" s="489"/>
      <c r="P235" s="489"/>
      <c r="Q235" s="489"/>
      <c r="R235" s="489"/>
      <c r="S235" s="489"/>
      <c r="T235" s="489"/>
      <c r="U235" s="489"/>
      <c r="V235" s="489"/>
    </row>
    <row r="236" spans="1:22">
      <c r="A236" s="452" t="s">
        <v>609</v>
      </c>
      <c r="B236" s="472">
        <f>B235*N230</f>
        <v>0</v>
      </c>
      <c r="C236" s="472">
        <f t="shared" ref="C236:I236" si="77">C235*O230</f>
        <v>0</v>
      </c>
      <c r="D236" s="472">
        <f t="shared" si="77"/>
        <v>0</v>
      </c>
      <c r="E236" s="472">
        <f t="shared" si="77"/>
        <v>0.22650310373390528</v>
      </c>
      <c r="F236" s="472">
        <f t="shared" si="77"/>
        <v>0.48271174561315927</v>
      </c>
      <c r="G236" s="472">
        <f t="shared" si="77"/>
        <v>1.7253613224741906</v>
      </c>
      <c r="H236" s="472">
        <f t="shared" si="77"/>
        <v>2.9191435234089984</v>
      </c>
      <c r="I236" s="472">
        <f t="shared" si="77"/>
        <v>3.277674438000524</v>
      </c>
      <c r="J236" s="489"/>
      <c r="K236" s="489"/>
      <c r="L236" s="489"/>
      <c r="M236" s="489"/>
      <c r="N236" s="489"/>
      <c r="O236" s="489"/>
      <c r="P236" s="489"/>
      <c r="Q236" s="489"/>
      <c r="R236" s="489"/>
      <c r="S236" s="489"/>
      <c r="T236" s="489"/>
      <c r="U236" s="489"/>
      <c r="V236" s="489"/>
    </row>
    <row r="237" spans="1:22">
      <c r="A237" s="452" t="s">
        <v>610</v>
      </c>
      <c r="B237" s="472">
        <f>B235*N231</f>
        <v>0</v>
      </c>
      <c r="C237" s="472">
        <f t="shared" ref="C237:I237" si="78">C235*O231</f>
        <v>0</v>
      </c>
      <c r="D237" s="472">
        <f t="shared" si="78"/>
        <v>0</v>
      </c>
      <c r="E237" s="472">
        <f t="shared" si="78"/>
        <v>0</v>
      </c>
      <c r="F237" s="472">
        <f t="shared" si="78"/>
        <v>7.8580981844002709E-2</v>
      </c>
      <c r="G237" s="472">
        <f t="shared" si="78"/>
        <v>0.57512044082473046</v>
      </c>
      <c r="H237" s="472">
        <f t="shared" si="78"/>
        <v>0.9730478411363328</v>
      </c>
      <c r="I237" s="472">
        <f t="shared" si="78"/>
        <v>1.3353488451113245</v>
      </c>
      <c r="J237" s="489"/>
      <c r="K237" s="489"/>
      <c r="L237" s="489"/>
      <c r="M237" s="489"/>
      <c r="N237" s="489"/>
      <c r="O237" s="489"/>
      <c r="P237" s="489"/>
      <c r="Q237" s="489"/>
      <c r="R237" s="489"/>
      <c r="S237" s="489"/>
      <c r="T237" s="489"/>
      <c r="U237" s="489"/>
      <c r="V237" s="489"/>
    </row>
    <row r="238" spans="1:22">
      <c r="A238" s="452" t="s">
        <v>611</v>
      </c>
      <c r="B238" s="472">
        <f>B235*N233</f>
        <v>72.106000000000009</v>
      </c>
      <c r="C238" s="472">
        <f t="shared" ref="C238:I238" si="79">C235*O233</f>
        <v>0</v>
      </c>
      <c r="D238" s="472">
        <f t="shared" si="79"/>
        <v>11.377152433784632</v>
      </c>
      <c r="E238" s="472">
        <f t="shared" si="79"/>
        <v>11.09865208296136</v>
      </c>
      <c r="F238" s="472">
        <f t="shared" si="79"/>
        <v>10.66456182168608</v>
      </c>
      <c r="G238" s="472">
        <f t="shared" si="79"/>
        <v>9.2019270531956856</v>
      </c>
      <c r="H238" s="472">
        <f t="shared" si="79"/>
        <v>8.2709066496588282</v>
      </c>
      <c r="I238" s="472">
        <f t="shared" si="79"/>
        <v>7.5265116724456451</v>
      </c>
      <c r="J238" s="489"/>
      <c r="K238" s="489"/>
      <c r="L238" s="489"/>
      <c r="M238" s="489"/>
      <c r="N238" s="489"/>
      <c r="O238" s="489"/>
      <c r="P238" s="489"/>
      <c r="Q238" s="489"/>
      <c r="R238" s="489"/>
      <c r="S238" s="489"/>
      <c r="T238" s="489"/>
      <c r="U238" s="489"/>
      <c r="V238" s="489"/>
    </row>
    <row r="239" spans="1:22">
      <c r="A239" s="535" t="s">
        <v>583</v>
      </c>
      <c r="B239" s="535"/>
      <c r="C239" s="535"/>
      <c r="D239" s="535"/>
      <c r="E239" s="535"/>
      <c r="F239" s="535"/>
      <c r="G239" s="535"/>
      <c r="H239" s="535"/>
      <c r="I239" s="535"/>
      <c r="J239" s="489"/>
      <c r="K239" s="489"/>
      <c r="L239" s="489"/>
      <c r="M239" s="571" t="s">
        <v>613</v>
      </c>
      <c r="N239" s="233">
        <v>2018</v>
      </c>
      <c r="O239" s="233">
        <v>2019</v>
      </c>
      <c r="P239" s="233">
        <v>2020</v>
      </c>
      <c r="Q239" s="233">
        <v>2025</v>
      </c>
      <c r="R239" s="233">
        <v>2030</v>
      </c>
      <c r="S239" s="233">
        <v>2035</v>
      </c>
      <c r="T239" s="233">
        <v>2040</v>
      </c>
      <c r="U239" s="233">
        <v>2045</v>
      </c>
      <c r="V239" s="233">
        <v>2050</v>
      </c>
    </row>
    <row r="240" spans="1:22">
      <c r="A240" s="489"/>
      <c r="B240" s="489"/>
      <c r="C240" s="489"/>
      <c r="D240" s="489"/>
      <c r="E240" s="489"/>
      <c r="F240" s="489"/>
      <c r="G240" s="489"/>
      <c r="H240" s="489"/>
      <c r="I240" s="489"/>
      <c r="J240" s="489"/>
      <c r="K240" s="489"/>
      <c r="L240" s="489"/>
      <c r="M240" s="572" t="s">
        <v>604</v>
      </c>
      <c r="N240" s="233">
        <v>0</v>
      </c>
      <c r="O240" s="233">
        <v>0</v>
      </c>
      <c r="P240" s="233">
        <v>0</v>
      </c>
      <c r="Q240" s="233">
        <v>125.38512028193901</v>
      </c>
      <c r="R240" s="233">
        <v>267.91813390802986</v>
      </c>
      <c r="S240" s="233">
        <v>908.95855843635252</v>
      </c>
      <c r="T240" s="233">
        <v>1469.4432561221447</v>
      </c>
      <c r="U240" s="233">
        <v>1734.1428749010518</v>
      </c>
      <c r="V240" s="233">
        <v>2213.1845250678161</v>
      </c>
    </row>
    <row r="241" spans="1:22">
      <c r="A241" s="489"/>
      <c r="B241" s="489"/>
      <c r="C241" s="489"/>
      <c r="D241" s="489"/>
      <c r="E241" s="489"/>
      <c r="F241" s="489"/>
      <c r="G241" s="489"/>
      <c r="H241" s="489"/>
      <c r="I241" s="489"/>
      <c r="J241" s="489"/>
      <c r="K241" s="489"/>
      <c r="L241" s="489"/>
      <c r="M241" s="572" t="s">
        <v>605</v>
      </c>
      <c r="N241" s="233">
        <v>0</v>
      </c>
      <c r="O241" s="233">
        <v>0</v>
      </c>
      <c r="P241" s="233">
        <v>0</v>
      </c>
      <c r="Q241" s="233">
        <v>0</v>
      </c>
      <c r="R241" s="233">
        <v>43.614579938516478</v>
      </c>
      <c r="S241" s="233">
        <v>302.98618614545092</v>
      </c>
      <c r="T241" s="233">
        <v>489.81441870738155</v>
      </c>
      <c r="U241" s="233">
        <v>706.5026527374655</v>
      </c>
      <c r="V241" s="233">
        <v>1770.5476200542532</v>
      </c>
    </row>
    <row r="242" spans="1:22">
      <c r="A242" s="489"/>
      <c r="B242" s="489"/>
      <c r="C242" s="489"/>
      <c r="D242" s="489"/>
      <c r="E242" s="489"/>
      <c r="F242" s="489"/>
      <c r="G242" s="489"/>
      <c r="H242" s="489"/>
      <c r="I242" s="489"/>
      <c r="J242" s="489"/>
      <c r="K242" s="489"/>
      <c r="L242" s="489"/>
      <c r="M242" s="572" t="s">
        <v>606</v>
      </c>
      <c r="N242" s="233">
        <v>0</v>
      </c>
      <c r="O242" s="233">
        <v>0</v>
      </c>
      <c r="P242" s="233">
        <v>0</v>
      </c>
      <c r="Q242" s="233">
        <v>0</v>
      </c>
      <c r="R242" s="233">
        <v>0</v>
      </c>
      <c r="S242" s="233">
        <v>12.3148818863706</v>
      </c>
      <c r="T242" s="233">
        <v>60.836887333658844</v>
      </c>
      <c r="U242" s="233">
        <v>144.50340305397842</v>
      </c>
      <c r="V242" s="233">
        <v>287.66071770176961</v>
      </c>
    </row>
    <row r="243" spans="1:22">
      <c r="A243" s="489"/>
      <c r="B243" s="489"/>
      <c r="C243" s="489"/>
      <c r="D243" s="489"/>
      <c r="E243" s="489"/>
      <c r="F243" s="489"/>
      <c r="G243" s="489"/>
      <c r="H243" s="489"/>
      <c r="I243" s="489"/>
      <c r="J243" s="489"/>
      <c r="K243" s="489"/>
      <c r="L243" s="489"/>
      <c r="M243" s="572" t="s">
        <v>607</v>
      </c>
      <c r="N243" s="233">
        <v>5903.7976366930016</v>
      </c>
      <c r="O243" s="233">
        <v>6076.5395623849945</v>
      </c>
      <c r="P243" s="233">
        <v>2509.3328292910014</v>
      </c>
      <c r="Q243" s="233">
        <v>6143.8708938150103</v>
      </c>
      <c r="R243" s="233">
        <v>5919.1215630843799</v>
      </c>
      <c r="S243" s="233">
        <v>4835.4640964408418</v>
      </c>
      <c r="T243" s="233">
        <v>4102.585671679085</v>
      </c>
      <c r="U243" s="233">
        <v>3837.6024578299189</v>
      </c>
      <c r="V243" s="233">
        <v>2051.9914945127789</v>
      </c>
    </row>
    <row r="244" spans="1:22">
      <c r="A244" s="489"/>
      <c r="B244" s="489"/>
      <c r="C244" s="489"/>
      <c r="D244" s="489"/>
      <c r="E244" s="489"/>
      <c r="F244" s="489"/>
      <c r="G244" s="489"/>
      <c r="H244" s="489"/>
      <c r="I244" s="489"/>
      <c r="J244" s="489"/>
      <c r="K244" s="489"/>
      <c r="L244" s="489"/>
      <c r="M244" s="489" t="s">
        <v>608</v>
      </c>
      <c r="N244" s="233">
        <v>5903.7976366930016</v>
      </c>
      <c r="O244" s="233">
        <v>6076.5395623849945</v>
      </c>
      <c r="P244" s="233">
        <v>2509.3328292910014</v>
      </c>
      <c r="Q244" s="233">
        <v>6269.2560140969508</v>
      </c>
      <c r="R244" s="233">
        <v>6230.6542769309262</v>
      </c>
      <c r="S244" s="233">
        <v>6059.7237229090169</v>
      </c>
      <c r="T244" s="233">
        <v>6122.6802338422694</v>
      </c>
      <c r="U244" s="233">
        <v>6422.7513885224143</v>
      </c>
      <c r="V244" s="233">
        <v>6323.3843573366166</v>
      </c>
    </row>
    <row r="245" spans="1:22">
      <c r="A245" s="489"/>
      <c r="B245" s="489"/>
      <c r="C245" s="489"/>
      <c r="D245" s="489"/>
      <c r="E245" s="489"/>
      <c r="F245" s="489"/>
      <c r="G245" s="489"/>
      <c r="H245" s="489"/>
      <c r="I245" s="489"/>
      <c r="J245" s="489"/>
      <c r="K245" s="489"/>
      <c r="L245" s="489"/>
      <c r="M245" s="489"/>
      <c r="N245" s="489">
        <f>N240/N244</f>
        <v>0</v>
      </c>
      <c r="O245" s="489">
        <f t="shared" ref="O245:V245" si="80">O240/O244</f>
        <v>0</v>
      </c>
      <c r="P245" s="489">
        <f t="shared" si="80"/>
        <v>0</v>
      </c>
      <c r="Q245" s="489">
        <f t="shared" si="80"/>
        <v>0.02</v>
      </c>
      <c r="R245" s="489">
        <f t="shared" si="80"/>
        <v>4.3000000000000003E-2</v>
      </c>
      <c r="S245" s="489">
        <f t="shared" si="80"/>
        <v>0.15</v>
      </c>
      <c r="T245" s="489">
        <f t="shared" si="80"/>
        <v>0.24000000000000002</v>
      </c>
      <c r="U245" s="489">
        <f t="shared" si="80"/>
        <v>0.26999999999999996</v>
      </c>
      <c r="V245" s="489">
        <f t="shared" si="80"/>
        <v>0.35000000000000003</v>
      </c>
    </row>
    <row r="246" spans="1:22">
      <c r="A246" s="489"/>
      <c r="B246" s="489"/>
      <c r="C246" s="489"/>
      <c r="D246" s="489"/>
      <c r="E246" s="489"/>
      <c r="F246" s="489"/>
      <c r="G246" s="489"/>
      <c r="H246" s="489"/>
      <c r="I246" s="489"/>
      <c r="J246" s="489"/>
      <c r="K246" s="489"/>
      <c r="L246" s="489"/>
      <c r="M246" s="489"/>
      <c r="N246" s="489">
        <f>N241/N244</f>
        <v>0</v>
      </c>
      <c r="O246" s="489">
        <f t="shared" ref="O246:V246" si="81">O241/O244</f>
        <v>0</v>
      </c>
      <c r="P246" s="489">
        <f t="shared" si="81"/>
        <v>0</v>
      </c>
      <c r="Q246" s="489">
        <f t="shared" si="81"/>
        <v>0</v>
      </c>
      <c r="R246" s="489">
        <f t="shared" si="81"/>
        <v>6.9999999999999993E-3</v>
      </c>
      <c r="S246" s="489">
        <f t="shared" si="81"/>
        <v>5.000000000000001E-2</v>
      </c>
      <c r="T246" s="489">
        <f t="shared" si="81"/>
        <v>0.08</v>
      </c>
      <c r="U246" s="489">
        <f t="shared" si="81"/>
        <v>0.10999999999999999</v>
      </c>
      <c r="V246" s="489">
        <f t="shared" si="81"/>
        <v>0.28000000000000008</v>
      </c>
    </row>
    <row r="247" spans="1:22">
      <c r="A247" s="489"/>
      <c r="B247" s="489"/>
      <c r="C247" s="489"/>
      <c r="D247" s="489"/>
      <c r="E247" s="489"/>
      <c r="F247" s="489"/>
      <c r="G247" s="489"/>
      <c r="H247" s="489"/>
      <c r="I247" s="489"/>
      <c r="J247" s="489"/>
      <c r="K247" s="489"/>
      <c r="L247" s="489"/>
      <c r="M247" s="489"/>
      <c r="N247" s="489">
        <f>N243/N244</f>
        <v>1</v>
      </c>
      <c r="O247" s="489">
        <f t="shared" ref="O247:V247" si="82">O243/O244</f>
        <v>1</v>
      </c>
      <c r="P247" s="489">
        <f t="shared" si="82"/>
        <v>1</v>
      </c>
      <c r="Q247" s="489">
        <f t="shared" si="82"/>
        <v>0.97999999999999976</v>
      </c>
      <c r="R247" s="489">
        <f t="shared" si="82"/>
        <v>0.95</v>
      </c>
      <c r="S247" s="489">
        <f t="shared" si="82"/>
        <v>0.79796774862196851</v>
      </c>
      <c r="T247" s="489">
        <f t="shared" si="82"/>
        <v>0.67006368371201375</v>
      </c>
      <c r="U247" s="489">
        <f t="shared" si="82"/>
        <v>0.59750132391669275</v>
      </c>
      <c r="V247" s="489">
        <f t="shared" si="82"/>
        <v>0.32450842437435973</v>
      </c>
    </row>
  </sheetData>
  <mergeCells count="27">
    <mergeCell ref="A214:H214"/>
    <mergeCell ref="A221:J221"/>
    <mergeCell ref="A228:J228"/>
    <mergeCell ref="A239:I239"/>
    <mergeCell ref="A131:K131"/>
    <mergeCell ref="A146:M146"/>
    <mergeCell ref="A152:I152"/>
    <mergeCell ref="A165:M165"/>
    <mergeCell ref="A207:K207"/>
    <mergeCell ref="A192:J192"/>
    <mergeCell ref="A199:J199"/>
    <mergeCell ref="A178:K178"/>
    <mergeCell ref="A204:I204"/>
    <mergeCell ref="A185:H185"/>
    <mergeCell ref="A86:K86"/>
    <mergeCell ref="A120:M120"/>
    <mergeCell ref="A107:I107"/>
    <mergeCell ref="A101:M101"/>
    <mergeCell ref="A128:I128"/>
    <mergeCell ref="M31:N31"/>
    <mergeCell ref="A80:K80"/>
    <mergeCell ref="A7:K7"/>
    <mergeCell ref="F26:I26"/>
    <mergeCell ref="A35:K35"/>
    <mergeCell ref="A53:K53"/>
    <mergeCell ref="A55:K55"/>
    <mergeCell ref="A28:K28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3:W64"/>
  <sheetViews>
    <sheetView topLeftCell="A34" zoomScaleNormal="100" workbookViewId="0">
      <selection activeCell="D62" sqref="D62"/>
    </sheetView>
  </sheetViews>
  <sheetFormatPr baseColWidth="10" defaultColWidth="8.88671875" defaultRowHeight="14.4"/>
  <cols>
    <col min="1" max="1" width="28.77734375" customWidth="1"/>
    <col min="2" max="12" width="10.44140625" customWidth="1"/>
    <col min="13" max="13" width="26.6640625" customWidth="1"/>
    <col min="14" max="14" width="10.44140625" customWidth="1"/>
    <col min="15" max="15" width="34.5546875" customWidth="1"/>
    <col min="16" max="1025" width="10.44140625" customWidth="1"/>
  </cols>
  <sheetData>
    <row r="3" spans="1:13">
      <c r="A3" s="516" t="s">
        <v>55</v>
      </c>
      <c r="B3" s="516"/>
      <c r="C3" s="516"/>
      <c r="D3" s="516"/>
      <c r="E3" s="516"/>
      <c r="F3" s="516"/>
      <c r="G3" s="516"/>
      <c r="H3" s="516"/>
      <c r="I3" s="516"/>
      <c r="J3" s="516"/>
      <c r="K3" s="516"/>
      <c r="L3" s="516"/>
      <c r="M3" s="516"/>
    </row>
    <row r="5" spans="1:13">
      <c r="A5" s="35"/>
      <c r="B5" s="30">
        <v>2010</v>
      </c>
      <c r="C5" s="30">
        <v>2011</v>
      </c>
      <c r="D5" s="30">
        <v>2012</v>
      </c>
      <c r="E5" s="30">
        <v>2013</v>
      </c>
      <c r="F5" s="30">
        <v>2014</v>
      </c>
      <c r="G5" s="30">
        <v>2015</v>
      </c>
      <c r="H5" s="30">
        <v>2016</v>
      </c>
      <c r="I5" s="30">
        <v>2017</v>
      </c>
      <c r="J5" s="30">
        <v>2018</v>
      </c>
      <c r="K5" s="30">
        <v>2019</v>
      </c>
      <c r="L5" s="182">
        <v>2020</v>
      </c>
      <c r="M5" s="285" t="s">
        <v>405</v>
      </c>
    </row>
    <row r="6" spans="1:13" ht="24.6">
      <c r="A6" s="30" t="s">
        <v>215</v>
      </c>
      <c r="B6" s="142">
        <v>1</v>
      </c>
      <c r="C6" s="142">
        <v>1</v>
      </c>
      <c r="D6" s="142">
        <v>1</v>
      </c>
      <c r="E6" s="142">
        <v>1</v>
      </c>
      <c r="F6" s="142">
        <v>1</v>
      </c>
      <c r="G6" s="142">
        <v>1</v>
      </c>
      <c r="H6" s="142">
        <v>1</v>
      </c>
      <c r="I6" s="142">
        <v>1</v>
      </c>
      <c r="J6" s="142">
        <v>1</v>
      </c>
      <c r="K6" s="142">
        <v>1</v>
      </c>
      <c r="L6" s="142">
        <v>1</v>
      </c>
      <c r="M6" s="286" t="s">
        <v>586</v>
      </c>
    </row>
    <row r="7" spans="1:13">
      <c r="A7" s="288" t="s">
        <v>442</v>
      </c>
      <c r="B7" s="288">
        <f>'Cadrage macroéconomique '!B6</f>
        <v>150</v>
      </c>
      <c r="C7" s="288">
        <f>'Cadrage macroéconomique '!C6</f>
        <v>150</v>
      </c>
      <c r="D7" s="288">
        <f>'Cadrage macroéconomique '!D6</f>
        <v>150</v>
      </c>
      <c r="E7" s="288">
        <f>'Cadrage macroéconomique '!E6</f>
        <v>150</v>
      </c>
      <c r="F7" s="288">
        <f>'Cadrage macroéconomique '!F6</f>
        <v>150</v>
      </c>
      <c r="G7" s="288">
        <f>'Cadrage macroéconomique '!G6</f>
        <v>180</v>
      </c>
      <c r="H7" s="288">
        <f>'Cadrage macroéconomique '!H6</f>
        <v>180</v>
      </c>
      <c r="I7" s="288">
        <f>'Cadrage macroéconomique '!I6</f>
        <v>180</v>
      </c>
      <c r="J7" s="288">
        <f>'Cadrage macroéconomique '!J6</f>
        <v>180</v>
      </c>
      <c r="K7" s="288">
        <f>'Cadrage macroéconomique '!K6</f>
        <v>180</v>
      </c>
      <c r="L7" s="182"/>
      <c r="M7" s="287" t="s">
        <v>406</v>
      </c>
    </row>
    <row r="8" spans="1:13">
      <c r="A8" s="30" t="s">
        <v>216</v>
      </c>
      <c r="B8" s="39"/>
      <c r="C8" s="39"/>
      <c r="D8" s="39"/>
      <c r="E8" s="39"/>
      <c r="F8" s="39"/>
      <c r="G8" s="39"/>
      <c r="H8" s="144"/>
      <c r="I8" s="144"/>
      <c r="J8" s="144"/>
      <c r="K8" s="144"/>
      <c r="L8" s="182"/>
      <c r="M8" s="287"/>
    </row>
    <row r="9" spans="1:13">
      <c r="A9" s="30" t="s">
        <v>217</v>
      </c>
      <c r="B9" s="80">
        <v>1</v>
      </c>
      <c r="C9" s="157">
        <v>1</v>
      </c>
      <c r="D9" s="157">
        <v>1</v>
      </c>
      <c r="E9" s="157">
        <v>1</v>
      </c>
      <c r="F9" s="157">
        <v>1</v>
      </c>
      <c r="G9" s="157">
        <v>1</v>
      </c>
      <c r="H9" s="157">
        <v>1</v>
      </c>
      <c r="I9" s="157">
        <v>1</v>
      </c>
      <c r="J9" s="157">
        <v>1</v>
      </c>
      <c r="K9" s="157">
        <v>1</v>
      </c>
      <c r="L9" s="157">
        <v>1</v>
      </c>
      <c r="M9" s="286" t="s">
        <v>407</v>
      </c>
    </row>
    <row r="10" spans="1:13">
      <c r="A10" s="30" t="s">
        <v>218</v>
      </c>
      <c r="B10" s="39"/>
      <c r="C10" s="39"/>
      <c r="D10" s="39"/>
      <c r="E10" s="39"/>
      <c r="F10" s="39"/>
      <c r="G10" s="39"/>
      <c r="H10" s="144"/>
      <c r="I10" s="144"/>
      <c r="J10" s="144"/>
      <c r="K10" s="144"/>
      <c r="L10" s="182"/>
      <c r="M10" s="287"/>
    </row>
    <row r="11" spans="1:13">
      <c r="B11" s="145"/>
      <c r="M11" s="289"/>
    </row>
    <row r="12" spans="1:13">
      <c r="B12" s="30">
        <v>2010</v>
      </c>
      <c r="C12" s="30">
        <v>2011</v>
      </c>
      <c r="D12" s="30">
        <v>2012</v>
      </c>
      <c r="E12" s="30">
        <v>2013</v>
      </c>
      <c r="F12" s="30">
        <v>2014</v>
      </c>
      <c r="G12" s="30">
        <v>2015</v>
      </c>
      <c r="H12" s="30">
        <v>2016</v>
      </c>
      <c r="I12" s="30">
        <v>2017</v>
      </c>
      <c r="J12" s="30">
        <v>2018</v>
      </c>
      <c r="K12" s="30">
        <v>2019</v>
      </c>
      <c r="L12" s="182">
        <v>2020</v>
      </c>
      <c r="M12" s="287"/>
    </row>
    <row r="13" spans="1:13">
      <c r="A13" s="41" t="s">
        <v>219</v>
      </c>
      <c r="B13" s="39">
        <f t="shared" ref="B13:K13" si="0">SUM(B10,B8)</f>
        <v>0</v>
      </c>
      <c r="C13" s="39">
        <f t="shared" si="0"/>
        <v>0</v>
      </c>
      <c r="D13" s="39">
        <f t="shared" si="0"/>
        <v>0</v>
      </c>
      <c r="E13" s="39">
        <f t="shared" si="0"/>
        <v>0</v>
      </c>
      <c r="F13" s="39">
        <f t="shared" si="0"/>
        <v>0</v>
      </c>
      <c r="G13" s="39">
        <f t="shared" si="0"/>
        <v>0</v>
      </c>
      <c r="H13" s="39">
        <f t="shared" si="0"/>
        <v>0</v>
      </c>
      <c r="I13" s="39">
        <f t="shared" si="0"/>
        <v>0</v>
      </c>
      <c r="J13" s="39">
        <f t="shared" si="0"/>
        <v>0</v>
      </c>
      <c r="K13" s="39">
        <f t="shared" si="0"/>
        <v>0</v>
      </c>
      <c r="L13" s="182"/>
      <c r="M13" s="287" t="s">
        <v>408</v>
      </c>
    </row>
    <row r="14" spans="1:13" ht="28.8">
      <c r="A14" s="122" t="s">
        <v>222</v>
      </c>
      <c r="B14" s="30"/>
      <c r="C14" s="30"/>
      <c r="D14" s="30"/>
      <c r="E14" s="39"/>
      <c r="F14" s="39"/>
      <c r="G14" s="39"/>
      <c r="H14" s="39"/>
      <c r="I14" s="39"/>
      <c r="J14" s="39"/>
      <c r="K14" s="39">
        <f>'Bilan d''énergie SDES historique'!D28</f>
        <v>0</v>
      </c>
      <c r="L14" s="283"/>
      <c r="M14" s="287" t="s">
        <v>223</v>
      </c>
    </row>
    <row r="15" spans="1:13">
      <c r="A15" s="122" t="s">
        <v>224</v>
      </c>
      <c r="B15" s="30"/>
      <c r="C15" s="30"/>
      <c r="D15" s="30"/>
      <c r="E15" s="39"/>
      <c r="F15" s="39"/>
      <c r="G15" s="39"/>
      <c r="H15" s="39"/>
      <c r="I15" s="39"/>
      <c r="J15" s="39"/>
      <c r="K15" s="39">
        <f>'Bilan d''énergie SDES historique'!N28</f>
        <v>1.2941754169729727</v>
      </c>
      <c r="L15" s="283"/>
      <c r="M15" s="287" t="s">
        <v>225</v>
      </c>
    </row>
    <row r="16" spans="1:13">
      <c r="A16" s="122" t="s">
        <v>226</v>
      </c>
      <c r="B16" s="39">
        <f>GES!V7</f>
        <v>0</v>
      </c>
      <c r="C16" s="39">
        <f>GES!W7</f>
        <v>0</v>
      </c>
      <c r="D16" s="39">
        <f>GES!X7</f>
        <v>0</v>
      </c>
      <c r="E16" s="39">
        <f>GES!Y7</f>
        <v>0</v>
      </c>
      <c r="F16" s="39">
        <f>GES!Z7</f>
        <v>0</v>
      </c>
      <c r="G16" s="39">
        <f>GES!AA7</f>
        <v>0</v>
      </c>
      <c r="H16" s="39">
        <f>GES!AB7</f>
        <v>0</v>
      </c>
      <c r="I16" s="39">
        <f>GES!AC7</f>
        <v>0</v>
      </c>
      <c r="J16" s="39">
        <f>GES!AD7</f>
        <v>0</v>
      </c>
      <c r="K16" s="39">
        <f>GES!AE7</f>
        <v>0</v>
      </c>
      <c r="L16" s="182"/>
      <c r="M16" s="287" t="s">
        <v>227</v>
      </c>
    </row>
    <row r="17" spans="1:23">
      <c r="A17" s="1" t="s">
        <v>228</v>
      </c>
      <c r="B17" s="30"/>
      <c r="C17" s="30"/>
      <c r="D17" s="30"/>
      <c r="E17" s="39"/>
      <c r="F17" s="39"/>
      <c r="G17" s="39"/>
      <c r="H17" s="39"/>
      <c r="I17" s="39"/>
      <c r="J17" s="39"/>
      <c r="K17" s="39">
        <f>'Bilan d''énergie SDES historique'!D35</f>
        <v>0</v>
      </c>
      <c r="L17" s="283"/>
      <c r="M17" s="287" t="s">
        <v>223</v>
      </c>
    </row>
    <row r="18" spans="1:23" ht="24.6">
      <c r="A18" s="1" t="s">
        <v>229</v>
      </c>
      <c r="B18" s="30"/>
      <c r="C18" s="30"/>
      <c r="D18" s="30"/>
      <c r="E18" s="39"/>
      <c r="F18" s="39"/>
      <c r="G18" s="39"/>
      <c r="H18" s="39"/>
      <c r="I18" s="39"/>
      <c r="J18" s="39"/>
      <c r="K18" s="39">
        <f>'Bilan d''énergie SDES historique'!G28</f>
        <v>0</v>
      </c>
      <c r="L18" s="283"/>
      <c r="M18" s="287" t="s">
        <v>230</v>
      </c>
    </row>
    <row r="19" spans="1:23">
      <c r="A19" s="1" t="s">
        <v>231</v>
      </c>
      <c r="B19" s="30"/>
      <c r="C19" s="30"/>
      <c r="D19" s="30"/>
      <c r="E19" s="39"/>
      <c r="F19" s="39"/>
      <c r="G19" s="39"/>
      <c r="H19" s="39"/>
      <c r="I19" s="39"/>
      <c r="J19" s="39"/>
      <c r="K19" s="39">
        <f>'Bilan d''énergie SDES historique'!O28</f>
        <v>0</v>
      </c>
      <c r="L19" s="283"/>
      <c r="M19" s="287" t="s">
        <v>223</v>
      </c>
      <c r="O19" s="542" t="s">
        <v>415</v>
      </c>
      <c r="P19" s="542"/>
      <c r="Q19" s="542"/>
      <c r="R19" s="542"/>
      <c r="S19" s="542"/>
      <c r="T19" s="542"/>
      <c r="U19" s="542"/>
      <c r="V19" s="542"/>
      <c r="W19" s="542"/>
    </row>
    <row r="20" spans="1:23">
      <c r="A20" s="541" t="s">
        <v>409</v>
      </c>
      <c r="B20" s="541"/>
      <c r="C20" s="541"/>
      <c r="D20" s="541"/>
      <c r="E20" s="541"/>
      <c r="F20" s="541"/>
      <c r="G20" s="541"/>
      <c r="H20" s="541"/>
      <c r="I20" s="541"/>
      <c r="J20" s="541"/>
      <c r="K20" s="541"/>
      <c r="L20" s="541"/>
      <c r="M20" s="541"/>
      <c r="O20" s="542"/>
      <c r="P20" s="542"/>
      <c r="Q20" s="542"/>
      <c r="R20" s="542"/>
      <c r="S20" s="542"/>
      <c r="T20" s="542"/>
      <c r="U20" s="542"/>
      <c r="V20" s="542"/>
      <c r="W20" s="542"/>
    </row>
    <row r="22" spans="1:23">
      <c r="A22" s="516" t="s">
        <v>152</v>
      </c>
      <c r="B22" s="516"/>
      <c r="C22" s="516"/>
      <c r="D22" s="516"/>
      <c r="E22" s="516"/>
      <c r="F22" s="516"/>
      <c r="G22" s="516"/>
      <c r="H22" s="516"/>
      <c r="I22" s="516"/>
      <c r="J22" s="516"/>
      <c r="O22" s="516" t="s">
        <v>153</v>
      </c>
      <c r="P22" s="516"/>
      <c r="Q22" s="516"/>
      <c r="R22" s="516"/>
      <c r="S22" s="516"/>
      <c r="T22" s="516"/>
      <c r="U22" s="516"/>
      <c r="V22" s="516"/>
      <c r="W22" s="516"/>
    </row>
    <row r="24" spans="1:23">
      <c r="A24" s="175"/>
      <c r="B24" s="30">
        <v>2019</v>
      </c>
      <c r="C24" s="30">
        <v>2020</v>
      </c>
      <c r="D24" s="30">
        <v>2025</v>
      </c>
      <c r="E24" s="30">
        <v>2030</v>
      </c>
      <c r="F24" s="30">
        <v>2035</v>
      </c>
      <c r="G24" s="30">
        <v>2040</v>
      </c>
      <c r="H24" s="30">
        <v>2045</v>
      </c>
      <c r="I24" s="182">
        <v>2050</v>
      </c>
      <c r="J24" s="285" t="s">
        <v>405</v>
      </c>
      <c r="K24" t="s">
        <v>427</v>
      </c>
      <c r="O24" s="175"/>
      <c r="P24" s="30">
        <v>2015</v>
      </c>
      <c r="Q24" s="30">
        <v>2020</v>
      </c>
      <c r="R24" s="30">
        <v>2025</v>
      </c>
      <c r="S24" s="30">
        <v>2030</v>
      </c>
      <c r="T24" s="30">
        <v>2035</v>
      </c>
      <c r="U24" s="30">
        <v>2040</v>
      </c>
      <c r="V24" s="30">
        <v>2045</v>
      </c>
      <c r="W24" s="30">
        <v>2050</v>
      </c>
    </row>
    <row r="25" spans="1:23" ht="13.8" customHeight="1">
      <c r="A25" s="30" t="s">
        <v>215</v>
      </c>
      <c r="B25" s="143">
        <f>K6</f>
        <v>1</v>
      </c>
      <c r="C25" s="157">
        <f>L6</f>
        <v>1</v>
      </c>
      <c r="D25" s="142">
        <f>B25</f>
        <v>1</v>
      </c>
      <c r="E25" s="142">
        <f t="shared" ref="E25:I25" si="1">D25</f>
        <v>1</v>
      </c>
      <c r="F25" s="142">
        <f t="shared" si="1"/>
        <v>1</v>
      </c>
      <c r="G25" s="142">
        <f t="shared" si="1"/>
        <v>1</v>
      </c>
      <c r="H25" s="142">
        <f t="shared" si="1"/>
        <v>1</v>
      </c>
      <c r="I25" s="142">
        <f t="shared" si="1"/>
        <v>1</v>
      </c>
      <c r="J25" s="293" t="s">
        <v>232</v>
      </c>
      <c r="K25" t="s">
        <v>427</v>
      </c>
      <c r="O25" s="30" t="s">
        <v>215</v>
      </c>
      <c r="P25" s="75">
        <v>4.3999999999999997E-2</v>
      </c>
      <c r="Q25" s="30"/>
      <c r="R25" s="30"/>
      <c r="S25" s="30"/>
      <c r="T25" s="30"/>
      <c r="U25" s="30"/>
      <c r="V25" s="30"/>
      <c r="W25" s="30"/>
    </row>
    <row r="26" spans="1:23" ht="13.8" customHeight="1">
      <c r="A26" s="288" t="s">
        <v>442</v>
      </c>
      <c r="B26" s="30">
        <f>K7</f>
        <v>180</v>
      </c>
      <c r="C26" s="30">
        <f>B26</f>
        <v>180</v>
      </c>
      <c r="D26" s="126">
        <f>'Cadrage macroéconomique '!C16</f>
        <v>186.95895316510891</v>
      </c>
      <c r="E26" s="126">
        <f>'Cadrage macroéconomique '!D16</f>
        <v>194.6964701354955</v>
      </c>
      <c r="F26" s="126">
        <f>'Cadrage macroéconomique '!E16</f>
        <v>205.64296441594024</v>
      </c>
      <c r="G26" s="126">
        <f>'Cadrage macroéconomique '!F16</f>
        <v>218.94564153999835</v>
      </c>
      <c r="H26" s="126">
        <f>'Cadrage macroéconomique '!G16</f>
        <v>232.48124217964155</v>
      </c>
      <c r="I26" s="290">
        <f>'Cadrage macroéconomique '!H16</f>
        <v>244.90479872493827</v>
      </c>
      <c r="J26" s="293" t="s">
        <v>233</v>
      </c>
      <c r="K26" t="s">
        <v>427</v>
      </c>
      <c r="O26" s="30" t="s">
        <v>234</v>
      </c>
      <c r="P26" s="124" t="s">
        <v>235</v>
      </c>
      <c r="Q26" s="30"/>
      <c r="R26" s="30"/>
      <c r="S26" s="30"/>
      <c r="T26" s="30"/>
      <c r="U26" s="30"/>
      <c r="V26" s="30"/>
      <c r="W26" s="30"/>
    </row>
    <row r="27" spans="1:23" ht="13.8" customHeight="1">
      <c r="A27" s="30" t="s">
        <v>236</v>
      </c>
      <c r="B27" s="148">
        <f>B26*B25</f>
        <v>180</v>
      </c>
      <c r="C27" s="164">
        <f>C25*C26</f>
        <v>180</v>
      </c>
      <c r="D27" s="164">
        <f t="shared" ref="D27:I27" si="2">D26*D25</f>
        <v>186.95895316510891</v>
      </c>
      <c r="E27" s="164">
        <f t="shared" si="2"/>
        <v>194.6964701354955</v>
      </c>
      <c r="F27" s="164">
        <f t="shared" si="2"/>
        <v>205.64296441594024</v>
      </c>
      <c r="G27" s="164">
        <f t="shared" si="2"/>
        <v>218.94564153999835</v>
      </c>
      <c r="H27" s="164">
        <f t="shared" si="2"/>
        <v>232.48124217964155</v>
      </c>
      <c r="I27" s="291">
        <f t="shared" si="2"/>
        <v>244.90479872493827</v>
      </c>
      <c r="J27" s="293" t="s">
        <v>587</v>
      </c>
      <c r="O27" s="30" t="s">
        <v>236</v>
      </c>
      <c r="P27" s="124">
        <v>746</v>
      </c>
      <c r="Q27" s="30"/>
      <c r="R27" s="30"/>
      <c r="S27" s="30"/>
      <c r="T27" s="30"/>
      <c r="U27" s="30"/>
      <c r="V27" s="30"/>
      <c r="W27" s="30"/>
    </row>
    <row r="28" spans="1:23" ht="13.8" customHeight="1">
      <c r="A28" s="30" t="s">
        <v>217</v>
      </c>
      <c r="B28" s="143">
        <f>K9</f>
        <v>1</v>
      </c>
      <c r="C28" s="157">
        <f>L9</f>
        <v>1</v>
      </c>
      <c r="D28" s="142">
        <f>B28</f>
        <v>1</v>
      </c>
      <c r="E28" s="142">
        <f t="shared" ref="E28:I28" si="3">D28</f>
        <v>1</v>
      </c>
      <c r="F28" s="142">
        <f t="shared" si="3"/>
        <v>1</v>
      </c>
      <c r="G28" s="142">
        <f t="shared" si="3"/>
        <v>1</v>
      </c>
      <c r="H28" s="142">
        <f t="shared" si="3"/>
        <v>1</v>
      </c>
      <c r="I28" s="142">
        <f t="shared" si="3"/>
        <v>1</v>
      </c>
      <c r="J28" s="293" t="s">
        <v>232</v>
      </c>
      <c r="K28" t="s">
        <v>427</v>
      </c>
      <c r="O28" s="30" t="s">
        <v>217</v>
      </c>
      <c r="P28" s="75">
        <v>5.8999999999999997E-2</v>
      </c>
      <c r="Q28" s="30"/>
      <c r="R28" s="30"/>
      <c r="S28" s="30"/>
      <c r="T28" s="30"/>
      <c r="U28" s="30"/>
      <c r="V28" s="30"/>
      <c r="W28" s="30"/>
    </row>
    <row r="29" spans="1:23" ht="13.8" customHeight="1">
      <c r="A29" s="30" t="s">
        <v>237</v>
      </c>
      <c r="B29" s="148">
        <f>B26*B28</f>
        <v>180</v>
      </c>
      <c r="C29" s="164">
        <f>B29</f>
        <v>180</v>
      </c>
      <c r="D29" s="164">
        <f t="shared" ref="D29:I29" si="4">D28*D26</f>
        <v>186.95895316510891</v>
      </c>
      <c r="E29" s="164">
        <f t="shared" si="4"/>
        <v>194.6964701354955</v>
      </c>
      <c r="F29" s="164">
        <f t="shared" si="4"/>
        <v>205.64296441594024</v>
      </c>
      <c r="G29" s="164">
        <f t="shared" si="4"/>
        <v>218.94564153999835</v>
      </c>
      <c r="H29" s="164">
        <f t="shared" si="4"/>
        <v>232.48124217964155</v>
      </c>
      <c r="I29" s="291">
        <f t="shared" si="4"/>
        <v>244.90479872493827</v>
      </c>
      <c r="J29" s="293"/>
      <c r="K29" t="s">
        <v>427</v>
      </c>
      <c r="O29" s="30" t="s">
        <v>237</v>
      </c>
      <c r="P29" s="124" t="s">
        <v>238</v>
      </c>
      <c r="Q29" s="30"/>
      <c r="R29" s="30"/>
      <c r="S29" s="30"/>
      <c r="T29" s="30"/>
      <c r="U29" s="30"/>
      <c r="V29" s="30"/>
      <c r="W29" s="30"/>
    </row>
    <row r="30" spans="1:23" ht="13.8" customHeight="1">
      <c r="J30" s="294"/>
      <c r="K30" t="s">
        <v>427</v>
      </c>
    </row>
    <row r="31" spans="1:23" ht="13.8" customHeight="1">
      <c r="B31" s="30">
        <v>2019</v>
      </c>
      <c r="C31" s="30">
        <v>2020</v>
      </c>
      <c r="D31" s="30">
        <v>2025</v>
      </c>
      <c r="E31" s="30">
        <v>2030</v>
      </c>
      <c r="F31" s="30">
        <v>2035</v>
      </c>
      <c r="G31" s="30">
        <v>2040</v>
      </c>
      <c r="H31" s="30">
        <v>2045</v>
      </c>
      <c r="I31" s="182">
        <v>2050</v>
      </c>
      <c r="J31" s="285" t="s">
        <v>405</v>
      </c>
      <c r="K31" t="s">
        <v>427</v>
      </c>
      <c r="P31" s="30">
        <v>2015</v>
      </c>
      <c r="Q31" s="73">
        <v>2017</v>
      </c>
      <c r="R31" s="30">
        <v>2025</v>
      </c>
      <c r="S31" s="30">
        <v>2030</v>
      </c>
      <c r="T31" s="30">
        <v>2035</v>
      </c>
      <c r="U31" s="30">
        <v>2040</v>
      </c>
      <c r="V31" s="30">
        <v>2045</v>
      </c>
      <c r="W31" s="30">
        <v>2050</v>
      </c>
    </row>
    <row r="32" spans="1:23" ht="13.8" customHeight="1">
      <c r="A32" s="122" t="s">
        <v>219</v>
      </c>
      <c r="B32" s="164">
        <f t="shared" ref="B32:I32" si="5">SUM(B29,B27)</f>
        <v>360</v>
      </c>
      <c r="C32" s="164">
        <f t="shared" si="5"/>
        <v>360</v>
      </c>
      <c r="D32" s="164">
        <f t="shared" si="5"/>
        <v>373.91790633021782</v>
      </c>
      <c r="E32" s="164">
        <f t="shared" si="5"/>
        <v>389.39294027099101</v>
      </c>
      <c r="F32" s="164">
        <f t="shared" si="5"/>
        <v>411.28592883188048</v>
      </c>
      <c r="G32" s="164">
        <f t="shared" si="5"/>
        <v>437.8912830799967</v>
      </c>
      <c r="H32" s="164">
        <f t="shared" si="5"/>
        <v>464.96248435928311</v>
      </c>
      <c r="I32" s="291">
        <f t="shared" si="5"/>
        <v>489.80959744987655</v>
      </c>
      <c r="J32" s="293"/>
      <c r="K32" t="s">
        <v>427</v>
      </c>
      <c r="O32" s="122" t="s">
        <v>219</v>
      </c>
      <c r="P32" s="124" t="s">
        <v>239</v>
      </c>
      <c r="Q32" s="124" t="s">
        <v>240</v>
      </c>
      <c r="R32" s="30"/>
      <c r="S32" s="30"/>
      <c r="T32" s="30"/>
      <c r="U32" s="30"/>
      <c r="V32" s="30"/>
      <c r="W32" s="124" t="s">
        <v>241</v>
      </c>
    </row>
    <row r="33" spans="1:23" ht="13.8" customHeight="1">
      <c r="A33" s="122" t="s">
        <v>220</v>
      </c>
      <c r="B33" s="313">
        <v>1</v>
      </c>
      <c r="C33" s="313">
        <f>$B$33+($I$33-$B$33)*1/31</f>
        <v>0.99677419354838714</v>
      </c>
      <c r="D33" s="313">
        <f>$B$33+($I$33-$B$33)*6/31</f>
        <v>0.98064516129032253</v>
      </c>
      <c r="E33" s="313">
        <f>$B$33+($I$33-$B$33)*11/31</f>
        <v>0.96451612903225803</v>
      </c>
      <c r="F33" s="313">
        <f>$B$33+($I$33-$B$33)*16/31</f>
        <v>0.94838709677419353</v>
      </c>
      <c r="G33" s="313">
        <f>$B$33+($I$33-$B$33)*21/31</f>
        <v>0.93225806451612903</v>
      </c>
      <c r="H33" s="313">
        <f>$B$33+($I$33-$B$33)*26/31</f>
        <v>0.91612903225806452</v>
      </c>
      <c r="I33" s="314">
        <v>0.9</v>
      </c>
      <c r="J33" s="293" t="s">
        <v>411</v>
      </c>
      <c r="K33" t="s">
        <v>427</v>
      </c>
      <c r="O33" s="122" t="s">
        <v>220</v>
      </c>
      <c r="P33" s="147">
        <v>1</v>
      </c>
      <c r="Q33" s="147">
        <v>1</v>
      </c>
      <c r="R33" s="30"/>
      <c r="S33" s="30"/>
      <c r="T33" s="30"/>
      <c r="U33" s="30"/>
      <c r="V33" s="30"/>
      <c r="W33" s="147">
        <v>0.9</v>
      </c>
    </row>
    <row r="34" spans="1:23" ht="13.8" customHeight="1">
      <c r="A34" s="122" t="s">
        <v>221</v>
      </c>
      <c r="B34" s="147">
        <v>0</v>
      </c>
      <c r="C34" s="147">
        <v>0</v>
      </c>
      <c r="D34" s="147">
        <v>0</v>
      </c>
      <c r="E34" s="147">
        <v>0</v>
      </c>
      <c r="F34" s="147">
        <v>0</v>
      </c>
      <c r="G34" s="147">
        <v>0</v>
      </c>
      <c r="H34" s="147">
        <v>0</v>
      </c>
      <c r="I34" s="292">
        <v>0</v>
      </c>
      <c r="J34" s="293"/>
      <c r="K34" t="s">
        <v>428</v>
      </c>
      <c r="O34" s="122" t="s">
        <v>221</v>
      </c>
      <c r="P34" s="147">
        <v>0</v>
      </c>
      <c r="Q34" s="147">
        <v>0</v>
      </c>
      <c r="R34" s="30"/>
      <c r="S34" s="30"/>
      <c r="T34" s="30"/>
      <c r="U34" s="30"/>
      <c r="V34" s="30"/>
      <c r="W34" s="147">
        <v>0</v>
      </c>
    </row>
    <row r="35" spans="1:23" ht="13.8" customHeight="1">
      <c r="A35" s="295" t="s">
        <v>242</v>
      </c>
      <c r="B35" s="164">
        <f>K14</f>
        <v>0</v>
      </c>
      <c r="C35" s="148">
        <f>L14</f>
        <v>0</v>
      </c>
      <c r="D35" s="164">
        <f t="shared" ref="D35:I35" si="6">$B35*(1-D34)*D33*(D32/$B32)</f>
        <v>0</v>
      </c>
      <c r="E35" s="164">
        <f t="shared" si="6"/>
        <v>0</v>
      </c>
      <c r="F35" s="164">
        <f t="shared" si="6"/>
        <v>0</v>
      </c>
      <c r="G35" s="164">
        <f t="shared" si="6"/>
        <v>0</v>
      </c>
      <c r="H35" s="164">
        <f t="shared" si="6"/>
        <v>0</v>
      </c>
      <c r="I35" s="291">
        <f t="shared" si="6"/>
        <v>0</v>
      </c>
      <c r="J35" s="293" t="s">
        <v>243</v>
      </c>
      <c r="K35" t="s">
        <v>427</v>
      </c>
      <c r="O35" s="122" t="s">
        <v>242</v>
      </c>
      <c r="P35" s="30">
        <v>17.399999999999999</v>
      </c>
      <c r="Q35" s="30">
        <v>17.760000000000002</v>
      </c>
      <c r="R35" s="30"/>
      <c r="S35" s="30"/>
      <c r="T35" s="30"/>
      <c r="U35" s="30"/>
      <c r="V35" s="30"/>
      <c r="W35" s="30">
        <v>34.67</v>
      </c>
    </row>
    <row r="36" spans="1:23" ht="13.8" customHeight="1">
      <c r="A36" s="295" t="s">
        <v>224</v>
      </c>
      <c r="B36" s="164">
        <f>K15</f>
        <v>1.2941754169729727</v>
      </c>
      <c r="C36" s="148">
        <f>B36</f>
        <v>1.2941754169729727</v>
      </c>
      <c r="D36" s="164">
        <f>$B36*D33*(D32/$B32)+1.1*D34*D35*D33*(D32/$B32)</f>
        <v>1.3181923848649233</v>
      </c>
      <c r="E36" s="164">
        <f>$B36*E33*(E32/$B32)+1.1*E34*E35*E33*(E32/$B32)</f>
        <v>1.3501692516274275</v>
      </c>
      <c r="F36" s="164">
        <f>$B36*F33*(F32/$B32)+1.1*F34*F35*F33*(F32/$B32)</f>
        <v>1.4022328378287445</v>
      </c>
      <c r="G36" s="164">
        <f>$B36*G33*(G32/$B32)+1.1*G34*G35*G33*(G32/$B32)</f>
        <v>1.4675506334059829</v>
      </c>
      <c r="H36" s="164">
        <f>$B36*H33*(H32/$B32)+1.1*H34*H35*H33*(H32/$B32)</f>
        <v>1.5313173552740136</v>
      </c>
      <c r="I36" s="291">
        <f>$B36*I33*(I32/$B32)+1.1*I34*B35*I33*(I32/$B32)</f>
        <v>1.584748850042645</v>
      </c>
      <c r="J36" s="293" t="s">
        <v>243</v>
      </c>
      <c r="K36" t="s">
        <v>427</v>
      </c>
      <c r="O36" s="122" t="s">
        <v>224</v>
      </c>
      <c r="P36" s="30">
        <v>412</v>
      </c>
      <c r="Q36" s="30">
        <v>313</v>
      </c>
      <c r="R36" s="30"/>
      <c r="S36" s="30"/>
      <c r="T36" s="30"/>
      <c r="U36" s="30"/>
      <c r="V36" s="30"/>
      <c r="W36" s="30">
        <v>610</v>
      </c>
    </row>
    <row r="37" spans="1:23" ht="13.8" customHeight="1">
      <c r="A37" s="30" t="s">
        <v>245</v>
      </c>
      <c r="B37" s="164">
        <f t="shared" ref="B37:C39" si="7">K17</f>
        <v>0</v>
      </c>
      <c r="C37" s="164">
        <f t="shared" si="7"/>
        <v>0</v>
      </c>
      <c r="D37" s="164">
        <f t="shared" ref="D37:I37" si="8">$B37*D$32/$B$32</f>
        <v>0</v>
      </c>
      <c r="E37" s="164">
        <f t="shared" si="8"/>
        <v>0</v>
      </c>
      <c r="F37" s="164">
        <f t="shared" si="8"/>
        <v>0</v>
      </c>
      <c r="G37" s="164">
        <f t="shared" si="8"/>
        <v>0</v>
      </c>
      <c r="H37" s="164">
        <f t="shared" si="8"/>
        <v>0</v>
      </c>
      <c r="I37" s="291">
        <f t="shared" si="8"/>
        <v>0</v>
      </c>
      <c r="J37" s="293" t="s">
        <v>410</v>
      </c>
      <c r="K37" t="s">
        <v>427</v>
      </c>
      <c r="O37" s="30" t="s">
        <v>245</v>
      </c>
      <c r="P37" s="30"/>
      <c r="Q37" s="151">
        <v>23.03</v>
      </c>
      <c r="R37" s="30"/>
      <c r="S37" s="30"/>
      <c r="T37" s="30"/>
      <c r="U37" s="30"/>
      <c r="V37" s="30"/>
      <c r="W37" s="30">
        <v>44.952869724770601</v>
      </c>
    </row>
    <row r="38" spans="1:23" ht="13.8" customHeight="1">
      <c r="A38" s="30" t="s">
        <v>246</v>
      </c>
      <c r="B38" s="164">
        <f t="shared" si="7"/>
        <v>0</v>
      </c>
      <c r="C38" s="164">
        <f t="shared" si="7"/>
        <v>0</v>
      </c>
      <c r="D38" s="164">
        <f t="shared" ref="D38:I38" si="9">$B38*D32/$B32</f>
        <v>0</v>
      </c>
      <c r="E38" s="164">
        <f t="shared" si="9"/>
        <v>0</v>
      </c>
      <c r="F38" s="164">
        <f t="shared" si="9"/>
        <v>0</v>
      </c>
      <c r="G38" s="164">
        <f t="shared" si="9"/>
        <v>0</v>
      </c>
      <c r="H38" s="164">
        <f t="shared" si="9"/>
        <v>0</v>
      </c>
      <c r="I38" s="291">
        <f t="shared" si="9"/>
        <v>0</v>
      </c>
      <c r="J38" s="293" t="s">
        <v>410</v>
      </c>
      <c r="K38" t="s">
        <v>427</v>
      </c>
      <c r="O38" s="30" t="s">
        <v>246</v>
      </c>
      <c r="P38" s="30"/>
      <c r="Q38" s="151">
        <v>2.4900000000000002</v>
      </c>
      <c r="R38" s="30"/>
      <c r="S38" s="30"/>
      <c r="T38" s="30"/>
      <c r="U38" s="30"/>
      <c r="V38" s="30"/>
      <c r="W38" s="30">
        <v>4.8602972477064199</v>
      </c>
    </row>
    <row r="39" spans="1:23" ht="13.8" customHeight="1">
      <c r="A39" s="30" t="s">
        <v>247</v>
      </c>
      <c r="B39" s="164">
        <f t="shared" si="7"/>
        <v>0</v>
      </c>
      <c r="C39" s="164">
        <f t="shared" si="7"/>
        <v>0</v>
      </c>
      <c r="D39" s="164">
        <f t="shared" ref="D39:I39" si="10">$B39*D32/$B32</f>
        <v>0</v>
      </c>
      <c r="E39" s="164">
        <f t="shared" si="10"/>
        <v>0</v>
      </c>
      <c r="F39" s="164">
        <f t="shared" si="10"/>
        <v>0</v>
      </c>
      <c r="G39" s="164">
        <f t="shared" si="10"/>
        <v>0</v>
      </c>
      <c r="H39" s="164">
        <f t="shared" si="10"/>
        <v>0</v>
      </c>
      <c r="I39" s="291">
        <f t="shared" si="10"/>
        <v>0</v>
      </c>
      <c r="J39" s="293" t="s">
        <v>410</v>
      </c>
      <c r="K39" t="s">
        <v>427</v>
      </c>
      <c r="O39" s="30" t="s">
        <v>247</v>
      </c>
      <c r="P39" s="30"/>
      <c r="Q39" s="151">
        <v>20.13</v>
      </c>
      <c r="R39" s="30"/>
      <c r="S39" s="30"/>
      <c r="T39" s="30"/>
      <c r="U39" s="30"/>
      <c r="V39" s="30"/>
      <c r="W39" s="30">
        <v>39.292282568807302</v>
      </c>
    </row>
    <row r="40" spans="1:23" ht="13.8" customHeight="1">
      <c r="A40" s="541" t="s">
        <v>440</v>
      </c>
      <c r="B40" s="541"/>
      <c r="C40" s="541"/>
      <c r="D40" s="541"/>
      <c r="E40" s="541"/>
      <c r="F40" s="541"/>
      <c r="G40" s="541"/>
      <c r="H40" s="541"/>
      <c r="I40" s="541"/>
      <c r="J40" s="541"/>
      <c r="K40" t="s">
        <v>427</v>
      </c>
      <c r="Q40" s="150">
        <v>2018</v>
      </c>
    </row>
    <row r="41" spans="1:23" ht="13.8" customHeight="1"/>
    <row r="42" spans="1:23" ht="13.8" customHeight="1">
      <c r="A42" s="516" t="s">
        <v>158</v>
      </c>
      <c r="B42" s="516"/>
      <c r="C42" s="516"/>
      <c r="D42" s="516"/>
      <c r="E42" s="516"/>
      <c r="F42" s="516"/>
      <c r="G42" s="516"/>
      <c r="H42" s="516"/>
      <c r="I42" s="516"/>
      <c r="J42" s="516"/>
      <c r="O42" s="516" t="s">
        <v>159</v>
      </c>
      <c r="P42" s="516"/>
      <c r="Q42" s="516"/>
      <c r="R42" s="516"/>
      <c r="S42" s="516"/>
      <c r="T42" s="516"/>
      <c r="U42" s="516"/>
      <c r="V42" s="516"/>
      <c r="W42" s="516"/>
    </row>
    <row r="43" spans="1:23" ht="13.8" customHeight="1"/>
    <row r="44" spans="1:23" ht="13.8" customHeight="1">
      <c r="A44" s="175"/>
      <c r="B44" s="30">
        <v>2019</v>
      </c>
      <c r="C44" s="30">
        <v>2020</v>
      </c>
      <c r="D44" s="30">
        <v>2025</v>
      </c>
      <c r="E44" s="30">
        <v>2030</v>
      </c>
      <c r="F44" s="30">
        <v>2035</v>
      </c>
      <c r="G44" s="30">
        <v>2040</v>
      </c>
      <c r="H44" s="30">
        <v>2045</v>
      </c>
      <c r="I44" s="30">
        <v>2050</v>
      </c>
      <c r="J44" s="285" t="s">
        <v>405</v>
      </c>
      <c r="O44" s="175"/>
      <c r="P44" s="73">
        <v>2011</v>
      </c>
      <c r="Q44" s="30">
        <v>2020</v>
      </c>
      <c r="R44" s="30">
        <v>2025</v>
      </c>
      <c r="S44" s="30">
        <v>2030</v>
      </c>
      <c r="T44" s="30">
        <v>2035</v>
      </c>
      <c r="U44" s="30">
        <v>2040</v>
      </c>
      <c r="V44" s="30">
        <v>2045</v>
      </c>
      <c r="W44" s="30">
        <v>2050</v>
      </c>
    </row>
    <row r="45" spans="1:23" ht="13.8" customHeight="1">
      <c r="A45" s="30" t="s">
        <v>215</v>
      </c>
      <c r="B45" s="143">
        <f>B25</f>
        <v>1</v>
      </c>
      <c r="C45" s="143">
        <f t="shared" ref="C45:I45" si="11">C25</f>
        <v>1</v>
      </c>
      <c r="D45" s="143">
        <f t="shared" si="11"/>
        <v>1</v>
      </c>
      <c r="E45" s="143">
        <f t="shared" si="11"/>
        <v>1</v>
      </c>
      <c r="F45" s="143">
        <f t="shared" si="11"/>
        <v>1</v>
      </c>
      <c r="G45" s="143">
        <f t="shared" si="11"/>
        <v>1</v>
      </c>
      <c r="H45" s="143">
        <f t="shared" si="11"/>
        <v>1</v>
      </c>
      <c r="I45" s="143">
        <f t="shared" si="11"/>
        <v>1</v>
      </c>
      <c r="J45" s="297" t="s">
        <v>232</v>
      </c>
      <c r="K45" t="s">
        <v>427</v>
      </c>
      <c r="O45" s="30" t="s">
        <v>215</v>
      </c>
      <c r="P45" s="30">
        <v>4.3999999999999997E-2</v>
      </c>
      <c r="Q45" s="30"/>
      <c r="R45" s="30"/>
      <c r="S45" s="30"/>
      <c r="T45" s="30"/>
      <c r="U45" s="30"/>
      <c r="V45" s="30"/>
      <c r="W45" s="30"/>
    </row>
    <row r="46" spans="1:23" ht="13.8" customHeight="1">
      <c r="A46" s="30" t="s">
        <v>441</v>
      </c>
      <c r="B46" s="30">
        <f>B26</f>
        <v>180</v>
      </c>
      <c r="C46" s="30">
        <f t="shared" ref="C46:I46" si="12">C26</f>
        <v>180</v>
      </c>
      <c r="D46" s="30">
        <f t="shared" si="12"/>
        <v>186.95895316510891</v>
      </c>
      <c r="E46" s="30">
        <f t="shared" si="12"/>
        <v>194.6964701354955</v>
      </c>
      <c r="F46" s="30">
        <f t="shared" si="12"/>
        <v>205.64296441594024</v>
      </c>
      <c r="G46" s="30">
        <f t="shared" si="12"/>
        <v>218.94564153999835</v>
      </c>
      <c r="H46" s="30">
        <f t="shared" si="12"/>
        <v>232.48124217964155</v>
      </c>
      <c r="I46" s="30">
        <f t="shared" si="12"/>
        <v>244.90479872493827</v>
      </c>
      <c r="J46" s="297" t="s">
        <v>233</v>
      </c>
      <c r="K46" t="s">
        <v>427</v>
      </c>
      <c r="O46" s="30" t="s">
        <v>234</v>
      </c>
      <c r="P46" s="30">
        <v>15487.057199999999</v>
      </c>
      <c r="Q46" s="30"/>
      <c r="R46" s="30"/>
      <c r="S46" s="30"/>
      <c r="T46" s="30"/>
      <c r="U46" s="30"/>
      <c r="V46" s="30"/>
      <c r="W46" s="30"/>
    </row>
    <row r="47" spans="1:23" ht="13.8" customHeight="1">
      <c r="A47" s="30" t="s">
        <v>236</v>
      </c>
      <c r="B47" s="148">
        <f>B27</f>
        <v>180</v>
      </c>
      <c r="C47" s="148">
        <f t="shared" ref="C47:I47" si="13">C27</f>
        <v>180</v>
      </c>
      <c r="D47" s="148">
        <f t="shared" si="13"/>
        <v>186.95895316510891</v>
      </c>
      <c r="E47" s="148">
        <f t="shared" si="13"/>
        <v>194.6964701354955</v>
      </c>
      <c r="F47" s="148">
        <f t="shared" si="13"/>
        <v>205.64296441594024</v>
      </c>
      <c r="G47" s="148">
        <f t="shared" si="13"/>
        <v>218.94564153999835</v>
      </c>
      <c r="H47" s="148">
        <f t="shared" si="13"/>
        <v>232.48124217964155</v>
      </c>
      <c r="I47" s="148">
        <f t="shared" si="13"/>
        <v>244.90479872493827</v>
      </c>
      <c r="J47" s="297"/>
      <c r="K47" t="s">
        <v>427</v>
      </c>
      <c r="O47" s="30" t="s">
        <v>236</v>
      </c>
      <c r="P47" s="30">
        <v>681.43051679999996</v>
      </c>
      <c r="Q47" s="30"/>
      <c r="R47" s="30"/>
      <c r="S47" s="30"/>
      <c r="T47" s="30"/>
      <c r="U47" s="30"/>
      <c r="V47" s="30"/>
      <c r="W47" s="30"/>
    </row>
    <row r="48" spans="1:23" ht="13.8" customHeight="1">
      <c r="A48" s="30" t="s">
        <v>217</v>
      </c>
      <c r="B48" s="143">
        <f>B28</f>
        <v>1</v>
      </c>
      <c r="C48" s="143">
        <f t="shared" ref="C48:I48" si="14">C28</f>
        <v>1</v>
      </c>
      <c r="D48" s="143">
        <f t="shared" si="14"/>
        <v>1</v>
      </c>
      <c r="E48" s="143">
        <f t="shared" si="14"/>
        <v>1</v>
      </c>
      <c r="F48" s="143">
        <f t="shared" si="14"/>
        <v>1</v>
      </c>
      <c r="G48" s="143">
        <f t="shared" si="14"/>
        <v>1</v>
      </c>
      <c r="H48" s="143">
        <f t="shared" si="14"/>
        <v>1</v>
      </c>
      <c r="I48" s="143">
        <f t="shared" si="14"/>
        <v>1</v>
      </c>
      <c r="J48" s="297" t="s">
        <v>232</v>
      </c>
      <c r="K48" t="s">
        <v>427</v>
      </c>
      <c r="O48" s="30" t="s">
        <v>217</v>
      </c>
      <c r="P48" s="30">
        <v>6.6000000000000003E-2</v>
      </c>
      <c r="Q48" s="30"/>
      <c r="R48" s="30"/>
      <c r="S48" s="30"/>
      <c r="T48" s="30"/>
      <c r="U48" s="30"/>
      <c r="V48" s="30"/>
      <c r="W48" s="30"/>
    </row>
    <row r="49" spans="1:23" ht="13.8" customHeight="1">
      <c r="A49" s="30" t="s">
        <v>237</v>
      </c>
      <c r="B49" s="148">
        <f>B29</f>
        <v>180</v>
      </c>
      <c r="C49" s="148">
        <f t="shared" ref="C49:I49" si="15">C29</f>
        <v>180</v>
      </c>
      <c r="D49" s="148">
        <f t="shared" si="15"/>
        <v>186.95895316510891</v>
      </c>
      <c r="E49" s="148">
        <f t="shared" si="15"/>
        <v>194.6964701354955</v>
      </c>
      <c r="F49" s="148">
        <f t="shared" si="15"/>
        <v>205.64296441594024</v>
      </c>
      <c r="G49" s="148">
        <f t="shared" si="15"/>
        <v>218.94564153999835</v>
      </c>
      <c r="H49" s="148">
        <f t="shared" si="15"/>
        <v>232.48124217964155</v>
      </c>
      <c r="I49" s="148">
        <f t="shared" si="15"/>
        <v>244.90479872493827</v>
      </c>
      <c r="J49" s="297"/>
      <c r="K49" t="s">
        <v>427</v>
      </c>
      <c r="O49" s="30" t="s">
        <v>237</v>
      </c>
      <c r="P49" s="30">
        <v>1022.1457752</v>
      </c>
      <c r="Q49" s="30"/>
      <c r="R49" s="30"/>
      <c r="S49" s="30"/>
      <c r="T49" s="30"/>
      <c r="U49" s="30"/>
      <c r="V49" s="30"/>
      <c r="W49" s="30"/>
    </row>
    <row r="50" spans="1:23" ht="13.8" customHeight="1">
      <c r="J50" s="298"/>
      <c r="P50" t="s">
        <v>248</v>
      </c>
    </row>
    <row r="51" spans="1:23" ht="13.8" customHeight="1">
      <c r="B51" s="30">
        <v>2019</v>
      </c>
      <c r="C51" s="30">
        <v>2020</v>
      </c>
      <c r="D51" s="30">
        <v>2025</v>
      </c>
      <c r="E51" s="30">
        <v>2030</v>
      </c>
      <c r="F51" s="30">
        <v>2035</v>
      </c>
      <c r="G51" s="30">
        <v>2040</v>
      </c>
      <c r="H51" s="30">
        <v>2045</v>
      </c>
      <c r="I51" s="182">
        <v>2050</v>
      </c>
      <c r="J51" s="285" t="s">
        <v>405</v>
      </c>
      <c r="K51" t="s">
        <v>427</v>
      </c>
      <c r="P51" s="30">
        <v>2015</v>
      </c>
      <c r="Q51" s="30">
        <v>2020</v>
      </c>
      <c r="R51" s="30">
        <v>2025</v>
      </c>
      <c r="S51" s="30">
        <v>2030</v>
      </c>
      <c r="T51" s="30">
        <v>2035</v>
      </c>
      <c r="U51" s="30">
        <v>2040</v>
      </c>
      <c r="V51" s="30">
        <v>2045</v>
      </c>
      <c r="W51" s="30">
        <v>2050</v>
      </c>
    </row>
    <row r="52" spans="1:23" ht="13.8" customHeight="1">
      <c r="A52" s="122" t="s">
        <v>219</v>
      </c>
      <c r="B52" s="164">
        <f t="shared" ref="B52:I52" si="16">SUM(B49,B47)</f>
        <v>360</v>
      </c>
      <c r="C52" s="164">
        <f t="shared" si="16"/>
        <v>360</v>
      </c>
      <c r="D52" s="164">
        <f t="shared" si="16"/>
        <v>373.91790633021782</v>
      </c>
      <c r="E52" s="164">
        <f t="shared" si="16"/>
        <v>389.39294027099101</v>
      </c>
      <c r="F52" s="164">
        <f t="shared" si="16"/>
        <v>411.28592883188048</v>
      </c>
      <c r="G52" s="164">
        <f t="shared" si="16"/>
        <v>437.8912830799967</v>
      </c>
      <c r="H52" s="164">
        <f t="shared" si="16"/>
        <v>464.96248435928311</v>
      </c>
      <c r="I52" s="291">
        <f t="shared" si="16"/>
        <v>489.80959744987655</v>
      </c>
      <c r="J52" s="297"/>
      <c r="K52" t="s">
        <v>427</v>
      </c>
      <c r="O52" s="122" t="s">
        <v>219</v>
      </c>
      <c r="P52" s="30">
        <v>1703.576292</v>
      </c>
      <c r="Q52" s="30"/>
      <c r="R52" s="30"/>
      <c r="S52" s="30"/>
      <c r="T52" s="30"/>
      <c r="U52" s="30"/>
      <c r="V52" s="30"/>
      <c r="W52" s="30">
        <v>4420.68</v>
      </c>
    </row>
    <row r="53" spans="1:23" ht="13.8" customHeight="1">
      <c r="A53" s="122" t="s">
        <v>220</v>
      </c>
      <c r="B53" s="313">
        <v>1</v>
      </c>
      <c r="C53" s="313">
        <f>$B$53+($I53-$B$53)*1/31</f>
        <v>0.98451612903225805</v>
      </c>
      <c r="D53" s="313">
        <f>$B$53+($I53-$B$53)*6/31</f>
        <v>0.90709677419354839</v>
      </c>
      <c r="E53" s="313">
        <f>$B$53+($I53-$B$53)*11/31</f>
        <v>0.82967741935483874</v>
      </c>
      <c r="F53" s="313">
        <f>$B$53+($I53-$B$53)*16/31</f>
        <v>0.75225806451612898</v>
      </c>
      <c r="G53" s="313">
        <f>$B$53+($I53-$B$53)*21/31</f>
        <v>0.67483870967741932</v>
      </c>
      <c r="H53" s="313">
        <f>$B$53+($I53-$B$53)*26/31</f>
        <v>0.59741935483870967</v>
      </c>
      <c r="I53" s="314">
        <v>0.52</v>
      </c>
      <c r="J53" s="297" t="s">
        <v>411</v>
      </c>
      <c r="K53" t="s">
        <v>427</v>
      </c>
      <c r="O53" s="122" t="s">
        <v>220</v>
      </c>
      <c r="P53" s="30">
        <v>1</v>
      </c>
      <c r="Q53" s="30"/>
      <c r="R53" s="30"/>
      <c r="S53" s="30"/>
      <c r="T53" s="30"/>
      <c r="U53" s="30"/>
      <c r="V53" s="30"/>
      <c r="W53" s="30">
        <v>0.73</v>
      </c>
    </row>
    <row r="54" spans="1:23" ht="13.8" customHeight="1">
      <c r="A54" s="122" t="s">
        <v>221</v>
      </c>
      <c r="B54" s="313">
        <v>0</v>
      </c>
      <c r="C54" s="313">
        <f>$B$54+($I54-$B$54)*1/31</f>
        <v>1.6129032258064516E-2</v>
      </c>
      <c r="D54" s="313">
        <f>$B$54+($I54-$B$54)*6/31</f>
        <v>9.6774193548387094E-2</v>
      </c>
      <c r="E54" s="313">
        <f>$B$54+($I54-$B$54)*11/31</f>
        <v>0.17741935483870969</v>
      </c>
      <c r="F54" s="313">
        <f>$B$54+($I54-$B$54)*16/31</f>
        <v>0.25806451612903225</v>
      </c>
      <c r="G54" s="313">
        <f>$B$54+($I54-$B$54)*21/31</f>
        <v>0.33870967741935482</v>
      </c>
      <c r="H54" s="313">
        <f>$B$54+($I54-$B$54)*26/31</f>
        <v>0.41935483870967744</v>
      </c>
      <c r="I54" s="314">
        <v>0.5</v>
      </c>
      <c r="J54" s="297" t="s">
        <v>411</v>
      </c>
      <c r="K54" t="s">
        <v>427</v>
      </c>
      <c r="O54" s="122" t="s">
        <v>221</v>
      </c>
      <c r="P54" s="30">
        <v>0</v>
      </c>
      <c r="Q54" s="30"/>
      <c r="R54" s="30"/>
      <c r="S54" s="30"/>
      <c r="T54" s="30"/>
      <c r="U54" s="30"/>
      <c r="V54" s="30"/>
      <c r="W54" s="30">
        <v>0.5</v>
      </c>
    </row>
    <row r="55" spans="1:23" ht="13.8" customHeight="1">
      <c r="A55" s="122" t="s">
        <v>249</v>
      </c>
      <c r="B55" s="88">
        <v>0</v>
      </c>
      <c r="C55" s="88">
        <v>0</v>
      </c>
      <c r="D55" s="88">
        <v>0.1</v>
      </c>
      <c r="E55" s="88">
        <v>0.2</v>
      </c>
      <c r="F55" s="88">
        <v>0.4</v>
      </c>
      <c r="G55" s="88">
        <v>0.6</v>
      </c>
      <c r="H55" s="88">
        <v>0.8</v>
      </c>
      <c r="I55" s="292">
        <v>1</v>
      </c>
      <c r="J55" s="297" t="s">
        <v>412</v>
      </c>
      <c r="K55" t="s">
        <v>427</v>
      </c>
      <c r="O55" s="122" t="s">
        <v>242</v>
      </c>
      <c r="P55" s="30">
        <v>28.27</v>
      </c>
      <c r="Q55" s="30"/>
      <c r="R55" s="30"/>
      <c r="S55" s="30"/>
      <c r="T55" s="30"/>
      <c r="U55" s="30"/>
      <c r="V55" s="30"/>
      <c r="W55" s="30">
        <v>26.776028657013001</v>
      </c>
    </row>
    <row r="56" spans="1:23" ht="13.8" customHeight="1">
      <c r="A56" s="295" t="s">
        <v>242</v>
      </c>
      <c r="B56" s="164">
        <f>K14</f>
        <v>0</v>
      </c>
      <c r="C56" s="164">
        <f>L14</f>
        <v>0</v>
      </c>
      <c r="D56" s="164">
        <f t="shared" ref="D56:I56" si="17">$B56*(1-D54)*D53*(D52/$B52)*(1-D55)</f>
        <v>0</v>
      </c>
      <c r="E56" s="164">
        <f t="shared" si="17"/>
        <v>0</v>
      </c>
      <c r="F56" s="164">
        <f t="shared" si="17"/>
        <v>0</v>
      </c>
      <c r="G56" s="164">
        <f t="shared" si="17"/>
        <v>0</v>
      </c>
      <c r="H56" s="164">
        <f t="shared" si="17"/>
        <v>0</v>
      </c>
      <c r="I56" s="164">
        <f t="shared" si="17"/>
        <v>0</v>
      </c>
      <c r="J56" s="297" t="s">
        <v>244</v>
      </c>
      <c r="K56" t="s">
        <v>427</v>
      </c>
      <c r="O56" s="122" t="s">
        <v>224</v>
      </c>
      <c r="P56" s="30">
        <v>368</v>
      </c>
      <c r="Q56" s="30"/>
      <c r="R56" s="30"/>
      <c r="S56" s="30"/>
      <c r="T56" s="30"/>
      <c r="U56" s="30"/>
      <c r="V56" s="30"/>
      <c r="W56" s="30">
        <v>1039.6506900941899</v>
      </c>
    </row>
    <row r="57" spans="1:23" ht="13.8" customHeight="1">
      <c r="A57" s="295" t="s">
        <v>224</v>
      </c>
      <c r="B57" s="164">
        <f>K15</f>
        <v>1.2941754169729727</v>
      </c>
      <c r="C57" s="164">
        <f>L15</f>
        <v>0</v>
      </c>
      <c r="D57" s="155">
        <f t="shared" ref="D57:I57" si="18">$B57*(D52/$B52)*D53+1.1*D54*$B56*D53*(D52/$B52)</f>
        <v>1.2193279560000541</v>
      </c>
      <c r="E57" s="155">
        <f t="shared" si="18"/>
        <v>1.1614164933731588</v>
      </c>
      <c r="F57" s="155">
        <f t="shared" si="18"/>
        <v>1.1122472713662015</v>
      </c>
      <c r="G57" s="155">
        <f t="shared" si="18"/>
        <v>1.0623238495104901</v>
      </c>
      <c r="H57" s="155">
        <f t="shared" si="18"/>
        <v>0.99859145843925112</v>
      </c>
      <c r="I57" s="296">
        <f t="shared" si="18"/>
        <v>0.91563266891352812</v>
      </c>
      <c r="J57" s="297"/>
      <c r="K57" t="s">
        <v>428</v>
      </c>
      <c r="O57" s="122" t="s">
        <v>226</v>
      </c>
      <c r="P57" s="30">
        <v>145</v>
      </c>
      <c r="Q57" s="30"/>
      <c r="R57" s="30"/>
      <c r="S57" s="30"/>
      <c r="T57" s="30"/>
      <c r="U57" s="30"/>
      <c r="V57" s="30"/>
      <c r="W57" s="30">
        <v>0</v>
      </c>
    </row>
    <row r="58" spans="1:23" ht="13.8" customHeight="1">
      <c r="A58" s="122" t="s">
        <v>226</v>
      </c>
      <c r="B58" s="309">
        <f>K16</f>
        <v>0</v>
      </c>
      <c r="C58" s="309">
        <f>$B$58+($I$58-$B$58)*1/31</f>
        <v>0</v>
      </c>
      <c r="D58" s="309">
        <f>$B$58+($I$58-$B$58)*6/31</f>
        <v>0</v>
      </c>
      <c r="E58" s="309">
        <f>$B$58+($I$58-$B$58)*11/31</f>
        <v>0</v>
      </c>
      <c r="F58" s="309">
        <f>$B$58+($I$58-$B$58)*16/31</f>
        <v>0</v>
      </c>
      <c r="G58" s="309">
        <f>$B$58+($I$58-$B$58)*21/31</f>
        <v>0</v>
      </c>
      <c r="H58" s="309">
        <f>$B$58+($I$58-$B$58)*26/31</f>
        <v>0</v>
      </c>
      <c r="I58" s="315">
        <v>0</v>
      </c>
      <c r="J58" s="297" t="s">
        <v>413</v>
      </c>
      <c r="K58" t="s">
        <v>427</v>
      </c>
      <c r="O58" s="30" t="s">
        <v>245</v>
      </c>
      <c r="P58" s="30"/>
      <c r="Q58" s="30"/>
      <c r="R58" s="30"/>
      <c r="S58" s="30"/>
      <c r="T58" s="30"/>
      <c r="U58" s="30"/>
      <c r="V58" s="30"/>
      <c r="W58" s="30"/>
    </row>
    <row r="59" spans="1:23" ht="13.8" customHeight="1">
      <c r="A59" s="30" t="s">
        <v>245</v>
      </c>
      <c r="B59" s="164">
        <f>K17</f>
        <v>0</v>
      </c>
      <c r="C59" s="171">
        <f>L17</f>
        <v>0</v>
      </c>
      <c r="D59" s="155">
        <f t="shared" ref="D59:I59" si="19">$B59*D52/$B52</f>
        <v>0</v>
      </c>
      <c r="E59" s="155">
        <f t="shared" si="19"/>
        <v>0</v>
      </c>
      <c r="F59" s="155">
        <f t="shared" si="19"/>
        <v>0</v>
      </c>
      <c r="G59" s="155">
        <f t="shared" si="19"/>
        <v>0</v>
      </c>
      <c r="H59" s="155">
        <f t="shared" si="19"/>
        <v>0</v>
      </c>
      <c r="I59" s="296">
        <f t="shared" si="19"/>
        <v>0</v>
      </c>
      <c r="J59" s="297"/>
      <c r="K59" t="s">
        <v>427</v>
      </c>
      <c r="O59" s="30" t="s">
        <v>246</v>
      </c>
      <c r="P59" s="30"/>
      <c r="Q59" s="30"/>
      <c r="R59" s="30"/>
      <c r="S59" s="30"/>
      <c r="T59" s="30"/>
      <c r="U59" s="30"/>
      <c r="V59" s="30"/>
      <c r="W59" s="30"/>
    </row>
    <row r="60" spans="1:23" ht="13.8" customHeight="1">
      <c r="A60" s="30" t="s">
        <v>250</v>
      </c>
      <c r="B60" s="309">
        <v>0</v>
      </c>
      <c r="C60" s="316">
        <v>0</v>
      </c>
      <c r="D60" s="316">
        <f>C60+($I60-$C60)/6</f>
        <v>8.3333333333333329E-2</v>
      </c>
      <c r="E60" s="316">
        <f>D60+($I60-$C60)/6</f>
        <v>0.16666666666666666</v>
      </c>
      <c r="F60" s="316">
        <f>E60+($I60-$C60)/6</f>
        <v>0.25</v>
      </c>
      <c r="G60" s="316">
        <f>F60+($I60-$C60)/6</f>
        <v>0.33333333333333331</v>
      </c>
      <c r="H60" s="316">
        <f>G60+($I60-$C60)/6</f>
        <v>0.41666666666666663</v>
      </c>
      <c r="I60" s="317">
        <v>0.5</v>
      </c>
      <c r="J60" s="297" t="s">
        <v>414</v>
      </c>
      <c r="K60" t="s">
        <v>427</v>
      </c>
      <c r="O60" s="30" t="s">
        <v>247</v>
      </c>
      <c r="P60" s="30"/>
      <c r="Q60" s="30"/>
      <c r="R60" s="30"/>
      <c r="S60" s="30"/>
      <c r="T60" s="30"/>
      <c r="U60" s="30"/>
      <c r="V60" s="30"/>
      <c r="W60" s="30"/>
    </row>
    <row r="61" spans="1:23" ht="13.8" customHeight="1">
      <c r="A61" s="30" t="s">
        <v>251</v>
      </c>
      <c r="B61" s="155">
        <f t="shared" ref="B61:I61" si="20">B60*B59</f>
        <v>0</v>
      </c>
      <c r="C61" s="155">
        <f t="shared" si="20"/>
        <v>0</v>
      </c>
      <c r="D61" s="155">
        <f t="shared" si="20"/>
        <v>0</v>
      </c>
      <c r="E61" s="155">
        <f t="shared" si="20"/>
        <v>0</v>
      </c>
      <c r="F61" s="155">
        <f t="shared" si="20"/>
        <v>0</v>
      </c>
      <c r="G61" s="155">
        <f t="shared" si="20"/>
        <v>0</v>
      </c>
      <c r="H61" s="155">
        <f t="shared" si="20"/>
        <v>0</v>
      </c>
      <c r="I61" s="296">
        <f t="shared" si="20"/>
        <v>0</v>
      </c>
      <c r="J61" s="297"/>
      <c r="K61" t="s">
        <v>427</v>
      </c>
    </row>
    <row r="62" spans="1:23" ht="13.8" customHeight="1">
      <c r="A62" s="30" t="s">
        <v>246</v>
      </c>
      <c r="B62" s="39">
        <f>K18</f>
        <v>0</v>
      </c>
      <c r="C62" s="146">
        <f>L18</f>
        <v>0</v>
      </c>
      <c r="D62" s="152">
        <f>$B62*(D52/$B52) + $B56*(1-D54)*D53*D55*(D52/$B52)</f>
        <v>0</v>
      </c>
      <c r="E62" s="152">
        <f t="shared" ref="E62:I62" si="21">$B62*(E52/$B52) + $B56*(1-E54)*E53*E55*(E52/$B52)</f>
        <v>0</v>
      </c>
      <c r="F62" s="152">
        <f t="shared" si="21"/>
        <v>0</v>
      </c>
      <c r="G62" s="152">
        <f t="shared" si="21"/>
        <v>0</v>
      </c>
      <c r="H62" s="152">
        <f t="shared" si="21"/>
        <v>0</v>
      </c>
      <c r="I62" s="296">
        <f t="shared" si="21"/>
        <v>0</v>
      </c>
      <c r="J62" s="297" t="s">
        <v>252</v>
      </c>
      <c r="K62" t="s">
        <v>428</v>
      </c>
    </row>
    <row r="63" spans="1:23" ht="13.8" customHeight="1">
      <c r="A63" s="30" t="s">
        <v>247</v>
      </c>
      <c r="B63" s="39">
        <f>K19</f>
        <v>0</v>
      </c>
      <c r="C63" s="146">
        <f>L19</f>
        <v>0</v>
      </c>
      <c r="D63" s="152">
        <f t="shared" ref="D63:I63" si="22">$B63*D52/$B52</f>
        <v>0</v>
      </c>
      <c r="E63" s="152">
        <f t="shared" si="22"/>
        <v>0</v>
      </c>
      <c r="F63" s="152">
        <f t="shared" si="22"/>
        <v>0</v>
      </c>
      <c r="G63" s="152">
        <f t="shared" si="22"/>
        <v>0</v>
      </c>
      <c r="H63" s="152">
        <f t="shared" si="22"/>
        <v>0</v>
      </c>
      <c r="I63" s="296">
        <f t="shared" si="22"/>
        <v>0</v>
      </c>
      <c r="J63" s="297" t="s">
        <v>253</v>
      </c>
      <c r="K63" t="s">
        <v>427</v>
      </c>
    </row>
    <row r="64" spans="1:23">
      <c r="A64" s="541" t="s">
        <v>597</v>
      </c>
      <c r="B64" s="541"/>
      <c r="C64" s="541"/>
      <c r="D64" s="541"/>
      <c r="E64" s="541"/>
      <c r="F64" s="541"/>
      <c r="G64" s="541"/>
      <c r="H64" s="541"/>
      <c r="I64" s="541"/>
      <c r="J64" s="541"/>
      <c r="K64" t="s">
        <v>427</v>
      </c>
    </row>
  </sheetData>
  <mergeCells count="9">
    <mergeCell ref="A40:J40"/>
    <mergeCell ref="A20:M20"/>
    <mergeCell ref="A3:M3"/>
    <mergeCell ref="O19:W20"/>
    <mergeCell ref="A64:J64"/>
    <mergeCell ref="A22:J22"/>
    <mergeCell ref="A42:J42"/>
    <mergeCell ref="O22:W22"/>
    <mergeCell ref="O42:W4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2:X195"/>
  <sheetViews>
    <sheetView zoomScale="70" zoomScaleNormal="70" workbookViewId="0">
      <selection activeCell="M15" sqref="M15"/>
    </sheetView>
  </sheetViews>
  <sheetFormatPr baseColWidth="10" defaultColWidth="8.88671875" defaultRowHeight="14.4"/>
  <cols>
    <col min="1" max="1" width="25.5546875" customWidth="1"/>
    <col min="2" max="12" width="10.44140625" customWidth="1"/>
    <col min="13" max="13" width="27" customWidth="1"/>
    <col min="14" max="1025" width="10.44140625" customWidth="1"/>
  </cols>
  <sheetData>
    <row r="2" spans="1:14">
      <c r="A2" s="543" t="s">
        <v>416</v>
      </c>
      <c r="B2" s="543"/>
      <c r="C2" s="543"/>
      <c r="D2" s="543"/>
      <c r="E2" s="543"/>
      <c r="F2" s="543"/>
      <c r="G2" s="543"/>
      <c r="H2" s="543"/>
      <c r="I2" s="543"/>
      <c r="J2" s="543"/>
      <c r="K2" s="543"/>
    </row>
    <row r="4" spans="1:14">
      <c r="A4" s="516" t="s">
        <v>55</v>
      </c>
      <c r="B4" s="516"/>
      <c r="C4" s="516"/>
      <c r="D4" s="516"/>
      <c r="E4" s="516"/>
      <c r="F4" s="516"/>
      <c r="G4" s="516"/>
      <c r="H4" s="516"/>
      <c r="I4" s="516"/>
      <c r="J4" s="516"/>
      <c r="K4" s="516"/>
    </row>
    <row r="6" spans="1:14">
      <c r="A6" s="30"/>
      <c r="B6" s="30">
        <v>2010</v>
      </c>
      <c r="C6" s="30">
        <v>2011</v>
      </c>
      <c r="D6" s="30">
        <v>2012</v>
      </c>
      <c r="E6" s="30">
        <v>2013</v>
      </c>
      <c r="F6" s="30">
        <v>2014</v>
      </c>
      <c r="G6" s="30">
        <v>2015</v>
      </c>
      <c r="H6" s="30">
        <v>2016</v>
      </c>
      <c r="I6" s="30">
        <v>2017</v>
      </c>
      <c r="J6" s="30">
        <v>2018</v>
      </c>
      <c r="K6" s="30">
        <v>2019</v>
      </c>
      <c r="L6" s="30">
        <v>2020</v>
      </c>
      <c r="M6" s="284" t="s">
        <v>405</v>
      </c>
    </row>
    <row r="7" spans="1:14">
      <c r="A7" s="30" t="s">
        <v>254</v>
      </c>
      <c r="B7" s="43">
        <f>'Cadrage macroéconomique '!B5</f>
        <v>0</v>
      </c>
      <c r="C7" s="43">
        <f>'Cadrage macroéconomique '!C5</f>
        <v>0</v>
      </c>
      <c r="D7" s="43">
        <f>'Cadrage macroéconomique '!D5</f>
        <v>0</v>
      </c>
      <c r="E7" s="43">
        <f>'Cadrage macroéconomique '!E5</f>
        <v>12197</v>
      </c>
      <c r="F7" s="43">
        <f>'Cadrage macroéconomique '!F5</f>
        <v>0</v>
      </c>
      <c r="G7" s="43">
        <f>'Cadrage macroéconomique '!G5</f>
        <v>0</v>
      </c>
      <c r="H7" s="43">
        <f>'Cadrage macroéconomique '!H5</f>
        <v>0</v>
      </c>
      <c r="I7" s="43">
        <f>'Cadrage macroéconomique '!I5</f>
        <v>0</v>
      </c>
      <c r="J7" s="43">
        <f>'Cadrage macroéconomique '!J5</f>
        <v>11558</v>
      </c>
      <c r="K7" s="43">
        <f>'Cadrage macroéconomique '!K5</f>
        <v>11710</v>
      </c>
      <c r="L7" s="43">
        <f>'Cadrage macroéconomique '!L5</f>
        <v>11660</v>
      </c>
      <c r="M7" s="297" t="s">
        <v>233</v>
      </c>
      <c r="N7" t="s">
        <v>427</v>
      </c>
    </row>
    <row r="8" spans="1:14">
      <c r="A8" s="30" t="s">
        <v>255</v>
      </c>
      <c r="B8" s="30"/>
      <c r="C8" s="148"/>
      <c r="D8" s="148"/>
      <c r="E8" s="148">
        <v>4.0999999999999996</v>
      </c>
      <c r="F8" s="148"/>
      <c r="G8" s="148"/>
      <c r="H8" s="148"/>
      <c r="I8" s="30"/>
      <c r="J8" s="30">
        <v>3.8</v>
      </c>
      <c r="K8" s="30"/>
      <c r="L8" s="30"/>
      <c r="M8" s="297"/>
      <c r="N8" t="s">
        <v>427</v>
      </c>
    </row>
    <row r="9" spans="1:14">
      <c r="A9" s="30" t="s">
        <v>256</v>
      </c>
      <c r="B9" s="146"/>
      <c r="C9" s="146"/>
      <c r="D9" s="146"/>
      <c r="E9" s="146">
        <v>2987</v>
      </c>
      <c r="F9" s="146"/>
      <c r="G9" s="146"/>
      <c r="H9" s="146"/>
      <c r="I9" s="146"/>
      <c r="J9" s="43">
        <f>J7/J8</f>
        <v>3041.5789473684213</v>
      </c>
      <c r="K9" s="30"/>
      <c r="L9" s="30"/>
      <c r="M9" s="297"/>
      <c r="N9" t="s">
        <v>427</v>
      </c>
    </row>
    <row r="10" spans="1:14">
      <c r="A10" s="30" t="s">
        <v>257</v>
      </c>
      <c r="B10" s="88">
        <v>0.23</v>
      </c>
      <c r="C10" s="153">
        <f>$B$10+($I$10-$B$10)*1/7</f>
        <v>0.23428571428571429</v>
      </c>
      <c r="D10" s="153">
        <f>$B$10+($I$10-$B$10)*2/7</f>
        <v>0.23857142857142857</v>
      </c>
      <c r="E10" s="153">
        <f>$B$10+($I$10-$B$10)*3/7</f>
        <v>0.24285714285714285</v>
      </c>
      <c r="F10" s="153">
        <f>$B$10+($I$10-$B$10)*4/7</f>
        <v>0.24714285714285716</v>
      </c>
      <c r="G10" s="153">
        <f>$B$10+($I$10-$B$10)*5/7</f>
        <v>0.25142857142857145</v>
      </c>
      <c r="H10" s="153">
        <f>$B$10+($I$10-$B$10)*6/7</f>
        <v>0.25571428571428573</v>
      </c>
      <c r="I10" s="83">
        <v>0.26</v>
      </c>
      <c r="J10" s="30"/>
      <c r="K10" s="30"/>
      <c r="L10" s="30"/>
      <c r="M10" s="297" t="s">
        <v>258</v>
      </c>
      <c r="N10" t="s">
        <v>427</v>
      </c>
    </row>
    <row r="11" spans="1:14" s="300" customFormat="1">
      <c r="A11" s="299" t="s">
        <v>259</v>
      </c>
      <c r="B11" s="299">
        <v>3</v>
      </c>
      <c r="C11" s="299"/>
      <c r="D11" s="299"/>
      <c r="E11" s="299"/>
      <c r="F11" s="299"/>
      <c r="G11" s="299"/>
      <c r="H11" s="299"/>
      <c r="I11" s="299">
        <v>3</v>
      </c>
      <c r="J11" s="299"/>
      <c r="K11" s="299"/>
      <c r="L11" s="299"/>
      <c r="M11" s="301" t="s">
        <v>260</v>
      </c>
      <c r="N11" s="300" t="s">
        <v>427</v>
      </c>
    </row>
    <row r="12" spans="1:14" s="300" customFormat="1">
      <c r="A12" s="299" t="s">
        <v>261</v>
      </c>
      <c r="B12" s="299">
        <v>1</v>
      </c>
      <c r="C12" s="299"/>
      <c r="D12" s="299"/>
      <c r="E12" s="299"/>
      <c r="F12" s="299"/>
      <c r="G12" s="299"/>
      <c r="H12" s="299"/>
      <c r="I12" s="299">
        <v>1</v>
      </c>
      <c r="J12" s="299"/>
      <c r="K12" s="299"/>
      <c r="L12" s="299"/>
      <c r="M12" s="301" t="s">
        <v>260</v>
      </c>
      <c r="N12" s="300" t="s">
        <v>427</v>
      </c>
    </row>
    <row r="13" spans="1:14">
      <c r="A13" s="1" t="s">
        <v>262</v>
      </c>
      <c r="B13" s="39">
        <f>HFC!W10/1000</f>
        <v>0.63332206979863392</v>
      </c>
      <c r="C13" s="164">
        <f>HFC!X10/1000</f>
        <v>0.65152419055257327</v>
      </c>
      <c r="D13" s="164">
        <f>HFC!Y10/1000</f>
        <v>0.64361655168326548</v>
      </c>
      <c r="E13" s="164">
        <f>HFC!Z10/1000</f>
        <v>0.65856069216966484</v>
      </c>
      <c r="F13" s="164">
        <f>HFC!AA10/1000</f>
        <v>0.63619977005530037</v>
      </c>
      <c r="G13" s="164">
        <f>HFC!AB10/1000</f>
        <v>0.67275987543948612</v>
      </c>
      <c r="H13" s="164">
        <f>HFC!AC10/1000</f>
        <v>0.72091906152488983</v>
      </c>
      <c r="I13" s="164">
        <f>HFC!AD10/1000</f>
        <v>0.76455422581205201</v>
      </c>
      <c r="J13" s="164">
        <f>HFC!AE10/1000</f>
        <v>0.5565693443325922</v>
      </c>
      <c r="K13" s="164">
        <f>HFC!AF10/1000</f>
        <v>0.54335010726232091</v>
      </c>
      <c r="L13" s="164">
        <f>HFC!AG10/1000</f>
        <v>0</v>
      </c>
      <c r="M13" s="297" t="s">
        <v>227</v>
      </c>
      <c r="N13" t="s">
        <v>427</v>
      </c>
    </row>
    <row r="14" spans="1:14">
      <c r="A14" s="1" t="s">
        <v>263</v>
      </c>
      <c r="B14" s="30">
        <f>'CO2'!W10</f>
        <v>0.85537873157481703</v>
      </c>
      <c r="C14" s="30">
        <f>'CO2'!X10</f>
        <v>0.80911983685235933</v>
      </c>
      <c r="D14" s="30">
        <f>'CO2'!Y10</f>
        <v>0.79781941117376765</v>
      </c>
      <c r="E14" s="30">
        <f>'CO2'!Z10</f>
        <v>0.71570646233954649</v>
      </c>
      <c r="F14" s="30">
        <f>'CO2'!AA10</f>
        <v>0.78593679450978959</v>
      </c>
      <c r="G14" s="30">
        <f>'CO2'!AB10</f>
        <v>0.76701110598431499</v>
      </c>
      <c r="H14" s="30">
        <f>'CO2'!AC10</f>
        <v>0.74653301656231641</v>
      </c>
      <c r="I14" s="30">
        <f>'CO2'!AD10</f>
        <v>0.77808747992774985</v>
      </c>
      <c r="J14" s="30">
        <f>'CO2'!AE10</f>
        <v>0.74281444625206561</v>
      </c>
      <c r="K14" s="30">
        <f>'CO2'!AF10</f>
        <v>0.73900188010909496</v>
      </c>
      <c r="L14" s="30">
        <f>'CO2'!AG10</f>
        <v>0</v>
      </c>
      <c r="M14" s="297" t="s">
        <v>227</v>
      </c>
      <c r="N14" t="s">
        <v>427</v>
      </c>
    </row>
    <row r="15" spans="1:14">
      <c r="A15" s="1" t="s">
        <v>23</v>
      </c>
      <c r="B15" s="39">
        <f t="shared" ref="B15:K15" si="0">SUM(B13:B14)</f>
        <v>1.4887008013734508</v>
      </c>
      <c r="C15" s="39">
        <f t="shared" si="0"/>
        <v>1.4606440274049326</v>
      </c>
      <c r="D15" s="39">
        <f t="shared" si="0"/>
        <v>1.441435962857033</v>
      </c>
      <c r="E15" s="39">
        <f t="shared" si="0"/>
        <v>1.3742671545092113</v>
      </c>
      <c r="F15" s="39">
        <f t="shared" si="0"/>
        <v>1.4221365645650899</v>
      </c>
      <c r="G15" s="39">
        <f t="shared" si="0"/>
        <v>1.4397709814238011</v>
      </c>
      <c r="H15" s="39">
        <f t="shared" si="0"/>
        <v>1.4674520780872062</v>
      </c>
      <c r="I15" s="39">
        <f t="shared" si="0"/>
        <v>1.5426417057398019</v>
      </c>
      <c r="J15" s="39">
        <f t="shared" si="0"/>
        <v>1.2993837905846579</v>
      </c>
      <c r="K15" s="39">
        <f t="shared" si="0"/>
        <v>1.282351987371416</v>
      </c>
      <c r="L15" s="30"/>
      <c r="M15" s="297"/>
      <c r="N15" t="s">
        <v>427</v>
      </c>
    </row>
    <row r="16" spans="1:14">
      <c r="A16" s="1" t="s">
        <v>264</v>
      </c>
      <c r="B16" s="30"/>
      <c r="C16" s="30"/>
      <c r="D16" s="30"/>
      <c r="E16" s="146"/>
      <c r="F16" s="146"/>
      <c r="G16" s="146"/>
      <c r="H16" s="146"/>
      <c r="I16" s="146"/>
      <c r="J16" s="146"/>
      <c r="K16" s="146">
        <f>'Bilan d''énergie SDES historique'!N30</f>
        <v>8.1025089889189186</v>
      </c>
      <c r="L16" s="146"/>
      <c r="M16" s="297" t="s">
        <v>265</v>
      </c>
      <c r="N16" t="s">
        <v>427</v>
      </c>
    </row>
    <row r="17" spans="1:21">
      <c r="A17" s="1" t="s">
        <v>266</v>
      </c>
      <c r="B17" s="30">
        <f>'Cadrage macroéconomique '!B6</f>
        <v>150</v>
      </c>
      <c r="C17" s="30">
        <f>'Cadrage macroéconomique '!C6</f>
        <v>150</v>
      </c>
      <c r="D17" s="30">
        <f>'Cadrage macroéconomique '!D6</f>
        <v>150</v>
      </c>
      <c r="E17" s="30">
        <f>'Cadrage macroéconomique '!E6</f>
        <v>150</v>
      </c>
      <c r="F17" s="30">
        <f>'Cadrage macroéconomique '!F6</f>
        <v>150</v>
      </c>
      <c r="G17" s="30">
        <f>'Cadrage macroéconomique '!G6</f>
        <v>180</v>
      </c>
      <c r="H17" s="30">
        <f>'Cadrage macroéconomique '!H6</f>
        <v>180</v>
      </c>
      <c r="I17" s="30">
        <f>'Cadrage macroéconomique '!I6</f>
        <v>180</v>
      </c>
      <c r="J17" s="30">
        <f>'Cadrage macroéconomique '!J6</f>
        <v>180</v>
      </c>
      <c r="K17" s="30">
        <f>'Cadrage macroéconomique '!K6</f>
        <v>180</v>
      </c>
      <c r="L17" s="146"/>
      <c r="M17" s="297" t="s">
        <v>233</v>
      </c>
      <c r="N17" t="s">
        <v>427</v>
      </c>
    </row>
    <row r="18" spans="1:21">
      <c r="A18" s="1" t="s">
        <v>267</v>
      </c>
      <c r="B18" s="30"/>
      <c r="C18" s="30"/>
      <c r="D18" s="30"/>
      <c r="E18" s="146"/>
      <c r="F18" s="146"/>
      <c r="G18" s="146"/>
      <c r="H18" s="146"/>
      <c r="I18" s="146"/>
      <c r="J18" s="146"/>
      <c r="K18" s="146">
        <f>'Bilan d''énergie SDES historique'!D30</f>
        <v>1.9550000000000001</v>
      </c>
      <c r="L18" s="146"/>
      <c r="M18" s="297" t="s">
        <v>268</v>
      </c>
      <c r="N18" t="s">
        <v>427</v>
      </c>
    </row>
    <row r="19" spans="1:21">
      <c r="A19" s="1" t="s">
        <v>269</v>
      </c>
      <c r="B19" s="30"/>
      <c r="C19" s="30"/>
      <c r="D19" s="30"/>
      <c r="E19" s="146"/>
      <c r="F19" s="146"/>
      <c r="G19" s="146"/>
      <c r="H19" s="146"/>
      <c r="I19" s="146"/>
      <c r="J19" s="146"/>
      <c r="K19" s="146">
        <f>0</f>
        <v>0</v>
      </c>
      <c r="L19" s="146"/>
      <c r="M19" s="297" t="s">
        <v>268</v>
      </c>
      <c r="N19" t="s">
        <v>427</v>
      </c>
    </row>
    <row r="21" spans="1:21">
      <c r="A21" s="516" t="s">
        <v>152</v>
      </c>
      <c r="B21" s="516"/>
      <c r="C21" s="516"/>
      <c r="D21" s="516"/>
      <c r="E21" s="516"/>
      <c r="F21" s="516"/>
      <c r="G21" s="516"/>
      <c r="H21" s="516"/>
      <c r="I21" s="516"/>
      <c r="J21" s="516"/>
      <c r="K21" s="516"/>
      <c r="M21" s="516" t="s">
        <v>153</v>
      </c>
      <c r="N21" s="516"/>
      <c r="O21" s="516"/>
      <c r="P21" s="516"/>
      <c r="Q21" s="516"/>
      <c r="R21" s="516"/>
      <c r="S21" s="516"/>
      <c r="T21" s="516"/>
      <c r="U21" s="516"/>
    </row>
    <row r="23" spans="1:21">
      <c r="A23" s="30"/>
      <c r="B23" s="1">
        <v>2015</v>
      </c>
      <c r="C23" s="30">
        <v>2019</v>
      </c>
      <c r="D23" s="30">
        <v>2025</v>
      </c>
      <c r="E23" s="30">
        <v>2030</v>
      </c>
      <c r="F23" s="30">
        <v>2035</v>
      </c>
      <c r="G23" s="30">
        <v>2040</v>
      </c>
      <c r="H23" s="30">
        <v>2045</v>
      </c>
      <c r="I23" s="30">
        <v>2050</v>
      </c>
      <c r="J23" s="302" t="s">
        <v>405</v>
      </c>
      <c r="M23" s="30"/>
      <c r="N23" s="73">
        <v>2017</v>
      </c>
      <c r="O23" s="73">
        <v>2018</v>
      </c>
      <c r="P23" s="30">
        <v>2025</v>
      </c>
      <c r="Q23" s="30">
        <v>2030</v>
      </c>
      <c r="R23" s="30">
        <v>2035</v>
      </c>
      <c r="S23" s="30">
        <v>2040</v>
      </c>
      <c r="T23" s="30">
        <v>2045</v>
      </c>
      <c r="U23" s="30">
        <v>2050</v>
      </c>
    </row>
    <row r="24" spans="1:21">
      <c r="A24" s="30" t="s">
        <v>254</v>
      </c>
      <c r="B24" s="326">
        <f>G7</f>
        <v>0</v>
      </c>
      <c r="C24" s="326">
        <f>K7</f>
        <v>11710</v>
      </c>
      <c r="D24" s="146">
        <f>'Cadrage macroéconomique '!$C$15*1000000</f>
        <v>11390</v>
      </c>
      <c r="E24" s="146">
        <f>'Cadrage macroéconomique '!$D$15*1000000</f>
        <v>11230</v>
      </c>
      <c r="F24" s="146">
        <f>'Cadrage macroéconomique '!$E$15*1000000</f>
        <v>11230</v>
      </c>
      <c r="G24" s="146">
        <f>'Cadrage macroéconomique '!$F$15*1000000</f>
        <v>11320</v>
      </c>
      <c r="H24" s="146">
        <f>'Cadrage macroéconomique '!$G$15*1000000</f>
        <v>11380.000000000002</v>
      </c>
      <c r="I24" s="146">
        <f>'Cadrage macroéconomique '!$H$15*1000000</f>
        <v>11349.999999999998</v>
      </c>
      <c r="J24" s="297" t="s">
        <v>270</v>
      </c>
      <c r="K24" t="s">
        <v>427</v>
      </c>
      <c r="M24" s="30" t="s">
        <v>254</v>
      </c>
      <c r="N24" s="30">
        <v>854</v>
      </c>
      <c r="O24" s="30"/>
      <c r="P24" s="30"/>
      <c r="Q24" s="30"/>
      <c r="R24" s="30"/>
      <c r="S24" s="30"/>
      <c r="T24" s="30"/>
      <c r="U24" s="30">
        <v>873</v>
      </c>
    </row>
    <row r="25" spans="1:21">
      <c r="A25" s="30" t="s">
        <v>255</v>
      </c>
      <c r="B25" s="148">
        <v>3.85</v>
      </c>
      <c r="C25" s="30">
        <f>J8</f>
        <v>3.8</v>
      </c>
      <c r="D25" s="149">
        <f>$C$25+($I$25-$C$25)*6/31</f>
        <v>3.7419354838709675</v>
      </c>
      <c r="E25" s="149">
        <f>$C$25+($I$25-$C$25)*11/31</f>
        <v>3.693548387096774</v>
      </c>
      <c r="F25" s="149">
        <f>$C$25+($I$25-$C$25)*16/31</f>
        <v>3.6451612903225805</v>
      </c>
      <c r="G25" s="149">
        <f>$C$25+($I$25-$C$25)*21/31</f>
        <v>3.596774193548387</v>
      </c>
      <c r="H25" s="149">
        <f>$C$25+($I$25-$C$25)*26/31</f>
        <v>3.5483870967741935</v>
      </c>
      <c r="I25" s="384">
        <v>3.5</v>
      </c>
      <c r="J25" s="297" t="s">
        <v>497</v>
      </c>
      <c r="K25" t="s">
        <v>427</v>
      </c>
      <c r="M25" s="30" t="s">
        <v>255</v>
      </c>
      <c r="N25" s="30">
        <v>2.6</v>
      </c>
      <c r="O25" s="30"/>
      <c r="P25" s="30"/>
      <c r="Q25" s="30"/>
      <c r="R25" s="30"/>
      <c r="S25" s="30"/>
      <c r="T25" s="30"/>
      <c r="U25" s="30">
        <v>2.2000000000000002</v>
      </c>
    </row>
    <row r="26" spans="1:21">
      <c r="A26" s="30" t="s">
        <v>256</v>
      </c>
      <c r="B26" s="146">
        <f t="shared" ref="B26:I26" si="1">B24/B25</f>
        <v>0</v>
      </c>
      <c r="C26" s="146">
        <f t="shared" si="1"/>
        <v>3081.5789473684213</v>
      </c>
      <c r="D26" s="146">
        <f t="shared" si="1"/>
        <v>3043.8793103448279</v>
      </c>
      <c r="E26" s="146">
        <f t="shared" si="1"/>
        <v>3040.4366812227076</v>
      </c>
      <c r="F26" s="146">
        <f t="shared" si="1"/>
        <v>3080.7964601769913</v>
      </c>
      <c r="G26" s="146">
        <f t="shared" si="1"/>
        <v>3147.2645739910313</v>
      </c>
      <c r="H26" s="146">
        <f t="shared" si="1"/>
        <v>3207.0909090909095</v>
      </c>
      <c r="I26" s="146">
        <f t="shared" si="1"/>
        <v>3242.8571428571422</v>
      </c>
      <c r="J26" s="297" t="s">
        <v>271</v>
      </c>
      <c r="K26" t="s">
        <v>427</v>
      </c>
      <c r="M26" s="30" t="s">
        <v>256</v>
      </c>
      <c r="N26" s="30">
        <v>328</v>
      </c>
      <c r="O26" s="30"/>
      <c r="P26" s="30"/>
      <c r="Q26" s="30"/>
      <c r="R26" s="30"/>
      <c r="S26" s="30"/>
      <c r="T26" s="30"/>
      <c r="U26" s="30">
        <v>397</v>
      </c>
    </row>
    <row r="27" spans="1:21">
      <c r="A27" s="30" t="s">
        <v>257</v>
      </c>
      <c r="B27" s="88">
        <f>G10</f>
        <v>0.25142857142857145</v>
      </c>
      <c r="C27" s="83">
        <f>I10</f>
        <v>0.26</v>
      </c>
      <c r="D27" s="154">
        <f>$C$27+($I$27-$C$27)*5/30</f>
        <v>0.35666666666666669</v>
      </c>
      <c r="E27" s="154">
        <f>$C$27+($I$27-$C$27)*10/30</f>
        <v>0.45333333333333337</v>
      </c>
      <c r="F27" s="154">
        <f>$C$27+($I$27-$C$27)*15/30</f>
        <v>0.55000000000000004</v>
      </c>
      <c r="G27" s="154">
        <f>$C$27+($I$27-$C$27)*20/30</f>
        <v>0.64666666666666672</v>
      </c>
      <c r="H27" s="154">
        <f>$C$27+($I$27-$C$27)*25/30</f>
        <v>0.74333333333333329</v>
      </c>
      <c r="I27" s="88">
        <v>0.84</v>
      </c>
      <c r="J27" s="312" t="s">
        <v>498</v>
      </c>
      <c r="K27" t="s">
        <v>427</v>
      </c>
      <c r="M27" s="30" t="s">
        <v>257</v>
      </c>
      <c r="N27" s="83">
        <v>0.26</v>
      </c>
      <c r="O27" s="30"/>
      <c r="P27" s="30"/>
      <c r="Q27" s="30"/>
      <c r="R27" s="30"/>
      <c r="S27" s="30"/>
      <c r="T27" s="30"/>
      <c r="U27" s="83">
        <v>0.63</v>
      </c>
    </row>
    <row r="28" spans="1:21" s="300" customFormat="1" ht="12.6" customHeight="1">
      <c r="A28" s="299" t="s">
        <v>259</v>
      </c>
      <c r="B28" s="299">
        <v>3</v>
      </c>
      <c r="C28" s="299">
        <f>+I11</f>
        <v>3</v>
      </c>
      <c r="D28" s="299"/>
      <c r="E28" s="299">
        <v>5</v>
      </c>
      <c r="F28" s="299"/>
      <c r="G28" s="299"/>
      <c r="H28" s="299"/>
      <c r="I28" s="299">
        <f>U28</f>
        <v>5</v>
      </c>
      <c r="J28" s="301" t="s">
        <v>272</v>
      </c>
      <c r="K28" s="300" t="s">
        <v>427</v>
      </c>
      <c r="M28" s="299" t="s">
        <v>259</v>
      </c>
      <c r="N28" s="299">
        <v>3</v>
      </c>
      <c r="O28" s="299"/>
      <c r="P28" s="299"/>
      <c r="Q28" s="299"/>
      <c r="R28" s="299"/>
      <c r="S28" s="299"/>
      <c r="T28" s="299"/>
      <c r="U28" s="299">
        <v>5</v>
      </c>
    </row>
    <row r="29" spans="1:21" s="300" customFormat="1">
      <c r="A29" s="299" t="s">
        <v>261</v>
      </c>
      <c r="B29" s="299">
        <v>1</v>
      </c>
      <c r="C29" s="299">
        <f>+I12</f>
        <v>1</v>
      </c>
      <c r="D29" s="299"/>
      <c r="E29" s="299">
        <v>1</v>
      </c>
      <c r="F29" s="299"/>
      <c r="G29" s="299"/>
      <c r="H29" s="299"/>
      <c r="I29" s="299">
        <f>U29</f>
        <v>1</v>
      </c>
      <c r="J29" s="301" t="s">
        <v>273</v>
      </c>
      <c r="K29" s="300" t="s">
        <v>427</v>
      </c>
      <c r="M29" s="299" t="s">
        <v>261</v>
      </c>
      <c r="N29" s="299">
        <v>1</v>
      </c>
      <c r="O29" s="299"/>
      <c r="P29" s="299"/>
      <c r="Q29" s="299"/>
      <c r="R29" s="299"/>
      <c r="S29" s="299"/>
      <c r="T29" s="299"/>
      <c r="U29" s="299">
        <v>1</v>
      </c>
    </row>
    <row r="30" spans="1:21">
      <c r="A30" s="1" t="s">
        <v>262</v>
      </c>
      <c r="B30" s="164">
        <f>G13</f>
        <v>0.67275987543948612</v>
      </c>
      <c r="C30" s="39">
        <f>K13</f>
        <v>0.54335010726232091</v>
      </c>
      <c r="D30" s="149">
        <f>$C$30+($I$30-$C$30)*6/31</f>
        <v>0.63577580121517985</v>
      </c>
      <c r="E30" s="149">
        <f>$C$30+($I$30-$C$30)*11/31</f>
        <v>0.71279721284256237</v>
      </c>
      <c r="F30" s="149">
        <f>$C$30+($I$30-$C$30)*16/31</f>
        <v>0.78981862446994477</v>
      </c>
      <c r="G30" s="149">
        <f>$C$30+($I$30-$C$30)*21/31</f>
        <v>0.86684003609732718</v>
      </c>
      <c r="H30" s="149">
        <f>$C$30+($I$30-$C$30)*26/31</f>
        <v>0.94386144772470981</v>
      </c>
      <c r="I30" s="149">
        <f>I24*C30*I29*I27*C28/(C27*I28*C24)</f>
        <v>1.0208828593520922</v>
      </c>
      <c r="J30" s="297" t="s">
        <v>274</v>
      </c>
      <c r="K30" t="s">
        <v>427</v>
      </c>
      <c r="M30" s="30" t="s">
        <v>262</v>
      </c>
      <c r="N30" s="30">
        <v>273</v>
      </c>
      <c r="O30" s="30"/>
      <c r="P30" s="30"/>
      <c r="Q30" s="30"/>
      <c r="R30" s="30"/>
      <c r="S30" s="30"/>
      <c r="T30" s="30"/>
      <c r="U30" s="30">
        <v>406</v>
      </c>
    </row>
    <row r="31" spans="1:21">
      <c r="A31" s="299" t="s">
        <v>263</v>
      </c>
      <c r="B31" s="299">
        <f>G14</f>
        <v>0.76701110598431499</v>
      </c>
      <c r="C31" s="299">
        <f>K14</f>
        <v>0.73900188010909496</v>
      </c>
      <c r="D31" s="303">
        <f>$C$31+($I$31-$C$31)*6/31</f>
        <v>0.73460463468600568</v>
      </c>
      <c r="E31" s="303">
        <f>$C$31+($I$31-$C$31)*11/31</f>
        <v>0.73094026350009789</v>
      </c>
      <c r="F31" s="303">
        <f>$C$31+($I$31-$C$31)*16/31</f>
        <v>0.7272758923141901</v>
      </c>
      <c r="G31" s="303">
        <f>$C$31+($I$31-$C$31)*21/31</f>
        <v>0.72361152112828231</v>
      </c>
      <c r="H31" s="303">
        <f>$C$31+($I$31-$C$31)*26/31</f>
        <v>0.71994714994237463</v>
      </c>
      <c r="I31" s="303">
        <f>(I24*C31)/C24</f>
        <v>0.71628277875646684</v>
      </c>
      <c r="J31" s="301" t="s">
        <v>274</v>
      </c>
      <c r="K31" t="s">
        <v>427</v>
      </c>
      <c r="M31" s="30" t="s">
        <v>275</v>
      </c>
      <c r="N31" s="30">
        <v>67</v>
      </c>
      <c r="O31" s="30"/>
      <c r="P31" s="30"/>
      <c r="Q31" s="30"/>
      <c r="R31" s="30"/>
      <c r="S31" s="30"/>
      <c r="T31" s="30"/>
      <c r="U31" s="30">
        <v>71</v>
      </c>
    </row>
    <row r="32" spans="1:21">
      <c r="A32" s="1" t="s">
        <v>23</v>
      </c>
      <c r="B32" s="164">
        <f>G15</f>
        <v>1.4397709814238011</v>
      </c>
      <c r="C32" s="39">
        <f>SUM(C30:C31)</f>
        <v>1.282351987371416</v>
      </c>
      <c r="D32" s="149">
        <f t="shared" ref="D32:I32" si="2">SUM(D30:D31)</f>
        <v>1.3703804359011855</v>
      </c>
      <c r="E32" s="149">
        <f t="shared" si="2"/>
        <v>1.4437374763426603</v>
      </c>
      <c r="F32" s="149">
        <f t="shared" si="2"/>
        <v>1.5170945167841348</v>
      </c>
      <c r="G32" s="149">
        <f t="shared" si="2"/>
        <v>1.5904515572256095</v>
      </c>
      <c r="H32" s="149">
        <f t="shared" si="2"/>
        <v>1.6638085976670844</v>
      </c>
      <c r="I32" s="149">
        <f t="shared" si="2"/>
        <v>1.737165638108559</v>
      </c>
      <c r="J32" s="297"/>
      <c r="K32" t="s">
        <v>427</v>
      </c>
      <c r="M32" s="30" t="s">
        <v>23</v>
      </c>
      <c r="N32" s="30">
        <v>340</v>
      </c>
      <c r="O32" s="30"/>
      <c r="P32" s="30"/>
      <c r="Q32" s="30"/>
      <c r="R32" s="30"/>
      <c r="S32" s="30"/>
      <c r="T32" s="30"/>
      <c r="U32" s="30">
        <v>477</v>
      </c>
    </row>
    <row r="33" spans="1:21">
      <c r="A33" s="1" t="s">
        <v>266</v>
      </c>
      <c r="B33" s="30">
        <f>'Cadrage macroéconomique '!G6</f>
        <v>180</v>
      </c>
      <c r="C33" s="30">
        <f>'Cadrage macroéconomique '!B16</f>
        <v>180</v>
      </c>
      <c r="D33" s="43">
        <f>'Cadrage macroéconomique '!C16</f>
        <v>186.95895316510891</v>
      </c>
      <c r="E33" s="43">
        <f>'Cadrage macroéconomique '!D16</f>
        <v>194.6964701354955</v>
      </c>
      <c r="F33" s="43">
        <f>'Cadrage macroéconomique '!E16</f>
        <v>205.64296441594024</v>
      </c>
      <c r="G33" s="43">
        <f>'Cadrage macroéconomique '!F16</f>
        <v>218.94564153999835</v>
      </c>
      <c r="H33" s="43">
        <f>'Cadrage macroéconomique '!G16</f>
        <v>232.48124217964155</v>
      </c>
      <c r="I33" s="43">
        <f>'Cadrage macroéconomique '!H16</f>
        <v>244.90479872493827</v>
      </c>
      <c r="J33" s="297" t="s">
        <v>270</v>
      </c>
      <c r="K33" t="s">
        <v>427</v>
      </c>
      <c r="M33" s="30" t="s">
        <v>276</v>
      </c>
      <c r="N33" s="74" t="s">
        <v>277</v>
      </c>
      <c r="O33" s="30"/>
      <c r="P33" s="30"/>
      <c r="Q33" s="30"/>
      <c r="R33" s="30"/>
      <c r="S33" s="30"/>
      <c r="T33" s="30"/>
      <c r="U33" s="74" t="s">
        <v>160</v>
      </c>
    </row>
    <row r="34" spans="1:21">
      <c r="A34" s="541" t="s">
        <v>592</v>
      </c>
      <c r="B34" s="541"/>
      <c r="C34" s="541"/>
      <c r="D34" s="541"/>
      <c r="E34" s="541"/>
      <c r="F34" s="541"/>
      <c r="G34" s="541"/>
      <c r="H34" s="541"/>
      <c r="I34" s="541"/>
      <c r="J34" s="541"/>
      <c r="K34" t="s">
        <v>427</v>
      </c>
      <c r="O34">
        <v>30.35</v>
      </c>
      <c r="U34">
        <v>31.02</v>
      </c>
    </row>
    <row r="36" spans="1:21">
      <c r="A36" s="516" t="s">
        <v>158</v>
      </c>
      <c r="B36" s="516"/>
      <c r="C36" s="516"/>
      <c r="D36" s="516"/>
      <c r="E36" s="516"/>
      <c r="F36" s="516"/>
      <c r="G36" s="516"/>
      <c r="H36" s="516"/>
      <c r="I36" s="516"/>
      <c r="J36" s="516"/>
      <c r="K36" s="516"/>
      <c r="M36" s="516" t="s">
        <v>159</v>
      </c>
      <c r="N36" s="516"/>
      <c r="O36" s="516"/>
      <c r="P36" s="516"/>
      <c r="Q36" s="516"/>
      <c r="R36" s="516"/>
      <c r="S36" s="516"/>
      <c r="T36" s="516"/>
      <c r="U36" s="516"/>
    </row>
    <row r="38" spans="1:21">
      <c r="A38" s="30"/>
      <c r="B38" s="1">
        <v>2015</v>
      </c>
      <c r="C38" s="30">
        <v>2019</v>
      </c>
      <c r="D38" s="30">
        <v>2025</v>
      </c>
      <c r="E38" s="30">
        <v>2030</v>
      </c>
      <c r="F38" s="30">
        <v>2035</v>
      </c>
      <c r="G38" s="30">
        <v>2040</v>
      </c>
      <c r="H38" s="30">
        <v>2045</v>
      </c>
      <c r="I38" s="30">
        <v>2050</v>
      </c>
      <c r="J38" s="284" t="s">
        <v>405</v>
      </c>
      <c r="K38" t="s">
        <v>427</v>
      </c>
      <c r="M38" s="30"/>
      <c r="N38" s="73">
        <v>2010</v>
      </c>
      <c r="O38" s="30">
        <v>2020</v>
      </c>
      <c r="P38" s="30">
        <v>2025</v>
      </c>
      <c r="Q38" s="30">
        <v>2030</v>
      </c>
      <c r="R38" s="30">
        <v>2035</v>
      </c>
      <c r="S38" s="30">
        <v>2040</v>
      </c>
      <c r="T38" s="30">
        <v>2045</v>
      </c>
      <c r="U38" s="30">
        <v>2050</v>
      </c>
    </row>
    <row r="39" spans="1:21">
      <c r="A39" s="30" t="s">
        <v>254</v>
      </c>
      <c r="B39" s="310">
        <f>B24</f>
        <v>0</v>
      </c>
      <c r="C39" s="310">
        <f>C24</f>
        <v>11710</v>
      </c>
      <c r="D39" s="171">
        <f>'Cadrage macroéconomique '!$C$15*1000000</f>
        <v>11390</v>
      </c>
      <c r="E39" s="171">
        <f>'Cadrage macroéconomique '!$D$15*1000000</f>
        <v>11230</v>
      </c>
      <c r="F39" s="171">
        <f>'Cadrage macroéconomique '!$E$15*1000000</f>
        <v>11230</v>
      </c>
      <c r="G39" s="171">
        <f>'Cadrage macroéconomique '!$F$15*1000000</f>
        <v>11320</v>
      </c>
      <c r="H39" s="171">
        <f>'Cadrage macroéconomique '!$G$15*1000000</f>
        <v>11380.000000000002</v>
      </c>
      <c r="I39" s="171">
        <f>'Cadrage macroéconomique '!$H$15*1000000</f>
        <v>11349.999999999998</v>
      </c>
      <c r="J39" s="297" t="s">
        <v>270</v>
      </c>
      <c r="K39" t="s">
        <v>427</v>
      </c>
      <c r="M39" s="30" t="s">
        <v>254</v>
      </c>
      <c r="N39" s="30">
        <v>825</v>
      </c>
      <c r="O39" s="30"/>
      <c r="P39" s="30"/>
      <c r="Q39" s="30"/>
      <c r="R39" s="30"/>
      <c r="S39" s="30"/>
      <c r="T39" s="30"/>
      <c r="U39" s="30">
        <v>910</v>
      </c>
    </row>
    <row r="40" spans="1:21">
      <c r="A40" s="30" t="s">
        <v>255</v>
      </c>
      <c r="B40" s="310">
        <f t="shared" ref="B40:C48" si="3">B25</f>
        <v>3.85</v>
      </c>
      <c r="C40" s="310">
        <f t="shared" si="3"/>
        <v>3.8</v>
      </c>
      <c r="D40" s="155">
        <f t="shared" ref="D40:I40" si="4">D25</f>
        <v>3.7419354838709675</v>
      </c>
      <c r="E40" s="155">
        <f t="shared" si="4"/>
        <v>3.693548387096774</v>
      </c>
      <c r="F40" s="155">
        <f t="shared" si="4"/>
        <v>3.6451612903225805</v>
      </c>
      <c r="G40" s="155">
        <f t="shared" si="4"/>
        <v>3.596774193548387</v>
      </c>
      <c r="H40" s="155">
        <f t="shared" si="4"/>
        <v>3.5483870967741935</v>
      </c>
      <c r="I40" s="155">
        <f t="shared" si="4"/>
        <v>3.5</v>
      </c>
      <c r="J40" s="297" t="s">
        <v>271</v>
      </c>
      <c r="K40" t="s">
        <v>427</v>
      </c>
      <c r="M40" s="30" t="s">
        <v>255</v>
      </c>
      <c r="N40" s="30">
        <v>2.7</v>
      </c>
      <c r="O40" s="30"/>
      <c r="P40" s="30"/>
      <c r="Q40" s="30"/>
      <c r="R40" s="30"/>
      <c r="S40" s="30"/>
      <c r="T40" s="30"/>
      <c r="U40" s="30">
        <v>2.2000000000000002</v>
      </c>
    </row>
    <row r="41" spans="1:21">
      <c r="A41" s="30" t="s">
        <v>256</v>
      </c>
      <c r="B41" s="310">
        <f t="shared" si="3"/>
        <v>0</v>
      </c>
      <c r="C41" s="310">
        <f t="shared" si="3"/>
        <v>3081.5789473684213</v>
      </c>
      <c r="D41" s="146">
        <f t="shared" ref="D41:I41" si="5">D39/D40</f>
        <v>3043.8793103448279</v>
      </c>
      <c r="E41" s="146">
        <f t="shared" si="5"/>
        <v>3040.4366812227076</v>
      </c>
      <c r="F41" s="146">
        <f t="shared" si="5"/>
        <v>3080.7964601769913</v>
      </c>
      <c r="G41" s="146">
        <f t="shared" si="5"/>
        <v>3147.2645739910313</v>
      </c>
      <c r="H41" s="146">
        <f t="shared" si="5"/>
        <v>3207.0909090909095</v>
      </c>
      <c r="I41" s="146">
        <f t="shared" si="5"/>
        <v>3242.8571428571422</v>
      </c>
      <c r="J41" s="297" t="s">
        <v>271</v>
      </c>
      <c r="K41" t="s">
        <v>427</v>
      </c>
      <c r="M41" s="30" t="s">
        <v>256</v>
      </c>
      <c r="N41" s="30">
        <v>305.555555555556</v>
      </c>
      <c r="O41" s="30"/>
      <c r="P41" s="30"/>
      <c r="Q41" s="30"/>
      <c r="R41" s="30"/>
      <c r="S41" s="30"/>
      <c r="T41" s="30"/>
      <c r="U41" s="30">
        <v>413.63636363636402</v>
      </c>
    </row>
    <row r="42" spans="1:21">
      <c r="A42" s="30" t="s">
        <v>257</v>
      </c>
      <c r="B42" s="309">
        <f t="shared" si="3"/>
        <v>0.25142857142857145</v>
      </c>
      <c r="C42" s="310">
        <f t="shared" si="3"/>
        <v>0.26</v>
      </c>
      <c r="D42" s="123">
        <f>$C$42+($I$42-$C$42)*5/30</f>
        <v>0.3</v>
      </c>
      <c r="E42" s="123">
        <f>$C$42+($I$42-$C$42)*10/30</f>
        <v>0.34</v>
      </c>
      <c r="F42" s="123">
        <f>$C$42+($I$42-$C$42)*15/30</f>
        <v>0.38</v>
      </c>
      <c r="G42" s="123">
        <f>$C$42+($I$42-$C$42)*20/30</f>
        <v>0.42000000000000004</v>
      </c>
      <c r="H42" s="123">
        <f>$C$42+($I$42-$C$42)*25/30</f>
        <v>0.46</v>
      </c>
      <c r="I42" s="88">
        <f>U42</f>
        <v>0.5</v>
      </c>
      <c r="J42" s="312" t="s">
        <v>278</v>
      </c>
      <c r="K42" t="s">
        <v>427</v>
      </c>
      <c r="M42" s="30" t="s">
        <v>257</v>
      </c>
      <c r="N42" s="30">
        <v>0.23</v>
      </c>
      <c r="O42" s="30"/>
      <c r="P42" s="30"/>
      <c r="Q42" s="30"/>
      <c r="R42" s="30"/>
      <c r="S42" s="30"/>
      <c r="T42" s="30"/>
      <c r="U42" s="30">
        <v>0.5</v>
      </c>
    </row>
    <row r="43" spans="1:21" s="300" customFormat="1">
      <c r="A43" s="299" t="s">
        <v>259</v>
      </c>
      <c r="B43" s="310">
        <f t="shared" si="3"/>
        <v>3</v>
      </c>
      <c r="C43" s="310">
        <f t="shared" si="3"/>
        <v>3</v>
      </c>
      <c r="D43" s="299"/>
      <c r="E43" s="299"/>
      <c r="F43" s="299"/>
      <c r="G43" s="299"/>
      <c r="H43" s="299"/>
      <c r="I43" s="299">
        <v>6</v>
      </c>
      <c r="J43" s="301" t="s">
        <v>273</v>
      </c>
      <c r="K43" s="300" t="s">
        <v>427</v>
      </c>
      <c r="M43" s="299" t="s">
        <v>259</v>
      </c>
      <c r="N43" s="299">
        <v>3</v>
      </c>
      <c r="O43" s="299"/>
      <c r="P43" s="299"/>
      <c r="Q43" s="299">
        <v>6</v>
      </c>
      <c r="R43" s="299"/>
      <c r="S43" s="299"/>
      <c r="T43" s="299"/>
      <c r="U43" s="299">
        <v>6</v>
      </c>
    </row>
    <row r="44" spans="1:21" s="300" customFormat="1">
      <c r="A44" s="299" t="s">
        <v>261</v>
      </c>
      <c r="B44" s="310">
        <f t="shared" si="3"/>
        <v>1</v>
      </c>
      <c r="C44" s="310">
        <f t="shared" si="3"/>
        <v>1</v>
      </c>
      <c r="D44" s="299"/>
      <c r="E44" s="299"/>
      <c r="F44" s="299"/>
      <c r="G44" s="299"/>
      <c r="H44" s="299"/>
      <c r="I44" s="299">
        <f>U44</f>
        <v>1</v>
      </c>
      <c r="J44" s="301" t="s">
        <v>273</v>
      </c>
      <c r="K44" s="300" t="s">
        <v>427</v>
      </c>
      <c r="M44" s="299" t="s">
        <v>261</v>
      </c>
      <c r="N44" s="299">
        <v>1</v>
      </c>
      <c r="O44" s="299"/>
      <c r="P44" s="299"/>
      <c r="Q44" s="299">
        <v>1</v>
      </c>
      <c r="R44" s="299"/>
      <c r="S44" s="299"/>
      <c r="T44" s="299"/>
      <c r="U44" s="299">
        <v>1</v>
      </c>
    </row>
    <row r="45" spans="1:21">
      <c r="A45" s="1" t="s">
        <v>262</v>
      </c>
      <c r="B45" s="310">
        <f t="shared" si="3"/>
        <v>0.67275987543948612</v>
      </c>
      <c r="C45" s="310">
        <f t="shared" si="3"/>
        <v>0.54335010726232091</v>
      </c>
      <c r="D45" s="149">
        <f>$C$45+($I$45-$C$45)*6/31</f>
        <v>0.53619659757638127</v>
      </c>
      <c r="E45" s="149">
        <f>$C$45+($I$45-$C$45)*11/31</f>
        <v>0.53023533950476498</v>
      </c>
      <c r="F45" s="149">
        <f>$C$45+($I$45-$C$45)*16/31</f>
        <v>0.52427408143314869</v>
      </c>
      <c r="G45" s="149">
        <f>$C$45+($I$45-$C$45)*21/31</f>
        <v>0.51831282336153239</v>
      </c>
      <c r="H45" s="149">
        <f>$C$45+($I$45-$C$45)*26/31</f>
        <v>0.51235156528991599</v>
      </c>
      <c r="I45" s="149">
        <f>I39*C45*I44*I42*C43/(C42*I43*C39)</f>
        <v>0.5063903072182997</v>
      </c>
      <c r="J45" s="297" t="s">
        <v>274</v>
      </c>
      <c r="K45" t="s">
        <v>427</v>
      </c>
      <c r="M45" s="30" t="s">
        <v>262</v>
      </c>
      <c r="N45" s="30">
        <v>134.80000000000001</v>
      </c>
      <c r="O45" s="30"/>
      <c r="P45" s="30"/>
      <c r="Q45" s="30"/>
      <c r="R45" s="30"/>
      <c r="S45" s="30"/>
      <c r="T45" s="30"/>
      <c r="U45" s="30">
        <v>16.1617918313571</v>
      </c>
    </row>
    <row r="46" spans="1:21">
      <c r="A46" s="1" t="s">
        <v>263</v>
      </c>
      <c r="B46" s="310">
        <f t="shared" si="3"/>
        <v>0.76701110598431499</v>
      </c>
      <c r="C46" s="310">
        <f t="shared" si="3"/>
        <v>0.73900188010909496</v>
      </c>
      <c r="D46" s="149">
        <f>$C$46+($I$46-$C$46)*6/31</f>
        <v>0.73460463468600568</v>
      </c>
      <c r="E46" s="149">
        <f>$C$46+($I$46-$C$46)*11/31</f>
        <v>0.73094026350009789</v>
      </c>
      <c r="F46" s="149">
        <f>$C$46+($I$46-$C$46)*16/31</f>
        <v>0.7272758923141901</v>
      </c>
      <c r="G46" s="149">
        <f>$C$46+($I$46-$C$46)*21/31</f>
        <v>0.72361152112828231</v>
      </c>
      <c r="H46" s="149">
        <f>$C$46+($I$46-$C$46)*26/31</f>
        <v>0.71994714994237463</v>
      </c>
      <c r="I46" s="149">
        <f>(I39*C46)/C39</f>
        <v>0.71628277875646684</v>
      </c>
      <c r="J46" s="297" t="s">
        <v>274</v>
      </c>
      <c r="K46" t="s">
        <v>427</v>
      </c>
      <c r="M46" s="30" t="s">
        <v>275</v>
      </c>
      <c r="N46" s="30">
        <v>89</v>
      </c>
      <c r="O46" s="30"/>
      <c r="P46" s="30"/>
      <c r="Q46" s="30"/>
      <c r="R46" s="30"/>
      <c r="S46" s="30"/>
      <c r="T46" s="30"/>
      <c r="U46" s="30">
        <v>0</v>
      </c>
    </row>
    <row r="47" spans="1:21">
      <c r="A47" s="1" t="s">
        <v>23</v>
      </c>
      <c r="B47" s="310">
        <f t="shared" si="3"/>
        <v>1.4397709814238011</v>
      </c>
      <c r="C47" s="310">
        <f t="shared" si="3"/>
        <v>1.282351987371416</v>
      </c>
      <c r="D47" s="149">
        <f t="shared" ref="D47:I47" si="6">SUM(D45:D46)</f>
        <v>1.2708012322623869</v>
      </c>
      <c r="E47" s="149">
        <f t="shared" si="6"/>
        <v>1.2611756030048629</v>
      </c>
      <c r="F47" s="149">
        <f t="shared" si="6"/>
        <v>1.2515499737473388</v>
      </c>
      <c r="G47" s="149">
        <f t="shared" si="6"/>
        <v>1.2419243444898147</v>
      </c>
      <c r="H47" s="149">
        <f t="shared" si="6"/>
        <v>1.2322987152322906</v>
      </c>
      <c r="I47" s="149">
        <f t="shared" si="6"/>
        <v>1.2226730859747665</v>
      </c>
      <c r="J47" s="297"/>
      <c r="K47" t="s">
        <v>427</v>
      </c>
      <c r="M47" s="30" t="s">
        <v>23</v>
      </c>
      <c r="N47" s="30">
        <v>223.8</v>
      </c>
      <c r="O47" s="30"/>
      <c r="P47" s="30"/>
      <c r="Q47" s="30"/>
      <c r="R47" s="30"/>
      <c r="S47" s="30"/>
      <c r="T47" s="30"/>
      <c r="U47" s="30">
        <v>16.1617918313571</v>
      </c>
    </row>
    <row r="48" spans="1:21" ht="17.399999999999999" customHeight="1">
      <c r="A48" s="1" t="s">
        <v>266</v>
      </c>
      <c r="B48" s="310">
        <f t="shared" si="3"/>
        <v>180</v>
      </c>
      <c r="C48" s="310">
        <f t="shared" si="3"/>
        <v>180</v>
      </c>
      <c r="D48" s="146">
        <f t="shared" ref="D48:I48" si="7">D33</f>
        <v>186.95895316510891</v>
      </c>
      <c r="E48" s="171">
        <f t="shared" si="7"/>
        <v>194.6964701354955</v>
      </c>
      <c r="F48" s="171">
        <f t="shared" si="7"/>
        <v>205.64296441594024</v>
      </c>
      <c r="G48" s="171">
        <f t="shared" si="7"/>
        <v>218.94564153999835</v>
      </c>
      <c r="H48" s="171">
        <f t="shared" si="7"/>
        <v>232.48124217964155</v>
      </c>
      <c r="I48" s="171">
        <f t="shared" si="7"/>
        <v>244.90479872493827</v>
      </c>
      <c r="J48" s="297" t="s">
        <v>270</v>
      </c>
      <c r="K48" t="s">
        <v>427</v>
      </c>
      <c r="M48" s="30" t="s">
        <v>276</v>
      </c>
      <c r="N48" s="30">
        <v>15395.9448738097</v>
      </c>
      <c r="O48" s="30"/>
      <c r="P48" s="30"/>
      <c r="Q48" s="30"/>
      <c r="R48" s="30"/>
      <c r="S48" s="30"/>
      <c r="T48" s="30"/>
      <c r="U48" s="30">
        <v>40188</v>
      </c>
    </row>
    <row r="49" spans="1:12">
      <c r="A49" s="541" t="s">
        <v>431</v>
      </c>
      <c r="B49" s="541"/>
      <c r="C49" s="541"/>
      <c r="D49" s="541"/>
      <c r="E49" s="541"/>
      <c r="F49" s="541"/>
      <c r="G49" s="541"/>
      <c r="H49" s="541"/>
      <c r="I49" s="541"/>
      <c r="J49" s="541"/>
      <c r="K49" t="s">
        <v>427</v>
      </c>
    </row>
    <row r="51" spans="1:12">
      <c r="A51" s="544" t="s">
        <v>279</v>
      </c>
      <c r="B51" s="544"/>
      <c r="C51" s="544"/>
      <c r="D51" s="544"/>
      <c r="E51" s="544"/>
      <c r="F51" s="544"/>
      <c r="G51" s="544"/>
      <c r="H51" s="544"/>
      <c r="I51" s="544"/>
      <c r="J51" s="544"/>
      <c r="K51" s="544"/>
    </row>
    <row r="53" spans="1:12">
      <c r="A53" s="516" t="s">
        <v>55</v>
      </c>
      <c r="B53" s="516"/>
      <c r="C53" s="516"/>
      <c r="D53" s="516"/>
      <c r="E53" s="516"/>
      <c r="F53" s="516"/>
      <c r="G53" s="516"/>
      <c r="H53" s="516"/>
      <c r="I53" s="516"/>
      <c r="J53" s="516"/>
      <c r="K53" s="516"/>
    </row>
    <row r="54" spans="1:12">
      <c r="B54" t="s">
        <v>280</v>
      </c>
      <c r="C54" t="s">
        <v>281</v>
      </c>
    </row>
    <row r="55" spans="1:12">
      <c r="A55" s="156" t="s">
        <v>282</v>
      </c>
      <c r="B55" s="1">
        <v>2010</v>
      </c>
      <c r="C55" s="1">
        <v>2010</v>
      </c>
      <c r="E55" s="246" t="s">
        <v>457</v>
      </c>
      <c r="F55" s="246" t="s">
        <v>458</v>
      </c>
      <c r="G55" t="s">
        <v>427</v>
      </c>
      <c r="H55" s="246" t="s">
        <v>282</v>
      </c>
      <c r="I55" s="246" t="s">
        <v>459</v>
      </c>
    </row>
    <row r="56" spans="1:12">
      <c r="A56" s="1" t="s">
        <v>283</v>
      </c>
      <c r="B56" s="157">
        <v>0.04</v>
      </c>
      <c r="C56" s="158">
        <f>B56/B$63</f>
        <v>5.7142857142857141E-2</v>
      </c>
      <c r="E56" s="246" t="s">
        <v>43</v>
      </c>
      <c r="F56" s="346">
        <f>22%+34%</f>
        <v>0.56000000000000005</v>
      </c>
      <c r="H56" s="246" t="s">
        <v>460</v>
      </c>
      <c r="I56" s="347">
        <v>0.3</v>
      </c>
    </row>
    <row r="57" spans="1:12">
      <c r="A57" s="1" t="s">
        <v>284</v>
      </c>
      <c r="B57" s="157">
        <v>0.13</v>
      </c>
      <c r="C57" s="158">
        <f>B57/B$63</f>
        <v>0.18571428571428569</v>
      </c>
      <c r="E57" s="246" t="s">
        <v>44</v>
      </c>
      <c r="F57" s="346">
        <v>0.44</v>
      </c>
      <c r="H57" s="246" t="s">
        <v>284</v>
      </c>
      <c r="I57" s="347">
        <v>0.31</v>
      </c>
    </row>
    <row r="58" spans="1:12">
      <c r="A58" s="1" t="s">
        <v>285</v>
      </c>
      <c r="B58" s="157">
        <v>0.27</v>
      </c>
      <c r="C58" s="158">
        <f>B58/B$63</f>
        <v>0.38571428571428568</v>
      </c>
      <c r="E58" s="246" t="s">
        <v>41</v>
      </c>
      <c r="F58" s="346">
        <v>0</v>
      </c>
      <c r="H58" s="246" t="s">
        <v>461</v>
      </c>
      <c r="I58" s="347">
        <v>0.17</v>
      </c>
    </row>
    <row r="59" spans="1:12">
      <c r="A59" s="1" t="s">
        <v>286</v>
      </c>
      <c r="B59" s="157">
        <v>0.13</v>
      </c>
      <c r="C59" s="158">
        <f>B59/B$63</f>
        <v>0.18571428571428569</v>
      </c>
      <c r="G59" s="348"/>
      <c r="H59" s="246" t="s">
        <v>462</v>
      </c>
      <c r="I59" s="347">
        <v>0.05</v>
      </c>
    </row>
    <row r="60" spans="1:12">
      <c r="A60" s="1" t="s">
        <v>287</v>
      </c>
      <c r="B60" s="157">
        <v>0.13</v>
      </c>
      <c r="C60" s="158">
        <f>B60/B$63</f>
        <v>0.18571428571428569</v>
      </c>
      <c r="H60" s="246" t="s">
        <v>463</v>
      </c>
      <c r="I60" s="347">
        <v>0.02</v>
      </c>
    </row>
    <row r="61" spans="1:12">
      <c r="A61" s="1" t="s">
        <v>288</v>
      </c>
      <c r="B61" s="157">
        <v>0.3</v>
      </c>
      <c r="C61" s="1"/>
      <c r="H61" s="246" t="s">
        <v>464</v>
      </c>
      <c r="I61" s="347">
        <v>0.15</v>
      </c>
    </row>
    <row r="62" spans="1:12">
      <c r="A62" s="159" t="s">
        <v>23</v>
      </c>
      <c r="B62" s="160">
        <f>SUM(B56:B61)</f>
        <v>1</v>
      </c>
      <c r="C62" s="160">
        <f>SUM(C56:C61)</f>
        <v>1</v>
      </c>
    </row>
    <row r="63" spans="1:12">
      <c r="A63" s="161" t="s">
        <v>289</v>
      </c>
      <c r="B63" s="162">
        <f>SUM(B56:B60)</f>
        <v>0.70000000000000007</v>
      </c>
      <c r="C63" s="161"/>
      <c r="D63" s="35"/>
      <c r="E63" s="35"/>
      <c r="F63" s="35"/>
      <c r="G63" s="35"/>
      <c r="H63" s="35"/>
      <c r="I63" s="35"/>
      <c r="J63" s="35"/>
      <c r="K63" s="35"/>
      <c r="L63" s="35"/>
    </row>
    <row r="64" spans="1:12">
      <c r="A64" s="161"/>
      <c r="B64" s="162"/>
      <c r="C64" s="161"/>
      <c r="D64" s="35"/>
      <c r="E64" s="35"/>
      <c r="F64" s="35"/>
      <c r="G64" s="35"/>
      <c r="H64" s="35"/>
      <c r="I64" s="35"/>
      <c r="J64" s="35"/>
      <c r="K64" s="35"/>
      <c r="L64" s="35"/>
    </row>
    <row r="65" spans="1:24">
      <c r="A65" s="516" t="s">
        <v>152</v>
      </c>
      <c r="B65" s="516"/>
      <c r="C65" s="516"/>
      <c r="D65" s="516"/>
      <c r="E65" s="516"/>
      <c r="F65" s="516"/>
      <c r="G65" s="516"/>
      <c r="H65" s="516"/>
      <c r="I65" s="516"/>
      <c r="J65" s="516"/>
      <c r="K65" s="516"/>
      <c r="M65" s="516" t="s">
        <v>153</v>
      </c>
      <c r="N65" s="516"/>
      <c r="O65" s="516"/>
      <c r="P65" s="516"/>
      <c r="Q65" s="516"/>
      <c r="R65" s="516"/>
      <c r="S65" s="516"/>
      <c r="T65" s="516"/>
      <c r="U65" s="516"/>
    </row>
    <row r="67" spans="1:24">
      <c r="A67" s="433" t="s">
        <v>282</v>
      </c>
      <c r="B67" s="299">
        <v>2019</v>
      </c>
      <c r="C67" s="299">
        <v>2020</v>
      </c>
      <c r="D67" s="299">
        <v>2025</v>
      </c>
      <c r="E67" s="299">
        <v>2030</v>
      </c>
      <c r="F67" s="299">
        <v>2035</v>
      </c>
      <c r="G67" s="299">
        <v>2040</v>
      </c>
      <c r="H67" s="299">
        <v>2045</v>
      </c>
      <c r="I67" s="299">
        <v>2050</v>
      </c>
      <c r="J67" s="299" t="s">
        <v>290</v>
      </c>
      <c r="K67" s="299" t="s">
        <v>291</v>
      </c>
      <c r="M67" s="92" t="s">
        <v>282</v>
      </c>
      <c r="N67" s="30">
        <v>2015</v>
      </c>
      <c r="O67" s="30">
        <v>2020</v>
      </c>
      <c r="P67" s="30">
        <v>2025</v>
      </c>
      <c r="Q67" s="30">
        <v>2030</v>
      </c>
      <c r="R67" s="30">
        <v>2035</v>
      </c>
      <c r="S67" s="30">
        <v>2040</v>
      </c>
      <c r="T67" s="30">
        <v>2045</v>
      </c>
      <c r="U67" s="30">
        <v>2050</v>
      </c>
      <c r="W67" t="s">
        <v>290</v>
      </c>
      <c r="X67" t="s">
        <v>291</v>
      </c>
    </row>
    <row r="68" spans="1:24">
      <c r="A68" s="299" t="s">
        <v>283</v>
      </c>
      <c r="B68" s="434">
        <f>B$74*$B56</f>
        <v>0.40230035955675675</v>
      </c>
      <c r="C68" s="434">
        <f>C$74*$B56</f>
        <v>0.40230035955675675</v>
      </c>
      <c r="D68" s="434">
        <f t="shared" ref="D68:D73" si="8">$B68+($I68-$B68)*6/31</f>
        <v>0.3449207047994477</v>
      </c>
      <c r="E68" s="434">
        <f t="shared" ref="E68:E73" si="9">$B68+($I68-$B68)*11/31</f>
        <v>0.29710432583502344</v>
      </c>
      <c r="F68" s="434">
        <f t="shared" ref="F68:F73" si="10">$B68+($I68-$B68)*16/31</f>
        <v>0.24928794687059921</v>
      </c>
      <c r="G68" s="434">
        <f t="shared" ref="G68:G73" si="11">$B68+($I68-$B68)*21/31</f>
        <v>0.20147156790617499</v>
      </c>
      <c r="H68" s="434">
        <f t="shared" ref="H68:H73" si="12">$B68+($I68-$B68)*26/31</f>
        <v>0.15365518894175076</v>
      </c>
      <c r="I68" s="434">
        <f t="shared" ref="I68:I73" si="13">B68*J68*K68</f>
        <v>0.10583880997732653</v>
      </c>
      <c r="J68" s="299">
        <v>0.25</v>
      </c>
      <c r="K68" s="303">
        <f>I26/C26</f>
        <v>1.0523362205685003</v>
      </c>
      <c r="M68" s="30" t="s">
        <v>283</v>
      </c>
      <c r="N68" s="30">
        <v>51</v>
      </c>
      <c r="O68" s="30"/>
      <c r="P68" s="30"/>
      <c r="Q68" s="30"/>
      <c r="R68" s="30"/>
      <c r="S68" s="30"/>
      <c r="T68" s="30"/>
      <c r="U68" s="30">
        <v>17</v>
      </c>
      <c r="W68">
        <v>0.25</v>
      </c>
      <c r="X68">
        <v>1.29812437895094</v>
      </c>
    </row>
    <row r="69" spans="1:24">
      <c r="A69" s="299" t="s">
        <v>284</v>
      </c>
      <c r="B69" s="434">
        <f>B$74*B57</f>
        <v>1.3074761685594594</v>
      </c>
      <c r="C69" s="434">
        <f>C$74*$B57</f>
        <v>1.3074761685594594</v>
      </c>
      <c r="D69" s="434">
        <f t="shared" si="8"/>
        <v>1.246155218784295</v>
      </c>
      <c r="E69" s="434">
        <f t="shared" si="9"/>
        <v>1.1950544273049912</v>
      </c>
      <c r="F69" s="434">
        <f t="shared" si="10"/>
        <v>1.1439536358256874</v>
      </c>
      <c r="G69" s="434">
        <f t="shared" si="11"/>
        <v>1.0928528443463839</v>
      </c>
      <c r="H69" s="434">
        <f t="shared" si="12"/>
        <v>1.0417520528670803</v>
      </c>
      <c r="I69" s="434">
        <f t="shared" si="13"/>
        <v>0.99065126138777648</v>
      </c>
      <c r="J69" s="299">
        <v>0.9</v>
      </c>
      <c r="K69" s="303">
        <f>0.8*I26/C26</f>
        <v>0.8418689764548003</v>
      </c>
      <c r="M69" s="30" t="s">
        <v>284</v>
      </c>
      <c r="N69" s="30">
        <v>175</v>
      </c>
      <c r="O69" s="30"/>
      <c r="P69" s="30"/>
      <c r="Q69" s="30"/>
      <c r="R69" s="30"/>
      <c r="S69" s="30"/>
      <c r="T69" s="30"/>
      <c r="U69" s="30">
        <v>133</v>
      </c>
      <c r="W69">
        <v>0.9</v>
      </c>
      <c r="X69">
        <v>0.84618478035320199</v>
      </c>
    </row>
    <row r="70" spans="1:24">
      <c r="A70" s="299" t="s">
        <v>285</v>
      </c>
      <c r="B70" s="434">
        <f>B$74*B58</f>
        <v>2.7155274270081082</v>
      </c>
      <c r="C70" s="434">
        <f>C$74*$B58</f>
        <v>2.7155274270081082</v>
      </c>
      <c r="D70" s="434">
        <f t="shared" si="8"/>
        <v>2.4111787277978536</v>
      </c>
      <c r="E70" s="434">
        <f t="shared" si="9"/>
        <v>2.1575548117893084</v>
      </c>
      <c r="F70" s="434">
        <f t="shared" si="10"/>
        <v>1.9039308957807628</v>
      </c>
      <c r="G70" s="434">
        <f t="shared" si="11"/>
        <v>1.6503069797722176</v>
      </c>
      <c r="H70" s="434">
        <f t="shared" si="12"/>
        <v>1.396683063763672</v>
      </c>
      <c r="I70" s="434">
        <f t="shared" si="13"/>
        <v>1.1430591477551266</v>
      </c>
      <c r="J70" s="299">
        <v>0.4</v>
      </c>
      <c r="K70" s="303">
        <f>I26/C26</f>
        <v>1.0523362205685003</v>
      </c>
      <c r="M70" s="30" t="s">
        <v>285</v>
      </c>
      <c r="N70" s="30">
        <v>360</v>
      </c>
      <c r="O70" s="30"/>
      <c r="P70" s="30"/>
      <c r="Q70" s="30"/>
      <c r="R70" s="30"/>
      <c r="S70" s="30"/>
      <c r="T70" s="30"/>
      <c r="U70" s="30">
        <v>224</v>
      </c>
      <c r="W70">
        <v>0.4</v>
      </c>
      <c r="X70">
        <v>1.55774925474112</v>
      </c>
    </row>
    <row r="71" spans="1:24">
      <c r="A71" s="299" t="s">
        <v>292</v>
      </c>
      <c r="B71" s="434">
        <f>B$74*B59</f>
        <v>1.3074761685594594</v>
      </c>
      <c r="C71" s="434">
        <f>C$74*$B59</f>
        <v>1.3074761685594594</v>
      </c>
      <c r="D71" s="434">
        <f t="shared" si="8"/>
        <v>1.1875683162291037</v>
      </c>
      <c r="E71" s="434">
        <f t="shared" si="9"/>
        <v>1.0876451059538075</v>
      </c>
      <c r="F71" s="434">
        <f t="shared" si="10"/>
        <v>0.98772189567851121</v>
      </c>
      <c r="G71" s="434">
        <f t="shared" si="11"/>
        <v>0.88779868540321494</v>
      </c>
      <c r="H71" s="434">
        <f t="shared" si="12"/>
        <v>0.78787547512791867</v>
      </c>
      <c r="I71" s="434">
        <f t="shared" si="13"/>
        <v>0.6879522648526224</v>
      </c>
      <c r="J71" s="299">
        <v>0.5</v>
      </c>
      <c r="K71" s="303">
        <f>I26/C26</f>
        <v>1.0523362205685003</v>
      </c>
      <c r="M71" s="30" t="s">
        <v>292</v>
      </c>
      <c r="N71" s="30">
        <v>164</v>
      </c>
      <c r="O71" s="30"/>
      <c r="P71" s="30"/>
      <c r="Q71" s="30"/>
      <c r="R71" s="30"/>
      <c r="S71" s="30"/>
      <c r="T71" s="30"/>
      <c r="U71" s="30">
        <v>117</v>
      </c>
      <c r="W71">
        <v>0.5</v>
      </c>
      <c r="X71">
        <v>1.42793681684603</v>
      </c>
    </row>
    <row r="72" spans="1:24">
      <c r="A72" s="299" t="s">
        <v>287</v>
      </c>
      <c r="B72" s="434">
        <f>B$74*B60</f>
        <v>1.3074761685594594</v>
      </c>
      <c r="C72" s="434">
        <f>C$74*$B60</f>
        <v>1.3074761685594594</v>
      </c>
      <c r="D72" s="434">
        <f t="shared" si="8"/>
        <v>1.250640340511008</v>
      </c>
      <c r="E72" s="434">
        <f t="shared" si="9"/>
        <v>1.2032771504706321</v>
      </c>
      <c r="F72" s="434">
        <f t="shared" si="10"/>
        <v>1.1559139604302562</v>
      </c>
      <c r="G72" s="434">
        <f t="shared" si="11"/>
        <v>1.10855077038988</v>
      </c>
      <c r="H72" s="434">
        <f t="shared" si="12"/>
        <v>1.0611875803495039</v>
      </c>
      <c r="I72" s="434">
        <f t="shared" si="13"/>
        <v>1.013824390309128</v>
      </c>
      <c r="J72" s="299">
        <v>0.8</v>
      </c>
      <c r="K72" s="303">
        <f>I24/C24</f>
        <v>0.96925704526046097</v>
      </c>
      <c r="M72" s="30" t="s">
        <v>287</v>
      </c>
      <c r="N72" s="30">
        <v>164</v>
      </c>
      <c r="O72" s="30"/>
      <c r="P72" s="30"/>
      <c r="Q72" s="30"/>
      <c r="R72" s="30"/>
      <c r="S72" s="30"/>
      <c r="T72" s="30"/>
      <c r="U72" s="30">
        <v>139</v>
      </c>
      <c r="W72">
        <v>0.8</v>
      </c>
      <c r="X72">
        <v>1.0577309754415001</v>
      </c>
    </row>
    <row r="73" spans="1:24" s="357" customFormat="1">
      <c r="A73" s="299" t="s">
        <v>461</v>
      </c>
      <c r="B73" s="434">
        <f>B61*B74</f>
        <v>3.0172526966756754</v>
      </c>
      <c r="C73" s="434">
        <f>C74*B61</f>
        <v>3.0172526966756754</v>
      </c>
      <c r="D73" s="434">
        <f t="shared" si="8"/>
        <v>3.6245458274857261</v>
      </c>
      <c r="E73" s="434">
        <f t="shared" si="9"/>
        <v>4.1306234364941012</v>
      </c>
      <c r="F73" s="434">
        <f t="shared" si="10"/>
        <v>4.6367010455024769</v>
      </c>
      <c r="G73" s="434">
        <f t="shared" si="11"/>
        <v>5.1427786545108525</v>
      </c>
      <c r="H73" s="434">
        <f t="shared" si="12"/>
        <v>5.6488562635192281</v>
      </c>
      <c r="I73" s="434">
        <f t="shared" si="13"/>
        <v>6.1549338725276037</v>
      </c>
      <c r="J73" s="299">
        <v>0.6</v>
      </c>
      <c r="K73" s="303">
        <f>I26*I27*I29/(C26*C27*C29)</f>
        <v>3.3998554818366933</v>
      </c>
      <c r="M73" s="30"/>
      <c r="N73" s="30"/>
      <c r="O73" s="30"/>
      <c r="P73" s="30"/>
      <c r="Q73" s="30"/>
      <c r="R73" s="30"/>
      <c r="S73" s="30"/>
      <c r="T73" s="30"/>
      <c r="U73" s="30"/>
    </row>
    <row r="74" spans="1:24">
      <c r="A74" s="435" t="s">
        <v>23</v>
      </c>
      <c r="B74" s="436">
        <f>B79</f>
        <v>10.057508988918919</v>
      </c>
      <c r="C74" s="437">
        <f>C79</f>
        <v>10.057508988918919</v>
      </c>
      <c r="D74" s="437">
        <f t="shared" ref="D74:I74" si="14">SUM(D68:D73)</f>
        <v>10.065009135607434</v>
      </c>
      <c r="E74" s="437">
        <f t="shared" si="14"/>
        <v>10.071259257847863</v>
      </c>
      <c r="F74" s="437">
        <f t="shared" si="14"/>
        <v>10.077509380088294</v>
      </c>
      <c r="G74" s="437">
        <f t="shared" si="14"/>
        <v>10.083759502328725</v>
      </c>
      <c r="H74" s="437">
        <f t="shared" si="14"/>
        <v>10.090009624569154</v>
      </c>
      <c r="I74" s="437">
        <f t="shared" si="14"/>
        <v>10.096259746809583</v>
      </c>
      <c r="J74" s="299"/>
      <c r="K74" s="299"/>
      <c r="M74" s="72" t="s">
        <v>23</v>
      </c>
      <c r="N74" s="91" t="s">
        <v>161</v>
      </c>
      <c r="O74" s="72"/>
      <c r="P74" s="72"/>
      <c r="Q74" s="72"/>
      <c r="R74" s="72"/>
      <c r="S74" s="72"/>
      <c r="T74" s="72"/>
      <c r="U74" s="91" t="s">
        <v>293</v>
      </c>
    </row>
    <row r="75" spans="1:24" ht="27" customHeight="1">
      <c r="A75" s="525" t="s">
        <v>512</v>
      </c>
      <c r="B75" s="525"/>
      <c r="C75" s="525"/>
      <c r="D75" s="525"/>
      <c r="E75" s="525"/>
      <c r="F75" s="525"/>
      <c r="G75" s="525"/>
      <c r="H75" s="525"/>
      <c r="I75" s="525"/>
      <c r="J75" s="525"/>
      <c r="K75" s="525"/>
      <c r="W75" t="s">
        <v>294</v>
      </c>
      <c r="X75" t="s">
        <v>295</v>
      </c>
    </row>
    <row r="76" spans="1:24">
      <c r="A76" s="311"/>
      <c r="B76" s="311"/>
      <c r="C76" s="311"/>
      <c r="D76" s="311"/>
      <c r="E76" s="311"/>
      <c r="F76" s="311"/>
      <c r="G76" s="311"/>
      <c r="H76" s="311"/>
      <c r="I76" s="311"/>
      <c r="J76" s="311"/>
      <c r="K76" s="311"/>
    </row>
    <row r="77" spans="1:24">
      <c r="A77" s="438" t="s">
        <v>465</v>
      </c>
      <c r="B77" s="438">
        <v>2019</v>
      </c>
      <c r="C77" s="438">
        <v>2020</v>
      </c>
      <c r="D77" s="438">
        <v>2025</v>
      </c>
      <c r="E77" s="438">
        <v>2030</v>
      </c>
      <c r="F77" s="438">
        <v>2035</v>
      </c>
      <c r="G77" s="438">
        <v>2040</v>
      </c>
      <c r="H77" s="438">
        <v>2045</v>
      </c>
      <c r="I77" s="438">
        <v>2050</v>
      </c>
      <c r="J77" s="438" t="s">
        <v>405</v>
      </c>
      <c r="K77" s="311"/>
    </row>
    <row r="78" spans="1:24">
      <c r="A78" s="438" t="s">
        <v>466</v>
      </c>
      <c r="B78" s="438">
        <v>0</v>
      </c>
      <c r="C78" s="438">
        <v>0</v>
      </c>
      <c r="D78" s="438">
        <v>150</v>
      </c>
      <c r="E78" s="438">
        <v>235</v>
      </c>
      <c r="F78" s="438">
        <v>270</v>
      </c>
      <c r="G78" s="438">
        <v>280</v>
      </c>
      <c r="H78" s="438">
        <v>285</v>
      </c>
      <c r="I78" s="438">
        <v>288</v>
      </c>
      <c r="J78" s="438"/>
      <c r="K78" s="311"/>
    </row>
    <row r="79" spans="1:24">
      <c r="A79" s="438" t="s">
        <v>467</v>
      </c>
      <c r="B79" s="439">
        <f>'Bilan d''énergie SDES historique'!Q30</f>
        <v>10.057508988918919</v>
      </c>
      <c r="C79" s="439">
        <f>B79</f>
        <v>10.057508988918919</v>
      </c>
      <c r="D79" s="439">
        <f t="shared" ref="D79:I79" si="15">($B$79-D78*$F$56*(1-$I$58))*D$26/$C$26</f>
        <v>-58.932587836943057</v>
      </c>
      <c r="E79" s="439">
        <f t="shared" si="15"/>
        <v>-97.846462386578935</v>
      </c>
      <c r="F79" s="439">
        <f t="shared" si="15"/>
        <v>-115.40917839499792</v>
      </c>
      <c r="G79" s="439">
        <f t="shared" si="15"/>
        <v>-122.64620359534226</v>
      </c>
      <c r="H79" s="439">
        <f t="shared" si="15"/>
        <v>-127.39624056500189</v>
      </c>
      <c r="I79" s="439">
        <f t="shared" si="15"/>
        <v>-130.28437109449618</v>
      </c>
      <c r="J79" s="438"/>
      <c r="K79" s="311"/>
    </row>
    <row r="80" spans="1:24" ht="45" customHeight="1">
      <c r="A80" s="545" t="s">
        <v>476</v>
      </c>
      <c r="B80" s="545"/>
      <c r="C80" s="545"/>
      <c r="D80" s="545"/>
      <c r="E80" s="545"/>
      <c r="F80" s="545"/>
      <c r="G80" s="545"/>
      <c r="H80" s="545"/>
      <c r="I80" s="545"/>
      <c r="J80" s="545"/>
      <c r="K80" s="311"/>
    </row>
    <row r="81" spans="1:24">
      <c r="A81" s="311"/>
      <c r="B81" s="311"/>
      <c r="C81" s="311"/>
      <c r="D81" s="311"/>
      <c r="E81" s="311"/>
      <c r="F81" s="311"/>
      <c r="G81" s="311"/>
      <c r="H81" s="311"/>
      <c r="I81" s="311"/>
      <c r="J81" s="311"/>
      <c r="K81" s="311"/>
    </row>
    <row r="82" spans="1:24">
      <c r="A82" s="516" t="s">
        <v>158</v>
      </c>
      <c r="B82" s="516"/>
      <c r="C82" s="516"/>
      <c r="D82" s="516"/>
      <c r="E82" s="516"/>
      <c r="F82" s="516"/>
      <c r="G82" s="516"/>
      <c r="H82" s="516"/>
      <c r="I82" s="516"/>
      <c r="J82" s="516"/>
      <c r="K82" s="516"/>
      <c r="M82" s="516" t="s">
        <v>159</v>
      </c>
      <c r="N82" s="516"/>
      <c r="O82" s="516"/>
      <c r="P82" s="516"/>
      <c r="Q82" s="516"/>
      <c r="R82" s="516"/>
      <c r="S82" s="516"/>
      <c r="T82" s="516"/>
      <c r="U82" s="516"/>
    </row>
    <row r="84" spans="1:24">
      <c r="A84" s="163" t="s">
        <v>282</v>
      </c>
      <c r="B84" s="1">
        <v>2019</v>
      </c>
      <c r="C84" s="30">
        <v>2020</v>
      </c>
      <c r="D84" s="30">
        <v>2025</v>
      </c>
      <c r="E84" s="30">
        <v>2030</v>
      </c>
      <c r="F84" s="30">
        <v>2035</v>
      </c>
      <c r="G84" s="30">
        <v>2040</v>
      </c>
      <c r="H84" s="30">
        <v>2045</v>
      </c>
      <c r="I84" s="30">
        <v>2050</v>
      </c>
      <c r="J84" s="1" t="s">
        <v>290</v>
      </c>
      <c r="K84" s="1" t="s">
        <v>291</v>
      </c>
      <c r="M84" s="92" t="s">
        <v>282</v>
      </c>
      <c r="N84" s="30">
        <v>2015</v>
      </c>
      <c r="O84" s="30">
        <v>2020</v>
      </c>
      <c r="P84" s="30">
        <v>2025</v>
      </c>
      <c r="Q84" s="30">
        <v>2030</v>
      </c>
      <c r="R84" s="30">
        <v>2035</v>
      </c>
      <c r="S84" s="30">
        <v>2040</v>
      </c>
      <c r="T84" s="30">
        <v>2045</v>
      </c>
      <c r="U84" s="30">
        <v>2050</v>
      </c>
      <c r="W84" t="s">
        <v>290</v>
      </c>
      <c r="X84" t="s">
        <v>291</v>
      </c>
    </row>
    <row r="85" spans="1:24">
      <c r="A85" s="30" t="s">
        <v>283</v>
      </c>
      <c r="B85" s="155">
        <f>B$90*$C56</f>
        <v>0.57471479936679537</v>
      </c>
      <c r="C85" s="152">
        <f>$B85+($I85-$B85)*5/35</f>
        <v>0.51421244230976881</v>
      </c>
      <c r="D85" s="152">
        <f>$B85+($I85-$B85)*6/31</f>
        <v>0.492743863999211</v>
      </c>
      <c r="E85" s="152">
        <f>$B85+($I85-$B85)*11/31</f>
        <v>0.42443475119289065</v>
      </c>
      <c r="F85" s="152">
        <f>$B85+($I85-$B85)*16/31</f>
        <v>0.3561256383865703</v>
      </c>
      <c r="G85" s="152">
        <f>$B85+($I85-$B85)*21/31</f>
        <v>0.28781652558025</v>
      </c>
      <c r="H85" s="152">
        <f>$B85+($I85-$B85)*26/31</f>
        <v>0.21950741277392966</v>
      </c>
      <c r="I85" s="149">
        <f>B85*J85*K85</f>
        <v>0.15119829996760933</v>
      </c>
      <c r="J85" s="1">
        <v>0.25</v>
      </c>
      <c r="K85" s="164">
        <f>I41/C41</f>
        <v>1.0523362205685003</v>
      </c>
      <c r="M85" s="30" t="s">
        <v>283</v>
      </c>
      <c r="N85" s="30">
        <v>51.404494382022499</v>
      </c>
      <c r="O85" s="30"/>
      <c r="P85" s="30"/>
      <c r="Q85" s="30"/>
      <c r="R85" s="30"/>
      <c r="S85" s="30"/>
      <c r="T85" s="30"/>
      <c r="U85" s="30">
        <v>17.396810288791901</v>
      </c>
      <c r="W85">
        <v>0.25</v>
      </c>
      <c r="X85">
        <v>1.3537190082644599</v>
      </c>
    </row>
    <row r="86" spans="1:24">
      <c r="A86" s="30" t="s">
        <v>284</v>
      </c>
      <c r="B86" s="155">
        <f>B$90*$C57</f>
        <v>1.8678230979420847</v>
      </c>
      <c r="C86" s="152">
        <f>$B86+($I86-$B86)*5/35</f>
        <v>1.803164953621333</v>
      </c>
      <c r="D86" s="152">
        <f>$B86+($I86-$B86)*6/31</f>
        <v>1.7802217411204211</v>
      </c>
      <c r="E86" s="152">
        <f>$B86+($I86-$B86)*11/31</f>
        <v>1.7072206104357017</v>
      </c>
      <c r="F86" s="152">
        <f>$B86+($I86-$B86)*16/31</f>
        <v>1.6342194797509821</v>
      </c>
      <c r="G86" s="152">
        <f>$B86+($I86-$B86)*21/31</f>
        <v>1.5612183490662626</v>
      </c>
      <c r="H86" s="152">
        <f>$B86+($I86-$B86)*26/31</f>
        <v>1.488217218381543</v>
      </c>
      <c r="I86" s="149">
        <f>B86*J86*K86</f>
        <v>1.4152160876968234</v>
      </c>
      <c r="J86" s="1">
        <v>0.9</v>
      </c>
      <c r="K86" s="164">
        <f>0.8*I41/C41</f>
        <v>0.8418689764548003</v>
      </c>
      <c r="M86" s="30" t="s">
        <v>284</v>
      </c>
      <c r="N86" s="30">
        <v>174.77528089887599</v>
      </c>
      <c r="O86" s="30"/>
      <c r="P86" s="30"/>
      <c r="Q86" s="30"/>
      <c r="R86" s="30"/>
      <c r="S86" s="30"/>
      <c r="T86" s="30"/>
      <c r="U86" s="30">
        <v>138.80335035750801</v>
      </c>
      <c r="W86">
        <v>0.9</v>
      </c>
      <c r="X86">
        <v>0.882424242424242</v>
      </c>
    </row>
    <row r="87" spans="1:24">
      <c r="A87" s="30" t="s">
        <v>285</v>
      </c>
      <c r="B87" s="155">
        <f>B$90*$C58</f>
        <v>3.8793248957258681</v>
      </c>
      <c r="C87" s="152">
        <f>$B87+($I87-$B87)*5/35</f>
        <v>3.6050684774193464</v>
      </c>
      <c r="D87" s="152">
        <f>$B87+($I87-$B87)*6/31</f>
        <v>3.5077516838267098</v>
      </c>
      <c r="E87" s="152">
        <f>$B87+($I87-$B87)*11/31</f>
        <v>3.1981073405774114</v>
      </c>
      <c r="F87" s="152">
        <f>$B87+($I87-$B87)*16/31</f>
        <v>2.8884629973281126</v>
      </c>
      <c r="G87" s="152">
        <f>$B87+($I87-$B87)*21/31</f>
        <v>2.5788186540788143</v>
      </c>
      <c r="H87" s="152">
        <f>$B87+($I87-$B87)*26/31</f>
        <v>2.2691743108295155</v>
      </c>
      <c r="I87" s="149">
        <f>B87*J87*K87</f>
        <v>1.9595299675802171</v>
      </c>
      <c r="J87" s="1">
        <v>0.4</v>
      </c>
      <c r="K87" s="164">
        <f>1.2*I41/C41</f>
        <v>1.2628034646822004</v>
      </c>
      <c r="M87" s="30" t="s">
        <v>285</v>
      </c>
      <c r="N87" s="30">
        <v>359.83146067415697</v>
      </c>
      <c r="O87" s="30"/>
      <c r="P87" s="30"/>
      <c r="Q87" s="30"/>
      <c r="R87" s="30"/>
      <c r="S87" s="30"/>
      <c r="T87" s="30"/>
      <c r="U87" s="30">
        <v>233.81313028136401</v>
      </c>
      <c r="W87">
        <v>0.4</v>
      </c>
      <c r="X87">
        <v>1.6244628099173599</v>
      </c>
    </row>
    <row r="88" spans="1:24">
      <c r="A88" s="30" t="s">
        <v>292</v>
      </c>
      <c r="B88" s="155">
        <f>B$90*$C59</f>
        <v>1.8678230979420847</v>
      </c>
      <c r="C88" s="152">
        <f>$B88+($I88-$B88)*5/35</f>
        <v>1.7554294903458449</v>
      </c>
      <c r="D88" s="152">
        <f>$B88+($I88-$B88)*6/31</f>
        <v>1.7155478876504051</v>
      </c>
      <c r="E88" s="152">
        <f>$B88+($I88-$B88)*11/31</f>
        <v>1.5886518790740056</v>
      </c>
      <c r="F88" s="152">
        <f>$B88+($I88-$B88)*16/31</f>
        <v>1.4617558704976059</v>
      </c>
      <c r="G88" s="152">
        <f>$B88+($I88-$B88)*21/31</f>
        <v>1.3348598619212062</v>
      </c>
      <c r="H88" s="152">
        <f>$B88+($I88-$B88)*26/31</f>
        <v>1.2079638533448067</v>
      </c>
      <c r="I88" s="149">
        <f>B88*J88*K88</f>
        <v>1.081067844768407</v>
      </c>
      <c r="J88" s="1">
        <v>0.5</v>
      </c>
      <c r="K88" s="164">
        <f>1.1*I41/C41</f>
        <v>1.1575698426253507</v>
      </c>
      <c r="M88" s="30" t="s">
        <v>292</v>
      </c>
      <c r="N88" s="30">
        <v>164.494382022472</v>
      </c>
      <c r="O88" s="30"/>
      <c r="P88" s="30"/>
      <c r="Q88" s="30"/>
      <c r="R88" s="30"/>
      <c r="S88" s="30"/>
      <c r="T88" s="30"/>
      <c r="U88" s="30">
        <v>122.473544433095</v>
      </c>
      <c r="W88">
        <v>0.5</v>
      </c>
      <c r="X88">
        <v>1.4890909090909099</v>
      </c>
    </row>
    <row r="89" spans="1:24">
      <c r="A89" s="30" t="s">
        <v>287</v>
      </c>
      <c r="B89" s="155">
        <f>B$90*$C60</f>
        <v>1.8678230979420847</v>
      </c>
      <c r="C89" s="152">
        <f>$B89+($I89-$B89)*5/35</f>
        <v>1.8078941636052823</v>
      </c>
      <c r="D89" s="152">
        <f>$B89+($I89-$B89)*6/31</f>
        <v>1.7866290578728687</v>
      </c>
      <c r="E89" s="152">
        <f>$B89+($I89-$B89)*11/31</f>
        <v>1.7189673578151887</v>
      </c>
      <c r="F89" s="152">
        <f>$B89+($I89-$B89)*16/31</f>
        <v>1.6513056577575087</v>
      </c>
      <c r="G89" s="152">
        <f>$B89+($I89-$B89)*21/31</f>
        <v>1.5836439576998287</v>
      </c>
      <c r="H89" s="152">
        <f>$B89+($I89-$B89)*26/31</f>
        <v>1.5159822576421487</v>
      </c>
      <c r="I89" s="149">
        <f>B89*J89*K89</f>
        <v>1.4483205575844686</v>
      </c>
      <c r="J89" s="1">
        <v>0.8</v>
      </c>
      <c r="K89" s="164">
        <f>I39/C39</f>
        <v>0.96925704526046097</v>
      </c>
      <c r="M89" s="30" t="s">
        <v>287</v>
      </c>
      <c r="N89" s="30">
        <v>164.494382022472</v>
      </c>
      <c r="O89" s="30"/>
      <c r="P89" s="30"/>
      <c r="Q89" s="30"/>
      <c r="R89" s="30"/>
      <c r="S89" s="30"/>
      <c r="T89" s="30"/>
      <c r="U89" s="30">
        <v>145.15383043922299</v>
      </c>
      <c r="W89">
        <v>0.8</v>
      </c>
      <c r="X89">
        <v>1.1030303030302999</v>
      </c>
    </row>
    <row r="90" spans="1:24">
      <c r="A90" s="72" t="s">
        <v>23</v>
      </c>
      <c r="B90" s="165">
        <f>B74</f>
        <v>10.057508988918919</v>
      </c>
      <c r="C90" s="166">
        <f>C74</f>
        <v>10.057508988918919</v>
      </c>
      <c r="D90" s="166">
        <f t="shared" ref="D90:I90" si="16">SUM(D85:D89)</f>
        <v>9.2828942344696159</v>
      </c>
      <c r="E90" s="166">
        <f t="shared" si="16"/>
        <v>8.6373819390951976</v>
      </c>
      <c r="F90" s="166">
        <f t="shared" si="16"/>
        <v>7.9918696437207792</v>
      </c>
      <c r="G90" s="166">
        <f t="shared" si="16"/>
        <v>7.3463573483463627</v>
      </c>
      <c r="H90" s="166">
        <f t="shared" si="16"/>
        <v>6.7008450529719434</v>
      </c>
      <c r="I90" s="166">
        <f t="shared" si="16"/>
        <v>6.055332757597526</v>
      </c>
      <c r="J90" s="1"/>
      <c r="K90" s="1"/>
      <c r="M90" s="72" t="s">
        <v>23</v>
      </c>
      <c r="N90" s="72">
        <v>1220</v>
      </c>
      <c r="O90" s="72"/>
      <c r="P90" s="72"/>
      <c r="Q90" s="72"/>
      <c r="R90" s="72"/>
      <c r="S90" s="72"/>
      <c r="T90" s="72"/>
      <c r="U90" s="72">
        <v>967.624595356236</v>
      </c>
      <c r="V90" t="s">
        <v>296</v>
      </c>
    </row>
    <row r="91" spans="1:24" ht="27.6" customHeight="1">
      <c r="A91" s="547" t="s">
        <v>432</v>
      </c>
      <c r="B91" s="547"/>
      <c r="C91" s="547"/>
      <c r="D91" s="547"/>
      <c r="E91" s="547"/>
      <c r="F91" s="547"/>
      <c r="G91" s="547"/>
      <c r="H91" s="547"/>
      <c r="I91" s="547"/>
      <c r="J91" s="547"/>
      <c r="K91" s="547"/>
      <c r="W91" t="s">
        <v>294</v>
      </c>
      <c r="X91" t="s">
        <v>295</v>
      </c>
    </row>
    <row r="93" spans="1:24" s="488" customFormat="1">
      <c r="A93" s="438" t="s">
        <v>465</v>
      </c>
      <c r="B93" s="438">
        <v>2019</v>
      </c>
      <c r="C93" s="438">
        <v>2020</v>
      </c>
      <c r="D93" s="438">
        <v>2025</v>
      </c>
      <c r="E93" s="438">
        <v>2030</v>
      </c>
      <c r="F93" s="438">
        <v>2035</v>
      </c>
      <c r="G93" s="438">
        <v>2040</v>
      </c>
      <c r="H93" s="438">
        <v>2045</v>
      </c>
      <c r="I93" s="438">
        <v>2050</v>
      </c>
      <c r="J93" s="438" t="s">
        <v>405</v>
      </c>
    </row>
    <row r="94" spans="1:24" s="488" customFormat="1">
      <c r="A94" s="438" t="s">
        <v>466</v>
      </c>
      <c r="B94" s="438">
        <v>0</v>
      </c>
      <c r="C94" s="438">
        <v>0</v>
      </c>
      <c r="D94" s="438">
        <v>150</v>
      </c>
      <c r="E94" s="438">
        <v>235</v>
      </c>
      <c r="F94" s="438">
        <v>270</v>
      </c>
      <c r="G94" s="438">
        <v>280</v>
      </c>
      <c r="H94" s="438">
        <v>285</v>
      </c>
      <c r="I94" s="438">
        <v>288</v>
      </c>
      <c r="J94" s="438"/>
    </row>
    <row r="95" spans="1:24" s="488" customFormat="1">
      <c r="A95" s="438" t="s">
        <v>467</v>
      </c>
      <c r="B95" s="439">
        <v>10.057508988918919</v>
      </c>
      <c r="C95" s="439">
        <v>10.057508988918919</v>
      </c>
      <c r="D95" s="439">
        <v>-58.932587836943057</v>
      </c>
      <c r="E95" s="439">
        <v>-97.846462386578935</v>
      </c>
      <c r="F95" s="439">
        <v>-115.40917839499792</v>
      </c>
      <c r="G95" s="439">
        <v>-122.64620359534226</v>
      </c>
      <c r="H95" s="439">
        <v>-127.39624056500189</v>
      </c>
      <c r="I95" s="439">
        <v>-130.28437109449618</v>
      </c>
      <c r="J95" s="438"/>
    </row>
    <row r="96" spans="1:24" s="488" customFormat="1">
      <c r="A96" s="545" t="s">
        <v>476</v>
      </c>
      <c r="B96" s="545"/>
      <c r="C96" s="545"/>
      <c r="D96" s="545"/>
      <c r="E96" s="545"/>
      <c r="F96" s="545"/>
      <c r="G96" s="545"/>
      <c r="H96" s="545"/>
      <c r="I96" s="545"/>
      <c r="J96" s="545"/>
    </row>
    <row r="97" spans="1:24" s="488" customFormat="1"/>
    <row r="98" spans="1:24">
      <c r="A98" s="544" t="s">
        <v>297</v>
      </c>
      <c r="B98" s="544"/>
      <c r="C98" s="544"/>
      <c r="D98" s="544"/>
      <c r="E98" s="544"/>
      <c r="F98" s="544"/>
      <c r="G98" s="544"/>
      <c r="H98" s="544"/>
      <c r="I98" s="544"/>
      <c r="J98" s="544"/>
      <c r="K98" s="544"/>
    </row>
    <row r="100" spans="1:24">
      <c r="A100" s="516" t="s">
        <v>55</v>
      </c>
      <c r="B100" s="516"/>
      <c r="C100" s="516"/>
      <c r="D100" s="516"/>
      <c r="E100" s="516"/>
      <c r="F100" s="516"/>
      <c r="G100" s="516"/>
      <c r="H100" s="516"/>
      <c r="I100" s="516"/>
      <c r="J100" s="516"/>
      <c r="K100" s="516"/>
    </row>
    <row r="101" spans="1:24">
      <c r="B101" t="s">
        <v>298</v>
      </c>
    </row>
    <row r="102" spans="1:24">
      <c r="A102" s="156" t="s">
        <v>44</v>
      </c>
      <c r="B102" s="1" t="s">
        <v>299</v>
      </c>
      <c r="C102" s="1" t="s">
        <v>281</v>
      </c>
    </row>
    <row r="103" spans="1:24">
      <c r="A103" s="1" t="s">
        <v>283</v>
      </c>
      <c r="B103" s="157">
        <v>0.13</v>
      </c>
      <c r="C103" s="123">
        <f>B103/B$108</f>
        <v>0.13</v>
      </c>
    </row>
    <row r="104" spans="1:24">
      <c r="A104" s="1" t="s">
        <v>300</v>
      </c>
      <c r="B104" s="157">
        <v>7.0000000000000007E-2</v>
      </c>
      <c r="C104" s="123">
        <f>B104/B$108</f>
        <v>7.0000000000000007E-2</v>
      </c>
    </row>
    <row r="105" spans="1:24">
      <c r="A105" s="1" t="s">
        <v>284</v>
      </c>
      <c r="B105" s="167">
        <v>0.04</v>
      </c>
      <c r="C105" s="123">
        <f>B105/B$108</f>
        <v>0.04</v>
      </c>
    </row>
    <row r="106" spans="1:24">
      <c r="A106" s="1" t="s">
        <v>301</v>
      </c>
      <c r="B106" s="167">
        <v>0.27</v>
      </c>
      <c r="C106" s="123">
        <f>B106/B$108</f>
        <v>0.27</v>
      </c>
    </row>
    <row r="107" spans="1:24" s="357" customFormat="1">
      <c r="A107" s="30" t="s">
        <v>461</v>
      </c>
      <c r="B107" s="167">
        <v>0.49</v>
      </c>
      <c r="C107" s="147"/>
    </row>
    <row r="108" spans="1:24">
      <c r="A108" s="159" t="s">
        <v>302</v>
      </c>
      <c r="B108" s="160">
        <f>SUM(B103:B107)</f>
        <v>1</v>
      </c>
      <c r="C108" s="160">
        <f>SUM(C103:C106)</f>
        <v>0.51</v>
      </c>
    </row>
    <row r="110" spans="1:24">
      <c r="A110" s="516" t="s">
        <v>152</v>
      </c>
      <c r="B110" s="516"/>
      <c r="C110" s="516"/>
      <c r="D110" s="516"/>
      <c r="E110" s="516"/>
      <c r="F110" s="516"/>
      <c r="G110" s="516"/>
      <c r="H110" s="516"/>
      <c r="I110" s="516"/>
      <c r="J110" s="516"/>
      <c r="K110" s="516"/>
      <c r="M110" s="516" t="s">
        <v>153</v>
      </c>
      <c r="N110" s="516"/>
      <c r="O110" s="516"/>
      <c r="P110" s="516"/>
      <c r="Q110" s="516"/>
      <c r="R110" s="516"/>
      <c r="S110" s="516"/>
      <c r="T110" s="516"/>
      <c r="U110" s="516"/>
    </row>
    <row r="112" spans="1:24">
      <c r="A112" s="433" t="s">
        <v>44</v>
      </c>
      <c r="B112" s="299">
        <v>2019</v>
      </c>
      <c r="C112" s="299">
        <v>2020</v>
      </c>
      <c r="D112" s="299">
        <v>2025</v>
      </c>
      <c r="E112" s="299">
        <v>2030</v>
      </c>
      <c r="F112" s="299">
        <v>2035</v>
      </c>
      <c r="G112" s="299">
        <v>2040</v>
      </c>
      <c r="H112" s="299">
        <v>2045</v>
      </c>
      <c r="I112" s="299">
        <v>2050</v>
      </c>
      <c r="J112" s="299" t="s">
        <v>290</v>
      </c>
      <c r="K112" s="299" t="s">
        <v>291</v>
      </c>
      <c r="M112" s="92" t="s">
        <v>44</v>
      </c>
      <c r="N112" s="30">
        <v>2015</v>
      </c>
      <c r="O112" s="30">
        <v>2020</v>
      </c>
      <c r="P112" s="30">
        <v>2025</v>
      </c>
      <c r="Q112" s="30">
        <v>2030</v>
      </c>
      <c r="R112" s="30">
        <v>2035</v>
      </c>
      <c r="S112" s="30">
        <v>2040</v>
      </c>
      <c r="T112" s="30">
        <v>2045</v>
      </c>
      <c r="U112" s="30">
        <v>2050</v>
      </c>
      <c r="W112" t="s">
        <v>290</v>
      </c>
      <c r="X112" t="s">
        <v>291</v>
      </c>
    </row>
    <row r="113" spans="1:24">
      <c r="A113" s="299" t="s">
        <v>283</v>
      </c>
      <c r="B113" s="434">
        <f>B$118*$B103</f>
        <v>1.5301265827896096</v>
      </c>
      <c r="C113" s="434">
        <f>C$118*$C103</f>
        <v>1.5301265827896096</v>
      </c>
      <c r="D113" s="434">
        <f>$B113+($I113-$B113)*6/31</f>
        <v>1.3347083578361816</v>
      </c>
      <c r="E113" s="434">
        <f>$B113+($I113-$B113)*11/31</f>
        <v>1.1718598370416582</v>
      </c>
      <c r="F113" s="434">
        <f>$B113+($I113-$B113)*16/31</f>
        <v>1.009011316247135</v>
      </c>
      <c r="G113" s="434">
        <f>$B113+($I113-$B113)*21/31</f>
        <v>0.84616279545261164</v>
      </c>
      <c r="H113" s="434">
        <f>$B113+($I113-$B113)*26/31</f>
        <v>0.68331427465808836</v>
      </c>
      <c r="I113" s="303">
        <f>B113*J113*K113</f>
        <v>0.52046575386356519</v>
      </c>
      <c r="J113" s="299">
        <f>J85</f>
        <v>0.25</v>
      </c>
      <c r="K113" s="303">
        <f>$I$33/$C$33</f>
        <v>1.360582215138546</v>
      </c>
      <c r="M113" s="30" t="s">
        <v>283</v>
      </c>
      <c r="N113" s="30">
        <v>146</v>
      </c>
      <c r="O113" s="30"/>
      <c r="P113" s="30"/>
      <c r="Q113" s="30"/>
      <c r="R113" s="30"/>
      <c r="S113" s="30"/>
      <c r="T113" s="30"/>
      <c r="U113" s="30">
        <v>95</v>
      </c>
      <c r="W113">
        <v>0.25</v>
      </c>
      <c r="X113">
        <v>2.6102977329026702</v>
      </c>
    </row>
    <row r="114" spans="1:24">
      <c r="A114" s="299" t="s">
        <v>300</v>
      </c>
      <c r="B114" s="434">
        <f>B$118*$B104</f>
        <v>0.82391431380978986</v>
      </c>
      <c r="C114" s="434">
        <f>C$118*$C104</f>
        <v>0.82391431380978986</v>
      </c>
      <c r="D114" s="434">
        <f>$B114+($I114-$B114)*6/31</f>
        <v>0.75123436885313466</v>
      </c>
      <c r="E114" s="434">
        <f>$B114+($I114-$B114)*11/31</f>
        <v>0.69066774805592213</v>
      </c>
      <c r="F114" s="434">
        <f>$B114+($I114-$B114)*16/31</f>
        <v>0.63010112725870948</v>
      </c>
      <c r="G114" s="434">
        <f>$B114+($I114-$B114)*21/31</f>
        <v>0.56953450646149684</v>
      </c>
      <c r="H114" s="434">
        <f>$B114+($I114-$B114)*26/31</f>
        <v>0.5089678856642843</v>
      </c>
      <c r="I114" s="303">
        <f>B114*J114*K114</f>
        <v>0.4484012648670716</v>
      </c>
      <c r="J114" s="299">
        <v>0.4</v>
      </c>
      <c r="K114" s="303">
        <f>$I$33/$C$33</f>
        <v>1.360582215138546</v>
      </c>
      <c r="M114" s="30" t="s">
        <v>300</v>
      </c>
      <c r="N114" s="30">
        <v>78</v>
      </c>
      <c r="O114" s="30"/>
      <c r="P114" s="30"/>
      <c r="Q114" s="30"/>
      <c r="R114" s="30"/>
      <c r="S114" s="30"/>
      <c r="T114" s="30"/>
      <c r="U114" s="30">
        <v>82</v>
      </c>
      <c r="W114">
        <v>0.4</v>
      </c>
      <c r="X114">
        <v>2.6102977329026702</v>
      </c>
    </row>
    <row r="115" spans="1:24">
      <c r="A115" s="299" t="s">
        <v>284</v>
      </c>
      <c r="B115" s="434">
        <f>B$118*$B105</f>
        <v>0.47080817931987989</v>
      </c>
      <c r="C115" s="434">
        <f>C$118*$C105</f>
        <v>0.47080817931987989</v>
      </c>
      <c r="D115" s="434">
        <f>$B115+($I115-$B115)*6/31</f>
        <v>0.49126774047834493</v>
      </c>
      <c r="E115" s="434">
        <f>$B115+($I115-$B115)*11/31</f>
        <v>0.50831737477706573</v>
      </c>
      <c r="F115" s="434">
        <f>$B115+($I115-$B115)*16/31</f>
        <v>0.5253670090757866</v>
      </c>
      <c r="G115" s="434">
        <f>$B115+($I115-$B115)*21/31</f>
        <v>0.54241664337450746</v>
      </c>
      <c r="H115" s="434">
        <f>$B115+($I115-$B115)*26/31</f>
        <v>0.55946627767322832</v>
      </c>
      <c r="I115" s="303">
        <f>B115*J115*K115</f>
        <v>0.57651591197194918</v>
      </c>
      <c r="J115" s="299">
        <f>J86</f>
        <v>0.9</v>
      </c>
      <c r="K115" s="303">
        <f>$I$33/$C$33</f>
        <v>1.360582215138546</v>
      </c>
      <c r="M115" s="30" t="s">
        <v>284</v>
      </c>
      <c r="N115" s="30">
        <v>45</v>
      </c>
      <c r="O115" s="30"/>
      <c r="P115" s="30"/>
      <c r="Q115" s="30"/>
      <c r="R115" s="30"/>
      <c r="S115" s="30"/>
      <c r="T115" s="30"/>
      <c r="U115" s="30">
        <v>105</v>
      </c>
      <c r="W115">
        <v>0.9</v>
      </c>
      <c r="X115">
        <v>2.6102977329026702</v>
      </c>
    </row>
    <row r="116" spans="1:24">
      <c r="A116" s="299" t="s">
        <v>301</v>
      </c>
      <c r="B116" s="434">
        <f>B$118*$B106</f>
        <v>3.1779552104091895</v>
      </c>
      <c r="C116" s="434">
        <f>C$118*$C106</f>
        <v>3.1779552104091895</v>
      </c>
      <c r="D116" s="434">
        <f>$B116+($I116-$B116)*6/31</f>
        <v>2.9813060735354386</v>
      </c>
      <c r="E116" s="434">
        <f>$B116+($I116-$B116)*11/31</f>
        <v>2.8174317928073127</v>
      </c>
      <c r="F116" s="434">
        <f>$B116+($I116-$B116)*16/31</f>
        <v>2.6535575120791868</v>
      </c>
      <c r="G116" s="434">
        <f>$B116+($I116-$B116)*21/31</f>
        <v>2.4896832313510613</v>
      </c>
      <c r="H116" s="434">
        <f>$B116+($I116-$B116)*26/31</f>
        <v>2.3258089506229354</v>
      </c>
      <c r="I116" s="303">
        <f>B116*J116*K116</f>
        <v>2.1619346698948094</v>
      </c>
      <c r="J116" s="299">
        <v>0.5</v>
      </c>
      <c r="K116" s="303">
        <f>$I$33/$C$33</f>
        <v>1.360582215138546</v>
      </c>
      <c r="M116" s="30" t="s">
        <v>301</v>
      </c>
      <c r="N116" s="30">
        <v>302</v>
      </c>
      <c r="O116" s="30"/>
      <c r="P116" s="30"/>
      <c r="Q116" s="30"/>
      <c r="R116" s="30"/>
      <c r="S116" s="30"/>
      <c r="T116" s="30"/>
      <c r="U116" s="30">
        <v>395</v>
      </c>
      <c r="W116">
        <v>0.5</v>
      </c>
      <c r="X116">
        <v>2.6102977329026702</v>
      </c>
    </row>
    <row r="117" spans="1:24" s="357" customFormat="1">
      <c r="A117" s="299" t="s">
        <v>461</v>
      </c>
      <c r="B117" s="434">
        <f>B118*B107</f>
        <v>5.767400196668528</v>
      </c>
      <c r="C117" s="434">
        <f>B117</f>
        <v>5.767400196668528</v>
      </c>
      <c r="D117" s="434">
        <f>$B117+($I117-$B117)*6/31</f>
        <v>5.5623962775270552</v>
      </c>
      <c r="E117" s="434">
        <f>$B117+($I117-$B117)*11/31</f>
        <v>5.3915596782424942</v>
      </c>
      <c r="F117" s="434">
        <f>$B117+($I117-$B117)*16/31</f>
        <v>5.2207230789579331</v>
      </c>
      <c r="G117" s="434">
        <f>$B117+($I117-$B117)*21/31</f>
        <v>5.049886479673372</v>
      </c>
      <c r="H117" s="434">
        <f>$B117+($I117-$B117)*26/31</f>
        <v>4.8790498803888118</v>
      </c>
      <c r="I117" s="303">
        <f>B117*J117*K117</f>
        <v>4.7082132811042507</v>
      </c>
      <c r="J117" s="299">
        <v>0.6</v>
      </c>
      <c r="K117" s="303">
        <f>$I$33/$C$33</f>
        <v>1.360582215138546</v>
      </c>
      <c r="M117" s="30"/>
      <c r="N117" s="30"/>
      <c r="O117" s="30"/>
      <c r="P117" s="30"/>
      <c r="Q117" s="30"/>
      <c r="R117" s="30"/>
      <c r="S117" s="30"/>
      <c r="T117" s="30"/>
      <c r="U117" s="30"/>
    </row>
    <row r="118" spans="1:24">
      <c r="A118" s="435" t="s">
        <v>302</v>
      </c>
      <c r="B118" s="436">
        <f>'Bilan d''énergie SDES historique'!Q31</f>
        <v>11.770204482996997</v>
      </c>
      <c r="C118" s="440">
        <f>B118</f>
        <v>11.770204482996997</v>
      </c>
      <c r="D118" s="440">
        <f t="shared" ref="D118:I118" si="17">SUM(D113:D117)</f>
        <v>11.120912818230154</v>
      </c>
      <c r="E118" s="440">
        <f t="shared" si="17"/>
        <v>10.579836430924452</v>
      </c>
      <c r="F118" s="440">
        <f t="shared" si="17"/>
        <v>10.038760043618751</v>
      </c>
      <c r="G118" s="440">
        <f t="shared" si="17"/>
        <v>9.4976836563130504</v>
      </c>
      <c r="H118" s="440">
        <f t="shared" si="17"/>
        <v>8.9566072690073497</v>
      </c>
      <c r="I118" s="440">
        <f t="shared" si="17"/>
        <v>8.4155308817016454</v>
      </c>
      <c r="J118" s="299"/>
      <c r="K118" s="299"/>
      <c r="M118" s="72" t="s">
        <v>302</v>
      </c>
      <c r="N118" s="91" t="s">
        <v>162</v>
      </c>
      <c r="O118" s="72"/>
      <c r="P118" s="72"/>
      <c r="Q118" s="72"/>
      <c r="R118" s="72"/>
      <c r="S118" s="72"/>
      <c r="T118" s="72"/>
      <c r="U118" s="91" t="s">
        <v>303</v>
      </c>
    </row>
    <row r="119" spans="1:24">
      <c r="A119" s="525" t="s">
        <v>513</v>
      </c>
      <c r="B119" s="525"/>
      <c r="C119" s="525"/>
      <c r="D119" s="525"/>
      <c r="E119" s="525"/>
      <c r="F119" s="525"/>
      <c r="G119" s="525"/>
      <c r="H119" s="525"/>
      <c r="I119" s="525"/>
      <c r="J119" s="525"/>
      <c r="K119" s="525"/>
      <c r="N119" t="s">
        <v>304</v>
      </c>
      <c r="W119" t="s">
        <v>305</v>
      </c>
      <c r="X119" t="s">
        <v>306</v>
      </c>
    </row>
    <row r="121" spans="1:24">
      <c r="A121" s="438" t="s">
        <v>465</v>
      </c>
      <c r="B121" s="438">
        <v>2019</v>
      </c>
      <c r="C121" s="438">
        <v>2020</v>
      </c>
      <c r="D121" s="438">
        <v>2025</v>
      </c>
      <c r="E121" s="438">
        <v>2030</v>
      </c>
      <c r="F121" s="438">
        <v>2035</v>
      </c>
      <c r="G121" s="438">
        <v>2040</v>
      </c>
      <c r="H121" s="438">
        <v>2045</v>
      </c>
      <c r="I121" s="438">
        <v>2050</v>
      </c>
      <c r="J121" s="438" t="s">
        <v>405</v>
      </c>
    </row>
    <row r="122" spans="1:24">
      <c r="A122" s="438" t="s">
        <v>466</v>
      </c>
      <c r="B122" s="438">
        <v>0</v>
      </c>
      <c r="C122" s="438">
        <v>0</v>
      </c>
      <c r="D122" s="438">
        <v>150</v>
      </c>
      <c r="E122" s="438">
        <v>235</v>
      </c>
      <c r="F122" s="438">
        <v>270</v>
      </c>
      <c r="G122" s="438">
        <v>280</v>
      </c>
      <c r="H122" s="438">
        <v>285</v>
      </c>
      <c r="I122" s="438">
        <v>288</v>
      </c>
      <c r="J122" s="438"/>
    </row>
    <row r="123" spans="1:24">
      <c r="A123" s="438" t="s">
        <v>467</v>
      </c>
      <c r="B123" s="439" t="e">
        <f>#REF!-'Résidentiel-tertiaire'!B159</f>
        <v>#REF!</v>
      </c>
      <c r="C123" s="439" t="e">
        <f>#REF!-'Résidentiel-tertiaire'!C159</f>
        <v>#REF!</v>
      </c>
      <c r="D123" s="439" t="e">
        <f t="shared" ref="D123:I123" si="18">($B$123-D122*$F$57*(1-$I$58))*D$33/$C$33</f>
        <v>#REF!</v>
      </c>
      <c r="E123" s="439" t="e">
        <f t="shared" si="18"/>
        <v>#REF!</v>
      </c>
      <c r="F123" s="439" t="e">
        <f t="shared" si="18"/>
        <v>#REF!</v>
      </c>
      <c r="G123" s="439" t="e">
        <f t="shared" si="18"/>
        <v>#REF!</v>
      </c>
      <c r="H123" s="439" t="e">
        <f t="shared" si="18"/>
        <v>#REF!</v>
      </c>
      <c r="I123" s="439" t="e">
        <f t="shared" si="18"/>
        <v>#REF!</v>
      </c>
      <c r="J123" s="438"/>
    </row>
    <row r="124" spans="1:24" ht="30.6" customHeight="1">
      <c r="A124" s="545" t="s">
        <v>477</v>
      </c>
      <c r="B124" s="545"/>
      <c r="C124" s="545"/>
      <c r="D124" s="545"/>
      <c r="E124" s="545"/>
      <c r="F124" s="545"/>
      <c r="G124" s="545"/>
      <c r="H124" s="545"/>
      <c r="I124" s="545"/>
      <c r="J124" s="545"/>
    </row>
    <row r="126" spans="1:24">
      <c r="A126" s="516" t="s">
        <v>158</v>
      </c>
      <c r="B126" s="516"/>
      <c r="C126" s="516"/>
      <c r="D126" s="516"/>
      <c r="E126" s="516"/>
      <c r="F126" s="516"/>
      <c r="G126" s="516"/>
      <c r="H126" s="516"/>
      <c r="I126" s="516"/>
      <c r="J126" s="516"/>
      <c r="K126" s="516"/>
      <c r="M126" s="516" t="s">
        <v>159</v>
      </c>
      <c r="N126" s="516"/>
      <c r="O126" s="516"/>
      <c r="P126" s="516"/>
      <c r="Q126" s="516"/>
      <c r="R126" s="516"/>
      <c r="S126" s="516"/>
      <c r="T126" s="516"/>
      <c r="U126" s="516"/>
    </row>
    <row r="128" spans="1:24">
      <c r="A128" s="163" t="s">
        <v>44</v>
      </c>
      <c r="B128" s="1">
        <v>2019</v>
      </c>
      <c r="C128" s="30">
        <v>2020</v>
      </c>
      <c r="D128" s="30">
        <v>2025</v>
      </c>
      <c r="E128" s="30">
        <v>2030</v>
      </c>
      <c r="F128" s="30">
        <v>2035</v>
      </c>
      <c r="G128" s="30">
        <v>2040</v>
      </c>
      <c r="H128" s="30">
        <v>2045</v>
      </c>
      <c r="I128" s="30">
        <v>2050</v>
      </c>
      <c r="J128" s="1" t="s">
        <v>290</v>
      </c>
      <c r="K128" s="1" t="s">
        <v>291</v>
      </c>
      <c r="M128" s="92" t="s">
        <v>44</v>
      </c>
      <c r="N128" s="30">
        <v>2015</v>
      </c>
      <c r="O128" s="30">
        <v>2020</v>
      </c>
      <c r="P128" s="30">
        <v>2025</v>
      </c>
      <c r="Q128" s="30">
        <v>2030</v>
      </c>
      <c r="R128" s="30">
        <v>2035</v>
      </c>
      <c r="S128" s="30">
        <v>2040</v>
      </c>
      <c r="T128" s="30">
        <v>2045</v>
      </c>
      <c r="U128" s="30">
        <v>2050</v>
      </c>
      <c r="W128" t="s">
        <v>290</v>
      </c>
      <c r="X128" t="s">
        <v>291</v>
      </c>
    </row>
    <row r="129" spans="1:24">
      <c r="A129" s="30" t="s">
        <v>283</v>
      </c>
      <c r="B129" s="155">
        <f t="shared" ref="B129:C132" si="19">B$133*$C103</f>
        <v>1.5301265827896096</v>
      </c>
      <c r="C129" s="155">
        <f t="shared" si="19"/>
        <v>1.5301265827896096</v>
      </c>
      <c r="D129" s="152">
        <f>$B129+($I129-$B129)*6/31</f>
        <v>1.3347083578361816</v>
      </c>
      <c r="E129" s="152">
        <f>$B129+($I129-$B129)*11/31</f>
        <v>1.1718598370416582</v>
      </c>
      <c r="F129" s="152">
        <f>$B129+($I129-$B129)*16/31</f>
        <v>1.009011316247135</v>
      </c>
      <c r="G129" s="152">
        <f>$B129+($I129-$B129)*21/31</f>
        <v>0.84616279545261164</v>
      </c>
      <c r="H129" s="152">
        <f>$B129+($I129-$B129)*26/31</f>
        <v>0.68331427465808836</v>
      </c>
      <c r="I129" s="149">
        <f>B129*J129*K129</f>
        <v>0.52046575386356519</v>
      </c>
      <c r="J129" s="1">
        <f>J85</f>
        <v>0.25</v>
      </c>
      <c r="K129" s="164">
        <f>$I$33/$B$33</f>
        <v>1.360582215138546</v>
      </c>
      <c r="M129" s="30" t="s">
        <v>283</v>
      </c>
      <c r="N129" s="30">
        <v>145.6</v>
      </c>
      <c r="O129" s="30"/>
      <c r="P129" s="30"/>
      <c r="Q129" s="30"/>
      <c r="R129" s="30"/>
      <c r="S129" s="30"/>
      <c r="T129" s="30"/>
      <c r="U129" s="30">
        <v>95.014837477657295</v>
      </c>
      <c r="W129">
        <v>0.25</v>
      </c>
      <c r="X129">
        <v>2.6102977329026702</v>
      </c>
    </row>
    <row r="130" spans="1:24">
      <c r="A130" s="30" t="s">
        <v>300</v>
      </c>
      <c r="B130" s="155">
        <f t="shared" si="19"/>
        <v>0.82391431380978986</v>
      </c>
      <c r="C130" s="155">
        <f t="shared" si="19"/>
        <v>0.82391431380978986</v>
      </c>
      <c r="D130" s="152">
        <f>$B130+($I130-$B130)*6/31</f>
        <v>0.75123436885313466</v>
      </c>
      <c r="E130" s="152">
        <f>$B130+($I130-$B130)*11/31</f>
        <v>0.69066774805592213</v>
      </c>
      <c r="F130" s="152">
        <f>$B130+($I130-$B130)*16/31</f>
        <v>0.63010112725870948</v>
      </c>
      <c r="G130" s="152">
        <f>$B130+($I130-$B130)*21/31</f>
        <v>0.56953450646149684</v>
      </c>
      <c r="H130" s="152">
        <f>$B130+($I130-$B130)*26/31</f>
        <v>0.5089678856642843</v>
      </c>
      <c r="I130" s="149">
        <f>B130*J130*K130</f>
        <v>0.4484012648670716</v>
      </c>
      <c r="J130" s="1">
        <v>0.4</v>
      </c>
      <c r="K130" s="164">
        <f>$I$33/$B$33</f>
        <v>1.360582215138546</v>
      </c>
      <c r="M130" s="30" t="s">
        <v>300</v>
      </c>
      <c r="N130" s="30">
        <v>78.400000000000006</v>
      </c>
      <c r="O130" s="30"/>
      <c r="P130" s="30"/>
      <c r="Q130" s="30"/>
      <c r="R130" s="30"/>
      <c r="S130" s="30"/>
      <c r="T130" s="30"/>
      <c r="U130" s="30">
        <v>81.858936903827896</v>
      </c>
      <c r="W130">
        <v>0.4</v>
      </c>
      <c r="X130">
        <v>2.6102977329026702</v>
      </c>
    </row>
    <row r="131" spans="1:24">
      <c r="A131" s="30" t="s">
        <v>284</v>
      </c>
      <c r="B131" s="155">
        <f t="shared" si="19"/>
        <v>0.47080817931987989</v>
      </c>
      <c r="C131" s="155">
        <f t="shared" si="19"/>
        <v>0.47080817931987989</v>
      </c>
      <c r="D131" s="152">
        <f>$B131+($I131-$B131)*6/31</f>
        <v>0.49126774047834493</v>
      </c>
      <c r="E131" s="152">
        <f>$B131+($I131-$B131)*11/31</f>
        <v>0.50831737477706573</v>
      </c>
      <c r="F131" s="152">
        <f>$B131+($I131-$B131)*16/31</f>
        <v>0.5253670090757866</v>
      </c>
      <c r="G131" s="152">
        <f>$B131+($I131-$B131)*21/31</f>
        <v>0.54241664337450746</v>
      </c>
      <c r="H131" s="152">
        <f>$B131+($I131-$B131)*26/31</f>
        <v>0.55946627767322832</v>
      </c>
      <c r="I131" s="149">
        <f>B131*J131*K131</f>
        <v>0.57651591197194918</v>
      </c>
      <c r="J131" s="1">
        <v>0.9</v>
      </c>
      <c r="K131" s="164">
        <f>$I$33/$B$33</f>
        <v>1.360582215138546</v>
      </c>
      <c r="M131" s="30" t="s">
        <v>284</v>
      </c>
      <c r="N131" s="30">
        <v>44.8</v>
      </c>
      <c r="O131" s="30"/>
      <c r="P131" s="30"/>
      <c r="Q131" s="30"/>
      <c r="R131" s="30"/>
      <c r="S131" s="30"/>
      <c r="T131" s="30"/>
      <c r="U131" s="30">
        <v>105.247204590636</v>
      </c>
      <c r="W131">
        <v>0.9</v>
      </c>
      <c r="X131">
        <v>2.6102977329026702</v>
      </c>
    </row>
    <row r="132" spans="1:24">
      <c r="A132" s="30" t="s">
        <v>301</v>
      </c>
      <c r="B132" s="155">
        <f t="shared" si="19"/>
        <v>3.1779552104091895</v>
      </c>
      <c r="C132" s="155">
        <f t="shared" si="19"/>
        <v>3.1779552104091895</v>
      </c>
      <c r="D132" s="152">
        <f>$B132+($I132-$B132)*6/31</f>
        <v>2.9813060735354386</v>
      </c>
      <c r="E132" s="152">
        <f>$B132+($I132-$B132)*11/31</f>
        <v>2.8174317928073127</v>
      </c>
      <c r="F132" s="152">
        <f>$B132+($I132-$B132)*16/31</f>
        <v>2.6535575120791868</v>
      </c>
      <c r="G132" s="152">
        <f>$B132+($I132-$B132)*21/31</f>
        <v>2.4896832313510613</v>
      </c>
      <c r="H132" s="152">
        <f>$B132+($I132-$B132)*26/31</f>
        <v>2.3258089506229354</v>
      </c>
      <c r="I132" s="149">
        <f>B132*J132*K132</f>
        <v>2.1619346698948094</v>
      </c>
      <c r="J132" s="1">
        <v>0.5</v>
      </c>
      <c r="K132" s="164">
        <f>$I$33/$B$33</f>
        <v>1.360582215138546</v>
      </c>
      <c r="M132" s="30" t="s">
        <v>301</v>
      </c>
      <c r="N132" s="30">
        <v>302.39999999999998</v>
      </c>
      <c r="O132" s="30"/>
      <c r="P132" s="30"/>
      <c r="Q132" s="30"/>
      <c r="R132" s="30"/>
      <c r="S132" s="30"/>
      <c r="T132" s="30"/>
      <c r="U132" s="30">
        <v>394.67701721488402</v>
      </c>
      <c r="W132">
        <v>0.5</v>
      </c>
      <c r="X132">
        <v>2.6102977329026702</v>
      </c>
    </row>
    <row r="133" spans="1:24">
      <c r="A133" s="72" t="s">
        <v>302</v>
      </c>
      <c r="B133" s="169">
        <f>B118</f>
        <v>11.770204482996997</v>
      </c>
      <c r="C133" s="168">
        <f>C118</f>
        <v>11.770204482996997</v>
      </c>
      <c r="D133" s="168">
        <f t="shared" ref="D133:I133" si="20">SUM(D129:D132)</f>
        <v>5.5585165407030992</v>
      </c>
      <c r="E133" s="168">
        <f t="shared" si="20"/>
        <v>5.1882767526819586</v>
      </c>
      <c r="F133" s="168">
        <f t="shared" si="20"/>
        <v>4.8180369646608181</v>
      </c>
      <c r="G133" s="168">
        <f t="shared" si="20"/>
        <v>4.4477971766396776</v>
      </c>
      <c r="H133" s="168">
        <f t="shared" si="20"/>
        <v>4.077557388618537</v>
      </c>
      <c r="I133" s="168">
        <f t="shared" si="20"/>
        <v>3.7073176005973956</v>
      </c>
      <c r="J133" s="1"/>
      <c r="K133" s="1"/>
      <c r="M133" s="72" t="s">
        <v>302</v>
      </c>
      <c r="N133" s="72">
        <v>1120</v>
      </c>
      <c r="O133" s="72"/>
      <c r="P133" s="72"/>
      <c r="Q133" s="72"/>
      <c r="R133" s="72"/>
      <c r="S133" s="72"/>
      <c r="T133" s="72"/>
      <c r="U133" s="72">
        <v>1287.8164895048601</v>
      </c>
      <c r="V133" t="s">
        <v>296</v>
      </c>
    </row>
    <row r="134" spans="1:24">
      <c r="A134" s="547" t="s">
        <v>433</v>
      </c>
      <c r="B134" s="547"/>
      <c r="C134" s="547"/>
      <c r="D134" s="547"/>
      <c r="E134" s="547"/>
      <c r="F134" s="547"/>
      <c r="G134" s="547"/>
      <c r="H134" s="547"/>
      <c r="I134" s="547"/>
      <c r="J134" s="547"/>
      <c r="K134" s="547"/>
      <c r="N134" t="s">
        <v>304</v>
      </c>
      <c r="W134" t="s">
        <v>305</v>
      </c>
      <c r="X134" t="s">
        <v>306</v>
      </c>
    </row>
    <row r="135" spans="1:24">
      <c r="A135" s="494"/>
      <c r="B135" s="494"/>
      <c r="C135" s="494"/>
      <c r="D135" s="494"/>
      <c r="E135" s="494"/>
      <c r="F135" s="494"/>
      <c r="G135" s="494"/>
      <c r="H135" s="494"/>
      <c r="I135" s="494"/>
      <c r="J135" s="494"/>
      <c r="N135" t="s">
        <v>307</v>
      </c>
    </row>
    <row r="136" spans="1:24" s="488" customFormat="1">
      <c r="A136" s="495" t="s">
        <v>465</v>
      </c>
      <c r="B136" s="495">
        <v>2019</v>
      </c>
      <c r="C136" s="495">
        <v>2020</v>
      </c>
      <c r="D136" s="495">
        <v>2025</v>
      </c>
      <c r="E136" s="495">
        <v>2030</v>
      </c>
      <c r="F136" s="495">
        <v>2035</v>
      </c>
      <c r="G136" s="495">
        <v>2040</v>
      </c>
      <c r="H136" s="495">
        <v>2045</v>
      </c>
      <c r="I136" s="495">
        <v>2050</v>
      </c>
      <c r="J136" s="495" t="s">
        <v>405</v>
      </c>
    </row>
    <row r="137" spans="1:24" s="488" customFormat="1">
      <c r="A137" s="495" t="s">
        <v>466</v>
      </c>
      <c r="B137" s="495">
        <v>0</v>
      </c>
      <c r="C137" s="495">
        <v>1.1399999999999999</v>
      </c>
      <c r="D137" s="495">
        <v>4.5599999999999996</v>
      </c>
      <c r="E137" s="495">
        <v>4.988387281947845</v>
      </c>
      <c r="F137" s="495">
        <v>5.1288422759279513</v>
      </c>
      <c r="G137" s="495">
        <v>5.1662830563413378</v>
      </c>
      <c r="H137" s="495">
        <v>5.184603668974229</v>
      </c>
      <c r="I137" s="495">
        <v>5.1954729544985625</v>
      </c>
      <c r="J137" s="495"/>
    </row>
    <row r="138" spans="1:24" s="488" customFormat="1">
      <c r="A138" s="495" t="s">
        <v>467</v>
      </c>
      <c r="B138" s="496">
        <v>30.689212004756222</v>
      </c>
      <c r="C138" s="496">
        <v>29.549212004756221</v>
      </c>
      <c r="D138" s="496">
        <v>27.317193568731781</v>
      </c>
      <c r="E138" s="496">
        <v>27.258893421203158</v>
      </c>
      <c r="F138" s="496">
        <v>27.559251300903693</v>
      </c>
      <c r="G138" s="496">
        <v>28.065723813619478</v>
      </c>
      <c r="H138" s="496">
        <v>28.534880333669481</v>
      </c>
      <c r="I138" s="496">
        <v>28.697285128103957</v>
      </c>
      <c r="J138" s="495"/>
    </row>
    <row r="139" spans="1:24">
      <c r="A139" s="546" t="s">
        <v>595</v>
      </c>
      <c r="B139" s="546"/>
      <c r="C139" s="546"/>
      <c r="D139" s="546"/>
      <c r="E139" s="546"/>
      <c r="F139" s="546"/>
      <c r="G139" s="546"/>
      <c r="H139" s="546"/>
      <c r="I139" s="546"/>
      <c r="J139" s="546"/>
    </row>
    <row r="140" spans="1:24" s="488" customFormat="1">
      <c r="A140" s="492"/>
      <c r="B140" s="492"/>
      <c r="C140" s="492"/>
      <c r="D140" s="492"/>
      <c r="E140" s="492"/>
      <c r="F140" s="492"/>
      <c r="G140" s="492"/>
      <c r="H140" s="492"/>
      <c r="I140" s="492"/>
      <c r="J140" s="492"/>
    </row>
    <row r="141" spans="1:24">
      <c r="A141" s="544" t="s">
        <v>308</v>
      </c>
      <c r="B141" s="544"/>
      <c r="C141" s="544"/>
      <c r="D141" s="544"/>
      <c r="E141" s="544"/>
      <c r="F141" s="544"/>
      <c r="G141" s="544"/>
      <c r="H141" s="544"/>
      <c r="I141" s="544"/>
      <c r="J141" s="544"/>
      <c r="K141" s="544"/>
    </row>
    <row r="142" spans="1:24">
      <c r="A142" s="548" t="s">
        <v>309</v>
      </c>
      <c r="B142" s="548"/>
      <c r="C142" s="548"/>
      <c r="D142" s="548"/>
      <c r="E142" s="548"/>
      <c r="F142" s="548"/>
      <c r="G142" s="548"/>
      <c r="H142" s="548"/>
      <c r="I142" s="548"/>
      <c r="J142" s="170"/>
      <c r="K142" s="170"/>
    </row>
    <row r="144" spans="1:24">
      <c r="A144" s="516" t="s">
        <v>310</v>
      </c>
      <c r="B144" s="516"/>
      <c r="C144" s="516"/>
      <c r="D144" s="516"/>
      <c r="E144" s="516"/>
      <c r="F144" s="516"/>
      <c r="G144" s="516"/>
      <c r="H144" s="516"/>
      <c r="I144" s="516"/>
      <c r="J144" s="516"/>
      <c r="M144" s="516" t="s">
        <v>311</v>
      </c>
      <c r="N144" s="516"/>
      <c r="O144" s="516"/>
      <c r="P144" s="516"/>
      <c r="Q144" s="516"/>
      <c r="R144" s="516"/>
      <c r="S144" s="516"/>
      <c r="T144" s="516"/>
      <c r="U144" s="516"/>
    </row>
    <row r="146" spans="1:21">
      <c r="A146" s="1" t="s">
        <v>312</v>
      </c>
      <c r="B146" s="1">
        <v>2019</v>
      </c>
      <c r="C146" s="1">
        <v>2020</v>
      </c>
      <c r="D146" s="1">
        <v>2025</v>
      </c>
      <c r="E146" s="1">
        <v>2030</v>
      </c>
      <c r="F146" s="1">
        <v>2035</v>
      </c>
      <c r="G146" s="1">
        <v>2040</v>
      </c>
      <c r="H146" s="1">
        <v>2045</v>
      </c>
      <c r="I146" s="1">
        <v>2050</v>
      </c>
      <c r="J146" s="246" t="s">
        <v>405</v>
      </c>
      <c r="M146" s="1"/>
      <c r="N146" s="1">
        <v>2015</v>
      </c>
      <c r="O146" s="1">
        <v>2020</v>
      </c>
      <c r="P146" s="1">
        <v>2025</v>
      </c>
      <c r="Q146" s="1">
        <v>2030</v>
      </c>
      <c r="R146" s="1">
        <v>2035</v>
      </c>
      <c r="S146" s="1">
        <v>2040</v>
      </c>
      <c r="T146" s="1">
        <v>2045</v>
      </c>
      <c r="U146" s="1">
        <v>2050</v>
      </c>
    </row>
    <row r="147" spans="1:21">
      <c r="A147" s="1" t="s">
        <v>288</v>
      </c>
      <c r="B147" s="171">
        <v>0</v>
      </c>
      <c r="C147" s="171">
        <v>0</v>
      </c>
      <c r="D147" s="172">
        <v>0</v>
      </c>
      <c r="E147" s="171">
        <v>0</v>
      </c>
      <c r="F147" s="172">
        <v>0</v>
      </c>
      <c r="G147" s="171">
        <v>0</v>
      </c>
      <c r="H147" s="172">
        <v>0</v>
      </c>
      <c r="I147" s="171">
        <v>0</v>
      </c>
      <c r="J147" s="297" t="s">
        <v>434</v>
      </c>
      <c r="K147" t="s">
        <v>427</v>
      </c>
      <c r="M147" s="1" t="s">
        <v>313</v>
      </c>
      <c r="N147" s="1">
        <v>40</v>
      </c>
      <c r="O147" s="1"/>
      <c r="P147" s="1"/>
      <c r="Q147" s="1"/>
      <c r="R147" s="1"/>
      <c r="S147" s="1"/>
      <c r="T147" s="1"/>
      <c r="U147" s="1">
        <v>10</v>
      </c>
    </row>
    <row r="149" spans="1:21">
      <c r="A149" s="516" t="s">
        <v>314</v>
      </c>
      <c r="B149" s="516"/>
      <c r="C149" s="516"/>
      <c r="D149" s="516"/>
      <c r="E149" s="516"/>
      <c r="F149" s="516"/>
      <c r="G149" s="516"/>
      <c r="H149" s="516"/>
      <c r="I149" s="516"/>
      <c r="J149" s="516"/>
      <c r="M149" s="516" t="s">
        <v>315</v>
      </c>
      <c r="N149" s="516"/>
      <c r="O149" s="516"/>
      <c r="P149" s="516"/>
      <c r="Q149" s="516"/>
      <c r="R149" s="516"/>
      <c r="S149" s="516"/>
      <c r="T149" s="516"/>
      <c r="U149" s="516"/>
    </row>
    <row r="151" spans="1:21">
      <c r="A151" s="1" t="s">
        <v>312</v>
      </c>
      <c r="B151" s="1">
        <v>2019</v>
      </c>
      <c r="C151" s="1">
        <v>2020</v>
      </c>
      <c r="D151" s="1">
        <v>2025</v>
      </c>
      <c r="E151" s="1">
        <v>2030</v>
      </c>
      <c r="F151" s="1">
        <v>2035</v>
      </c>
      <c r="G151" s="1">
        <v>2040</v>
      </c>
      <c r="H151" s="1">
        <v>2045</v>
      </c>
      <c r="I151" s="1">
        <v>2050</v>
      </c>
      <c r="J151" s="246" t="s">
        <v>405</v>
      </c>
      <c r="M151" s="1"/>
      <c r="N151" s="1">
        <v>2015</v>
      </c>
      <c r="O151" s="1">
        <v>2020</v>
      </c>
      <c r="P151" s="1">
        <v>2025</v>
      </c>
      <c r="Q151" s="1">
        <v>2030</v>
      </c>
      <c r="R151" s="1">
        <v>2035</v>
      </c>
      <c r="S151" s="1">
        <v>2040</v>
      </c>
      <c r="T151" s="1">
        <v>2045</v>
      </c>
      <c r="U151" s="1">
        <v>2050</v>
      </c>
    </row>
    <row r="152" spans="1:21">
      <c r="A152" s="1" t="s">
        <v>288</v>
      </c>
      <c r="B152" s="171">
        <v>0</v>
      </c>
      <c r="C152" s="171">
        <v>0</v>
      </c>
      <c r="D152" s="172">
        <v>0</v>
      </c>
      <c r="E152" s="171">
        <v>0</v>
      </c>
      <c r="F152" s="172">
        <v>0</v>
      </c>
      <c r="G152" s="171">
        <v>0</v>
      </c>
      <c r="H152" s="172">
        <v>0</v>
      </c>
      <c r="I152" s="171">
        <v>0</v>
      </c>
      <c r="J152" s="297" t="s">
        <v>434</v>
      </c>
      <c r="K152" t="s">
        <v>427</v>
      </c>
      <c r="M152" s="1" t="s">
        <v>313</v>
      </c>
      <c r="N152" s="1"/>
      <c r="O152" s="1"/>
      <c r="P152" s="1"/>
      <c r="Q152" s="1"/>
      <c r="R152" s="1"/>
      <c r="S152" s="1"/>
      <c r="T152" s="1"/>
      <c r="U152" s="1"/>
    </row>
    <row r="154" spans="1:21">
      <c r="A154" s="548" t="s">
        <v>316</v>
      </c>
      <c r="B154" s="548"/>
      <c r="C154" s="548"/>
      <c r="D154" s="548"/>
      <c r="E154" s="548"/>
      <c r="F154" s="548"/>
      <c r="G154" s="548"/>
      <c r="H154" s="548"/>
      <c r="I154" s="548"/>
    </row>
    <row r="156" spans="1:21">
      <c r="A156" s="516" t="s">
        <v>310</v>
      </c>
      <c r="B156" s="516"/>
      <c r="C156" s="516"/>
      <c r="D156" s="516"/>
      <c r="E156" s="516"/>
      <c r="F156" s="516"/>
      <c r="G156" s="516"/>
      <c r="H156" s="516"/>
      <c r="I156" s="516"/>
      <c r="J156" s="516"/>
    </row>
    <row r="158" spans="1:21">
      <c r="A158" s="1" t="s">
        <v>312</v>
      </c>
      <c r="B158" s="1">
        <v>2019</v>
      </c>
      <c r="C158" s="1">
        <v>2020</v>
      </c>
      <c r="D158" s="1">
        <v>2025</v>
      </c>
      <c r="E158" s="1">
        <v>2030</v>
      </c>
      <c r="F158" s="1">
        <v>2035</v>
      </c>
      <c r="G158" s="1">
        <v>2040</v>
      </c>
      <c r="H158" s="1">
        <v>2045</v>
      </c>
      <c r="I158" s="1">
        <v>2050</v>
      </c>
      <c r="J158" s="246" t="s">
        <v>405</v>
      </c>
    </row>
    <row r="159" spans="1:21">
      <c r="A159" s="1" t="s">
        <v>288</v>
      </c>
      <c r="B159" s="171">
        <v>0</v>
      </c>
      <c r="C159" s="171">
        <v>0</v>
      </c>
      <c r="D159" s="172">
        <v>0</v>
      </c>
      <c r="E159" s="171">
        <v>0</v>
      </c>
      <c r="F159" s="172">
        <v>0</v>
      </c>
      <c r="G159" s="171">
        <v>0</v>
      </c>
      <c r="H159" s="172">
        <v>0</v>
      </c>
      <c r="I159" s="171">
        <v>0</v>
      </c>
      <c r="J159" s="297" t="s">
        <v>434</v>
      </c>
      <c r="K159" t="s">
        <v>427</v>
      </c>
    </row>
    <row r="161" spans="1:11">
      <c r="A161" s="516" t="s">
        <v>314</v>
      </c>
      <c r="B161" s="516"/>
      <c r="C161" s="516"/>
      <c r="D161" s="516"/>
      <c r="E161" s="516"/>
      <c r="F161" s="516"/>
      <c r="G161" s="516"/>
      <c r="H161" s="516"/>
      <c r="I161" s="516"/>
      <c r="J161" s="516"/>
    </row>
    <row r="163" spans="1:11">
      <c r="A163" s="1" t="s">
        <v>312</v>
      </c>
      <c r="B163" s="1">
        <v>2019</v>
      </c>
      <c r="C163" s="1">
        <v>2020</v>
      </c>
      <c r="D163" s="1">
        <v>2025</v>
      </c>
      <c r="E163" s="1">
        <v>2030</v>
      </c>
      <c r="F163" s="1">
        <v>2035</v>
      </c>
      <c r="G163" s="1">
        <v>2040</v>
      </c>
      <c r="H163" s="1">
        <v>2045</v>
      </c>
      <c r="I163" s="1">
        <v>2050</v>
      </c>
      <c r="J163" s="246" t="s">
        <v>405</v>
      </c>
    </row>
    <row r="164" spans="1:11">
      <c r="A164" s="1" t="s">
        <v>288</v>
      </c>
      <c r="B164" s="171">
        <v>0</v>
      </c>
      <c r="C164" s="171">
        <v>0</v>
      </c>
      <c r="D164" s="172">
        <v>0</v>
      </c>
      <c r="E164" s="171">
        <v>0</v>
      </c>
      <c r="F164" s="172">
        <v>0</v>
      </c>
      <c r="G164" s="171">
        <v>0</v>
      </c>
      <c r="H164" s="172">
        <v>0</v>
      </c>
      <c r="I164" s="171">
        <v>0</v>
      </c>
      <c r="J164" s="297" t="s">
        <v>434</v>
      </c>
      <c r="K164" t="s">
        <v>427</v>
      </c>
    </row>
    <row r="166" spans="1:11">
      <c r="A166" s="544" t="s">
        <v>317</v>
      </c>
      <c r="B166" s="544"/>
      <c r="C166" s="544"/>
      <c r="D166" s="544"/>
      <c r="E166" s="544"/>
      <c r="F166" s="544"/>
      <c r="G166" s="544"/>
      <c r="H166" s="544"/>
      <c r="I166" s="544"/>
      <c r="J166" s="544"/>
      <c r="K166" s="544"/>
    </row>
    <row r="168" spans="1:11">
      <c r="A168" s="516" t="s">
        <v>310</v>
      </c>
      <c r="B168" s="516"/>
      <c r="C168" s="516"/>
      <c r="D168" s="516"/>
      <c r="E168" s="516"/>
      <c r="F168" s="516"/>
      <c r="G168" s="516"/>
      <c r="H168" s="516"/>
      <c r="I168" s="516"/>
      <c r="J168" s="516"/>
    </row>
    <row r="169" spans="1:11">
      <c r="B169" s="173"/>
      <c r="C169" s="173"/>
      <c r="D169" s="173"/>
      <c r="E169" s="173"/>
      <c r="F169" s="173"/>
      <c r="G169" s="173"/>
      <c r="H169" s="173"/>
      <c r="I169" s="173"/>
    </row>
    <row r="170" spans="1:11">
      <c r="A170" s="30" t="s">
        <v>312</v>
      </c>
      <c r="B170" s="30">
        <v>2019</v>
      </c>
      <c r="C170" s="30">
        <v>2020</v>
      </c>
      <c r="D170" s="30">
        <v>2025</v>
      </c>
      <c r="E170" s="30">
        <v>2030</v>
      </c>
      <c r="F170" s="30">
        <v>2035</v>
      </c>
      <c r="G170" s="30">
        <v>2040</v>
      </c>
      <c r="H170" s="30">
        <v>2045</v>
      </c>
      <c r="I170" s="182">
        <v>2050</v>
      </c>
      <c r="J170" s="246" t="s">
        <v>435</v>
      </c>
      <c r="K170" t="s">
        <v>427</v>
      </c>
    </row>
    <row r="171" spans="1:11">
      <c r="A171" s="30" t="s">
        <v>318</v>
      </c>
      <c r="B171" s="164">
        <f t="shared" ref="B171:I171" si="21">B74</f>
        <v>10.057508988918919</v>
      </c>
      <c r="C171" s="164">
        <f t="shared" si="21"/>
        <v>10.057508988918919</v>
      </c>
      <c r="D171" s="164">
        <f t="shared" si="21"/>
        <v>10.065009135607434</v>
      </c>
      <c r="E171" s="164">
        <f t="shared" si="21"/>
        <v>10.071259257847863</v>
      </c>
      <c r="F171" s="164">
        <f t="shared" si="21"/>
        <v>10.077509380088294</v>
      </c>
      <c r="G171" s="164">
        <f t="shared" si="21"/>
        <v>10.083759502328725</v>
      </c>
      <c r="H171" s="164">
        <f t="shared" si="21"/>
        <v>10.090009624569154</v>
      </c>
      <c r="I171" s="164">
        <f t="shared" si="21"/>
        <v>10.096259746809583</v>
      </c>
      <c r="J171" s="297" t="s">
        <v>436</v>
      </c>
      <c r="K171" t="s">
        <v>427</v>
      </c>
    </row>
    <row r="172" spans="1:11">
      <c r="A172" s="246" t="s">
        <v>319</v>
      </c>
      <c r="B172" s="164">
        <f>K18</f>
        <v>1.9550000000000001</v>
      </c>
      <c r="C172" s="164">
        <f>L18</f>
        <v>0</v>
      </c>
      <c r="D172" s="164">
        <f t="shared" ref="D172:I174" si="22">$B172/$B$171*D$171</f>
        <v>1.9564578944738906</v>
      </c>
      <c r="E172" s="164">
        <f t="shared" si="22"/>
        <v>1.9576728065354658</v>
      </c>
      <c r="F172" s="164">
        <f t="shared" si="22"/>
        <v>1.9588877185970415</v>
      </c>
      <c r="G172" s="164">
        <f t="shared" si="22"/>
        <v>1.9601026306586169</v>
      </c>
      <c r="H172" s="164">
        <f t="shared" si="22"/>
        <v>1.9613175427201921</v>
      </c>
      <c r="I172" s="291">
        <f t="shared" si="22"/>
        <v>1.9625324547817673</v>
      </c>
      <c r="J172" s="297" t="s">
        <v>437</v>
      </c>
      <c r="K172" t="s">
        <v>427</v>
      </c>
    </row>
    <row r="173" spans="1:11">
      <c r="A173" s="246" t="s">
        <v>321</v>
      </c>
      <c r="B173" s="164">
        <f>K19</f>
        <v>0</v>
      </c>
      <c r="C173" s="164">
        <f>L19</f>
        <v>0</v>
      </c>
      <c r="D173" s="164">
        <f t="shared" si="22"/>
        <v>0</v>
      </c>
      <c r="E173" s="164">
        <f t="shared" si="22"/>
        <v>0</v>
      </c>
      <c r="F173" s="164">
        <f t="shared" si="22"/>
        <v>0</v>
      </c>
      <c r="G173" s="164">
        <f t="shared" si="22"/>
        <v>0</v>
      </c>
      <c r="H173" s="164">
        <f t="shared" si="22"/>
        <v>0</v>
      </c>
      <c r="I173" s="291">
        <f t="shared" si="22"/>
        <v>0</v>
      </c>
      <c r="J173" s="297" t="s">
        <v>437</v>
      </c>
      <c r="K173" t="s">
        <v>427</v>
      </c>
    </row>
    <row r="174" spans="1:11">
      <c r="A174" s="246" t="s">
        <v>322</v>
      </c>
      <c r="B174" s="164">
        <f>K16</f>
        <v>8.1025089889189186</v>
      </c>
      <c r="C174" s="164">
        <f>L16</f>
        <v>0</v>
      </c>
      <c r="D174" s="164">
        <f t="shared" si="22"/>
        <v>8.1085512411335436</v>
      </c>
      <c r="E174" s="164">
        <f t="shared" si="22"/>
        <v>8.1135864513123988</v>
      </c>
      <c r="F174" s="164">
        <f t="shared" si="22"/>
        <v>8.1186216614912539</v>
      </c>
      <c r="G174" s="164">
        <f t="shared" si="22"/>
        <v>8.123656871670109</v>
      </c>
      <c r="H174" s="164">
        <f t="shared" si="22"/>
        <v>8.1286920818489623</v>
      </c>
      <c r="I174" s="291">
        <f t="shared" si="22"/>
        <v>8.1337272920278156</v>
      </c>
      <c r="J174" s="297" t="s">
        <v>437</v>
      </c>
      <c r="K174" t="s">
        <v>427</v>
      </c>
    </row>
    <row r="175" spans="1:11">
      <c r="B175" s="173"/>
      <c r="C175" s="173"/>
      <c r="D175" s="173"/>
      <c r="E175" s="173"/>
      <c r="F175" s="173"/>
      <c r="G175" s="173"/>
      <c r="H175" s="173"/>
      <c r="I175" s="173"/>
      <c r="J175" s="297"/>
      <c r="K175" t="s">
        <v>427</v>
      </c>
    </row>
    <row r="176" spans="1:11">
      <c r="A176" s="246" t="s">
        <v>323</v>
      </c>
      <c r="B176" s="164">
        <f t="shared" ref="B176:I176" si="23">B118</f>
        <v>11.770204482996997</v>
      </c>
      <c r="C176" s="164">
        <f t="shared" si="23"/>
        <v>11.770204482996997</v>
      </c>
      <c r="D176" s="164">
        <f t="shared" si="23"/>
        <v>11.120912818230154</v>
      </c>
      <c r="E176" s="164">
        <f t="shared" si="23"/>
        <v>10.579836430924452</v>
      </c>
      <c r="F176" s="164">
        <f t="shared" si="23"/>
        <v>10.038760043618751</v>
      </c>
      <c r="G176" s="164">
        <f t="shared" si="23"/>
        <v>9.4976836563130504</v>
      </c>
      <c r="H176" s="164">
        <f t="shared" si="23"/>
        <v>8.9566072690073497</v>
      </c>
      <c r="I176" s="164">
        <f t="shared" si="23"/>
        <v>8.4155308817016454</v>
      </c>
      <c r="J176" s="297"/>
      <c r="K176" t="s">
        <v>427</v>
      </c>
    </row>
    <row r="177" spans="1:11">
      <c r="A177" s="246" t="s">
        <v>319</v>
      </c>
      <c r="B177" s="164">
        <f>'Bilan d''énergie SDES historique'!D31</f>
        <v>0.98388888888888892</v>
      </c>
      <c r="C177" s="164">
        <f>B177</f>
        <v>0.98388888888888892</v>
      </c>
      <c r="D177" s="164">
        <f t="shared" ref="D177:I179" si="24">$B177/$B$176*D$176</f>
        <v>0.92961363347296921</v>
      </c>
      <c r="E177" s="164">
        <f t="shared" si="24"/>
        <v>0.88438425395970266</v>
      </c>
      <c r="F177" s="164">
        <f t="shared" si="24"/>
        <v>0.83915487444643633</v>
      </c>
      <c r="G177" s="164">
        <f t="shared" si="24"/>
        <v>0.79392549493317</v>
      </c>
      <c r="H177" s="164">
        <f t="shared" si="24"/>
        <v>0.74869611541990366</v>
      </c>
      <c r="I177" s="291">
        <f t="shared" si="24"/>
        <v>0.703466735906637</v>
      </c>
      <c r="J177" s="297" t="s">
        <v>437</v>
      </c>
      <c r="K177" t="s">
        <v>427</v>
      </c>
    </row>
    <row r="178" spans="1:11">
      <c r="A178" s="246" t="s">
        <v>321</v>
      </c>
      <c r="B178" s="164">
        <v>0</v>
      </c>
      <c r="C178" s="164">
        <f>B178</f>
        <v>0</v>
      </c>
      <c r="D178" s="164">
        <f t="shared" si="24"/>
        <v>0</v>
      </c>
      <c r="E178" s="164">
        <f t="shared" si="24"/>
        <v>0</v>
      </c>
      <c r="F178" s="164">
        <f t="shared" si="24"/>
        <v>0</v>
      </c>
      <c r="G178" s="164">
        <f t="shared" si="24"/>
        <v>0</v>
      </c>
      <c r="H178" s="164">
        <f t="shared" si="24"/>
        <v>0</v>
      </c>
      <c r="I178" s="291">
        <f t="shared" si="24"/>
        <v>0</v>
      </c>
      <c r="J178" s="297" t="s">
        <v>437</v>
      </c>
      <c r="K178" t="s">
        <v>427</v>
      </c>
    </row>
    <row r="179" spans="1:11">
      <c r="A179" s="246" t="s">
        <v>322</v>
      </c>
      <c r="B179" s="164">
        <f>'Bilan d''énergie SDES historique'!N31</f>
        <v>10.786315594108109</v>
      </c>
      <c r="C179" s="164">
        <f>B179</f>
        <v>10.786315594108109</v>
      </c>
      <c r="D179" s="164">
        <f t="shared" si="24"/>
        <v>10.191299184757186</v>
      </c>
      <c r="E179" s="164">
        <f t="shared" si="24"/>
        <v>9.6954521769647499</v>
      </c>
      <c r="F179" s="164">
        <f t="shared" si="24"/>
        <v>9.1996051691723153</v>
      </c>
      <c r="G179" s="164">
        <f t="shared" si="24"/>
        <v>8.7037581613798807</v>
      </c>
      <c r="H179" s="164">
        <f t="shared" si="24"/>
        <v>8.2079111535874461</v>
      </c>
      <c r="I179" s="291">
        <f t="shared" si="24"/>
        <v>7.7120641457950088</v>
      </c>
      <c r="J179" s="297" t="s">
        <v>437</v>
      </c>
      <c r="K179" t="s">
        <v>428</v>
      </c>
    </row>
    <row r="180" spans="1:11">
      <c r="A180" s="541" t="s">
        <v>438</v>
      </c>
      <c r="B180" s="541"/>
      <c r="C180" s="541"/>
      <c r="D180" s="541"/>
      <c r="E180" s="541"/>
      <c r="F180" s="541"/>
      <c r="G180" s="541"/>
      <c r="H180" s="541"/>
      <c r="I180" s="541"/>
      <c r="J180" s="541"/>
    </row>
    <row r="182" spans="1:11">
      <c r="A182" s="516" t="s">
        <v>314</v>
      </c>
      <c r="B182" s="516"/>
      <c r="C182" s="516"/>
      <c r="D182" s="516"/>
      <c r="E182" s="516"/>
      <c r="F182" s="516"/>
      <c r="G182" s="516"/>
      <c r="H182" s="516"/>
      <c r="I182" s="516"/>
      <c r="J182" s="516"/>
    </row>
    <row r="183" spans="1:11">
      <c r="B183" s="173"/>
      <c r="C183" s="173"/>
      <c r="D183" s="173"/>
      <c r="E183" s="173"/>
      <c r="F183" s="173"/>
      <c r="G183" s="173"/>
      <c r="H183" s="173"/>
      <c r="I183" s="173"/>
    </row>
    <row r="184" spans="1:11" s="488" customFormat="1">
      <c r="B184" s="173"/>
      <c r="C184" s="173"/>
      <c r="D184" s="173"/>
      <c r="E184" s="173"/>
      <c r="F184" s="173"/>
      <c r="G184" s="173"/>
      <c r="H184" s="173"/>
      <c r="I184" s="173"/>
    </row>
    <row r="185" spans="1:11">
      <c r="A185" s="30" t="s">
        <v>312</v>
      </c>
      <c r="B185" s="30">
        <v>2019</v>
      </c>
      <c r="C185" s="30">
        <v>2020</v>
      </c>
      <c r="D185" s="30">
        <v>2025</v>
      </c>
      <c r="E185" s="30">
        <v>2030</v>
      </c>
      <c r="F185" s="30">
        <v>2035</v>
      </c>
      <c r="G185" s="30">
        <v>2040</v>
      </c>
      <c r="H185" s="30">
        <v>2045</v>
      </c>
      <c r="I185" s="182">
        <v>2050</v>
      </c>
      <c r="J185" s="246" t="s">
        <v>405</v>
      </c>
      <c r="K185" t="s">
        <v>427</v>
      </c>
    </row>
    <row r="186" spans="1:11">
      <c r="A186" s="30" t="s">
        <v>318</v>
      </c>
      <c r="B186" s="155">
        <f t="shared" ref="B186:I186" si="25">B152+B90</f>
        <v>10.057508988918919</v>
      </c>
      <c r="C186" s="155">
        <f t="shared" si="25"/>
        <v>10.057508988918919</v>
      </c>
      <c r="D186" s="155">
        <f t="shared" si="25"/>
        <v>9.2828942344696159</v>
      </c>
      <c r="E186" s="155">
        <f t="shared" si="25"/>
        <v>8.6373819390951976</v>
      </c>
      <c r="F186" s="155">
        <f t="shared" si="25"/>
        <v>7.9918696437207792</v>
      </c>
      <c r="G186" s="155">
        <f t="shared" si="25"/>
        <v>7.3463573483463627</v>
      </c>
      <c r="H186" s="155">
        <f t="shared" si="25"/>
        <v>6.7008450529719434</v>
      </c>
      <c r="I186" s="296">
        <f t="shared" si="25"/>
        <v>6.055332757597526</v>
      </c>
      <c r="J186" s="297"/>
      <c r="K186" t="s">
        <v>427</v>
      </c>
    </row>
    <row r="187" spans="1:11">
      <c r="A187" s="246" t="s">
        <v>319</v>
      </c>
      <c r="B187" s="171">
        <f>K18</f>
        <v>1.9550000000000001</v>
      </c>
      <c r="C187" s="164">
        <f>B187</f>
        <v>1.9550000000000001</v>
      </c>
      <c r="D187" s="155">
        <f>C187+($I187-$C187)/6</f>
        <v>1.6291666666666667</v>
      </c>
      <c r="E187" s="155">
        <f>D187+($I187-$C187)/6</f>
        <v>1.3033333333333332</v>
      </c>
      <c r="F187" s="155">
        <f>E187+($I187-$C187)/6</f>
        <v>0.97749999999999981</v>
      </c>
      <c r="G187" s="155">
        <f>F187+($I187-$C187)/6</f>
        <v>0.65166666666666639</v>
      </c>
      <c r="H187" s="155">
        <f>G187+($I187-$C187)/6</f>
        <v>0.32583333333333303</v>
      </c>
      <c r="I187" s="296">
        <v>0</v>
      </c>
      <c r="J187" s="297" t="s">
        <v>324</v>
      </c>
      <c r="K187" t="s">
        <v>427</v>
      </c>
    </row>
    <row r="188" spans="1:11">
      <c r="A188" s="246" t="s">
        <v>321</v>
      </c>
      <c r="B188" s="171">
        <f>K19</f>
        <v>0</v>
      </c>
      <c r="C188" s="164">
        <f>L19</f>
        <v>0</v>
      </c>
      <c r="D188" s="155">
        <f t="shared" ref="D188:I188" si="26">$C188/$C$186*D$186+($C187/$C186*D186/3)</f>
        <v>0.60147624520754006</v>
      </c>
      <c r="E188" s="155">
        <f t="shared" si="26"/>
        <v>0.55965089399160117</v>
      </c>
      <c r="F188" s="155">
        <f t="shared" si="26"/>
        <v>0.51782554277566228</v>
      </c>
      <c r="G188" s="155">
        <f t="shared" si="26"/>
        <v>0.47600019155972356</v>
      </c>
      <c r="H188" s="155">
        <f t="shared" si="26"/>
        <v>0.43417484034378462</v>
      </c>
      <c r="I188" s="296">
        <f t="shared" si="26"/>
        <v>0.39234948912784584</v>
      </c>
      <c r="J188" s="297" t="s">
        <v>325</v>
      </c>
      <c r="K188" t="s">
        <v>427</v>
      </c>
    </row>
    <row r="189" spans="1:11">
      <c r="A189" s="246" t="s">
        <v>322</v>
      </c>
      <c r="B189" s="171">
        <f>B174</f>
        <v>8.1025089889189186</v>
      </c>
      <c r="C189" s="164">
        <f>C174</f>
        <v>0</v>
      </c>
      <c r="D189" s="155">
        <f t="shared" ref="D189:I189" si="27">D186-D187-D188</f>
        <v>7.0522513225954091</v>
      </c>
      <c r="E189" s="155">
        <f t="shared" si="27"/>
        <v>6.7743977117702636</v>
      </c>
      <c r="F189" s="155">
        <f t="shared" si="27"/>
        <v>6.4965441009451173</v>
      </c>
      <c r="G189" s="155">
        <f t="shared" si="27"/>
        <v>6.2186904901199727</v>
      </c>
      <c r="H189" s="155">
        <f t="shared" si="27"/>
        <v>5.9408368792948263</v>
      </c>
      <c r="I189" s="296">
        <f t="shared" si="27"/>
        <v>5.6629832684696799</v>
      </c>
      <c r="J189" s="297" t="s">
        <v>326</v>
      </c>
      <c r="K189" t="s">
        <v>427</v>
      </c>
    </row>
    <row r="190" spans="1:11">
      <c r="B190" s="173"/>
      <c r="C190" s="173"/>
      <c r="D190" s="173"/>
      <c r="E190" s="173"/>
      <c r="F190" s="173"/>
      <c r="G190" s="173"/>
      <c r="H190" s="173"/>
      <c r="I190" s="173"/>
      <c r="J190" s="297"/>
    </row>
    <row r="191" spans="1:11">
      <c r="A191" s="246" t="s">
        <v>323</v>
      </c>
      <c r="B191" s="155">
        <f t="shared" ref="B191:I191" si="28">B164+B133</f>
        <v>11.770204482996997</v>
      </c>
      <c r="C191" s="155">
        <f t="shared" si="28"/>
        <v>11.770204482996997</v>
      </c>
      <c r="D191" s="155">
        <f t="shared" si="28"/>
        <v>5.5585165407030992</v>
      </c>
      <c r="E191" s="155">
        <f t="shared" si="28"/>
        <v>5.1882767526819586</v>
      </c>
      <c r="F191" s="155">
        <f t="shared" si="28"/>
        <v>4.8180369646608181</v>
      </c>
      <c r="G191" s="155">
        <f t="shared" si="28"/>
        <v>4.4477971766396776</v>
      </c>
      <c r="H191" s="155">
        <f t="shared" si="28"/>
        <v>4.077557388618537</v>
      </c>
      <c r="I191" s="296">
        <f t="shared" si="28"/>
        <v>3.7073176005973956</v>
      </c>
      <c r="J191" s="297"/>
      <c r="K191" t="s">
        <v>427</v>
      </c>
    </row>
    <row r="192" spans="1:11">
      <c r="A192" s="246" t="s">
        <v>319</v>
      </c>
      <c r="B192" s="171">
        <f t="shared" ref="B192:C194" si="29">B177</f>
        <v>0.98388888888888892</v>
      </c>
      <c r="C192" s="171">
        <f t="shared" si="29"/>
        <v>0.98388888888888892</v>
      </c>
      <c r="D192" s="155">
        <f>C192+($I192-$C192)/6</f>
        <v>0.81990740740740742</v>
      </c>
      <c r="E192" s="155">
        <f>D192+($I192-$C192)/6</f>
        <v>0.65592592592592591</v>
      </c>
      <c r="F192" s="155">
        <f>E192+($I192-$C192)/6</f>
        <v>0.49194444444444441</v>
      </c>
      <c r="G192" s="155">
        <f>F192+($I192-$C192)/6</f>
        <v>0.3279629629629629</v>
      </c>
      <c r="H192" s="155">
        <f>G192+($I192-$C192)/6</f>
        <v>0.16398148148148142</v>
      </c>
      <c r="I192" s="296">
        <v>0</v>
      </c>
      <c r="J192" s="297" t="s">
        <v>324</v>
      </c>
      <c r="K192" t="s">
        <v>427</v>
      </c>
    </row>
    <row r="193" spans="1:11">
      <c r="A193" s="246" t="s">
        <v>321</v>
      </c>
      <c r="B193" s="171">
        <f t="shared" si="29"/>
        <v>0</v>
      </c>
      <c r="C193" s="171">
        <f t="shared" si="29"/>
        <v>0</v>
      </c>
      <c r="D193" s="155">
        <f t="shared" ref="D193:I193" si="30">$C193/$C$191*D$191</f>
        <v>0</v>
      </c>
      <c r="E193" s="155">
        <f t="shared" si="30"/>
        <v>0</v>
      </c>
      <c r="F193" s="155">
        <f t="shared" si="30"/>
        <v>0</v>
      </c>
      <c r="G193" s="155">
        <f t="shared" si="30"/>
        <v>0</v>
      </c>
      <c r="H193" s="155">
        <f t="shared" si="30"/>
        <v>0</v>
      </c>
      <c r="I193" s="296">
        <f t="shared" si="30"/>
        <v>0</v>
      </c>
      <c r="J193" s="297" t="s">
        <v>320</v>
      </c>
      <c r="K193" t="s">
        <v>427</v>
      </c>
    </row>
    <row r="194" spans="1:11">
      <c r="A194" s="246" t="s">
        <v>322</v>
      </c>
      <c r="B194" s="171">
        <f t="shared" si="29"/>
        <v>10.786315594108109</v>
      </c>
      <c r="C194" s="171">
        <f t="shared" si="29"/>
        <v>10.786315594108109</v>
      </c>
      <c r="D194" s="155">
        <f t="shared" ref="D194:I194" si="31">D191-D192-D193</f>
        <v>4.7386091332956921</v>
      </c>
      <c r="E194" s="155">
        <f t="shared" si="31"/>
        <v>4.5323508267560326</v>
      </c>
      <c r="F194" s="155">
        <f t="shared" si="31"/>
        <v>4.326092520216374</v>
      </c>
      <c r="G194" s="155">
        <f t="shared" si="31"/>
        <v>4.1198342136767145</v>
      </c>
      <c r="H194" s="155">
        <f t="shared" si="31"/>
        <v>3.9135759071370555</v>
      </c>
      <c r="I194" s="296">
        <f t="shared" si="31"/>
        <v>3.7073176005973956</v>
      </c>
      <c r="J194" s="297" t="s">
        <v>326</v>
      </c>
      <c r="K194" t="s">
        <v>428</v>
      </c>
    </row>
    <row r="195" spans="1:11">
      <c r="A195" s="541" t="s">
        <v>439</v>
      </c>
      <c r="B195" s="541"/>
      <c r="C195" s="541"/>
      <c r="D195" s="541"/>
      <c r="E195" s="541"/>
      <c r="F195" s="541"/>
      <c r="G195" s="541"/>
      <c r="H195" s="541"/>
      <c r="I195" s="541"/>
      <c r="J195" s="541"/>
    </row>
  </sheetData>
  <mergeCells count="42">
    <mergeCell ref="A195:J195"/>
    <mergeCell ref="A182:J182"/>
    <mergeCell ref="A168:J168"/>
    <mergeCell ref="A161:J161"/>
    <mergeCell ref="A156:J156"/>
    <mergeCell ref="A154:I154"/>
    <mergeCell ref="A166:K166"/>
    <mergeCell ref="A180:J180"/>
    <mergeCell ref="A141:K141"/>
    <mergeCell ref="A142:I142"/>
    <mergeCell ref="A91:K91"/>
    <mergeCell ref="A119:K119"/>
    <mergeCell ref="A134:K134"/>
    <mergeCell ref="A126:K126"/>
    <mergeCell ref="A110:K110"/>
    <mergeCell ref="A100:K100"/>
    <mergeCell ref="A124:J124"/>
    <mergeCell ref="A96:J96"/>
    <mergeCell ref="M144:U144"/>
    <mergeCell ref="M149:U149"/>
    <mergeCell ref="A149:J149"/>
    <mergeCell ref="A144:J144"/>
    <mergeCell ref="A98:K98"/>
    <mergeCell ref="M110:U110"/>
    <mergeCell ref="M126:U126"/>
    <mergeCell ref="A139:J139"/>
    <mergeCell ref="M65:U65"/>
    <mergeCell ref="M82:U82"/>
    <mergeCell ref="A2:K2"/>
    <mergeCell ref="M21:U21"/>
    <mergeCell ref="M36:U36"/>
    <mergeCell ref="A34:J34"/>
    <mergeCell ref="A36:K36"/>
    <mergeCell ref="A21:K21"/>
    <mergeCell ref="A4:K4"/>
    <mergeCell ref="A49:J49"/>
    <mergeCell ref="A75:K75"/>
    <mergeCell ref="A82:K82"/>
    <mergeCell ref="A65:K65"/>
    <mergeCell ref="A53:K53"/>
    <mergeCell ref="A51:K51"/>
    <mergeCell ref="A80:J80"/>
  </mergeCells>
  <pageMargins left="0.7" right="0.7" top="0.75" bottom="0.75" header="0.51180555555555496" footer="0.51180555555555496"/>
  <pageSetup paperSize="9" firstPageNumber="0" orientation="landscape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Pour Enerdata</vt:lpstr>
      <vt:lpstr>DESCRIPTION</vt:lpstr>
      <vt:lpstr>Hypothèses</vt:lpstr>
      <vt:lpstr>Bilan d'énergie</vt:lpstr>
      <vt:lpstr>Cadrage macroéconomique </vt:lpstr>
      <vt:lpstr>Prod Energie</vt:lpstr>
      <vt:lpstr>Transports</vt:lpstr>
      <vt:lpstr>Industrie</vt:lpstr>
      <vt:lpstr>Résidentiel-tertiaire</vt:lpstr>
      <vt:lpstr>Agriculture</vt:lpstr>
      <vt:lpstr>UTCATF</vt:lpstr>
      <vt:lpstr>Déchets</vt:lpstr>
      <vt:lpstr>GES</vt:lpstr>
      <vt:lpstr>CH4</vt:lpstr>
      <vt:lpstr>N2O</vt:lpstr>
      <vt:lpstr>HFC</vt:lpstr>
      <vt:lpstr>CO2</vt:lpstr>
      <vt:lpstr>Bilan d'énergie SDES historique</vt:lpstr>
      <vt:lpstr>Calculs</vt:lpstr>
    </vt:vector>
  </TitlesOfParts>
  <Company>MTES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CHAIGNEAU Yanis</dc:creator>
  <dc:description/>
  <cp:lastModifiedBy>CHAIGNEAU Yanis</cp:lastModifiedBy>
  <cp:revision>1</cp:revision>
  <dcterms:created xsi:type="dcterms:W3CDTF">2022-05-19T17:31:58Z</dcterms:created>
  <dcterms:modified xsi:type="dcterms:W3CDTF">2023-02-09T09:49:31Z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MTES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