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L:\4_Inventaires d'émissions, prospective et évaluation\42_Prospective\421_Scénarios prospectifs DGEC\4215_Scénarios 2023\10-Hyp cadrage\"/>
    </mc:Choice>
  </mc:AlternateContent>
  <bookViews>
    <workbookView xWindow="0" yWindow="0" windowWidth="16380" windowHeight="8196" tabRatio="500" activeTab="3"/>
  </bookViews>
  <sheets>
    <sheet name="1. Population" sheetId="1" r:id="rId1"/>
    <sheet name="pop_active" sheetId="2" r:id="rId2"/>
    <sheet name="2. PIB" sheetId="3" r:id="rId3"/>
    <sheet name="PIB Branches" sheetId="8" r:id="rId4"/>
    <sheet name="3. Prix des énergies" sheetId="5" r:id="rId5"/>
    <sheet name="4. Prix du C" sheetId="6" r:id="rId6"/>
    <sheet name="5. Dynamiques sociales" sheetId="7" r:id="rId7"/>
  </sheets>
  <externalReferences>
    <externalReference r:id="rId8"/>
  </externalReference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H20" i="8" l="1"/>
  <c r="H19" i="8"/>
  <c r="H18" i="8"/>
  <c r="H17" i="8"/>
  <c r="H16" i="8"/>
  <c r="H15" i="8"/>
  <c r="H14" i="8"/>
  <c r="H13" i="8"/>
  <c r="H12" i="8"/>
  <c r="G20" i="8"/>
  <c r="F20" i="8"/>
  <c r="E20" i="8"/>
  <c r="G19" i="8"/>
  <c r="F19" i="8"/>
  <c r="E19" i="8"/>
  <c r="G18" i="8"/>
  <c r="F18" i="8"/>
  <c r="E18" i="8"/>
  <c r="G17" i="8"/>
  <c r="F17" i="8"/>
  <c r="E17" i="8"/>
  <c r="G16" i="8"/>
  <c r="F16" i="8"/>
  <c r="E16" i="8"/>
  <c r="G15" i="8"/>
  <c r="F15" i="8"/>
  <c r="E15" i="8"/>
  <c r="G14" i="8"/>
  <c r="F14" i="8"/>
  <c r="E14" i="8"/>
  <c r="G13" i="8"/>
  <c r="F13" i="8"/>
  <c r="E13" i="8"/>
  <c r="G12" i="8"/>
  <c r="F12" i="8"/>
  <c r="E12" i="8"/>
  <c r="E21" i="8"/>
  <c r="F21" i="8"/>
  <c r="G21" i="8"/>
  <c r="H21" i="8"/>
  <c r="I21" i="8"/>
  <c r="J21" i="8"/>
  <c r="K21" i="8"/>
  <c r="L21" i="8"/>
  <c r="N57" i="8"/>
  <c r="N58" i="8" s="1"/>
  <c r="N56" i="8"/>
  <c r="H100" i="8"/>
  <c r="G100" i="8"/>
  <c r="F100" i="8"/>
  <c r="E100" i="8"/>
  <c r="K96" i="8"/>
  <c r="K94" i="8"/>
  <c r="H88" i="8"/>
  <c r="G88" i="8"/>
  <c r="F88" i="8"/>
  <c r="E88" i="8"/>
  <c r="BH77" i="8"/>
  <c r="BG77" i="8"/>
  <c r="BF77" i="8"/>
  <c r="BE77" i="8"/>
  <c r="BD77" i="8"/>
  <c r="BC77" i="8"/>
  <c r="BB77" i="8"/>
  <c r="BA77" i="8"/>
  <c r="AZ77" i="8"/>
  <c r="AY77" i="8"/>
  <c r="AX77" i="8"/>
  <c r="AW77" i="8"/>
  <c r="AV77" i="8"/>
  <c r="AU77" i="8"/>
  <c r="AT77" i="8"/>
  <c r="AS77" i="8"/>
  <c r="AR77" i="8"/>
  <c r="AQ77" i="8"/>
  <c r="AP77" i="8"/>
  <c r="AO77" i="8"/>
  <c r="AN77" i="8"/>
  <c r="AM77" i="8"/>
  <c r="AL77" i="8"/>
  <c r="AK77" i="8"/>
  <c r="AJ77" i="8"/>
  <c r="AI77" i="8"/>
  <c r="AH77" i="8"/>
  <c r="AG77" i="8"/>
  <c r="AF77" i="8"/>
  <c r="AE77" i="8"/>
  <c r="BH76" i="8"/>
  <c r="BG76" i="8"/>
  <c r="BF76" i="8"/>
  <c r="BE76" i="8"/>
  <c r="BD76" i="8"/>
  <c r="BC76" i="8"/>
  <c r="BB76" i="8"/>
  <c r="BA76" i="8"/>
  <c r="AZ76" i="8"/>
  <c r="AY76" i="8"/>
  <c r="AX76" i="8"/>
  <c r="AW76" i="8"/>
  <c r="AV76" i="8"/>
  <c r="AU76" i="8"/>
  <c r="AT76" i="8"/>
  <c r="AS76" i="8"/>
  <c r="AR76" i="8"/>
  <c r="AQ76" i="8"/>
  <c r="AP76" i="8"/>
  <c r="AO76" i="8"/>
  <c r="AN76" i="8"/>
  <c r="AM76" i="8"/>
  <c r="AL76" i="8"/>
  <c r="AK76" i="8"/>
  <c r="AJ76" i="8"/>
  <c r="AI76" i="8"/>
  <c r="I96" i="8" s="1"/>
  <c r="AH76" i="8"/>
  <c r="AG76" i="8"/>
  <c r="AF76" i="8"/>
  <c r="AE76" i="8"/>
  <c r="L96" i="8" s="1"/>
  <c r="F76" i="8"/>
  <c r="F84" i="8" s="1"/>
  <c r="BH75" i="8"/>
  <c r="BG75" i="8"/>
  <c r="BF75" i="8"/>
  <c r="BE75" i="8"/>
  <c r="BD75" i="8"/>
  <c r="BC75" i="8"/>
  <c r="BB75" i="8"/>
  <c r="BA75" i="8"/>
  <c r="AZ75" i="8"/>
  <c r="AY75" i="8"/>
  <c r="AX75" i="8"/>
  <c r="L95" i="8" s="1"/>
  <c r="AW75" i="8"/>
  <c r="AV75" i="8"/>
  <c r="AU75" i="8"/>
  <c r="AT75" i="8"/>
  <c r="AS75" i="8"/>
  <c r="AR75" i="8"/>
  <c r="AQ75" i="8"/>
  <c r="AP75" i="8"/>
  <c r="AO75" i="8"/>
  <c r="AN75" i="8"/>
  <c r="AM75" i="8"/>
  <c r="AL75" i="8"/>
  <c r="AL78" i="8" s="1"/>
  <c r="AK75" i="8"/>
  <c r="AJ75" i="8"/>
  <c r="AI75" i="8"/>
  <c r="I95" i="8" s="1"/>
  <c r="AH75" i="8"/>
  <c r="AG75" i="8"/>
  <c r="AF75" i="8"/>
  <c r="AE75" i="8"/>
  <c r="BH74" i="8"/>
  <c r="N94" i="8" s="1"/>
  <c r="BG74" i="8"/>
  <c r="BF74" i="8"/>
  <c r="BE74" i="8"/>
  <c r="BD74" i="8"/>
  <c r="BC74" i="8"/>
  <c r="M94" i="8" s="1"/>
  <c r="BB74" i="8"/>
  <c r="BA74" i="8"/>
  <c r="AZ74" i="8"/>
  <c r="AY74" i="8"/>
  <c r="AX74" i="8"/>
  <c r="L94" i="8" s="1"/>
  <c r="AW74" i="8"/>
  <c r="AV74" i="8"/>
  <c r="AU74" i="8"/>
  <c r="AT74" i="8"/>
  <c r="AS74" i="8"/>
  <c r="AR74" i="8"/>
  <c r="AQ74" i="8"/>
  <c r="AP74" i="8"/>
  <c r="AO74" i="8"/>
  <c r="AN74" i="8"/>
  <c r="AM74" i="8"/>
  <c r="AL74" i="8"/>
  <c r="AK74" i="8"/>
  <c r="AJ74" i="8"/>
  <c r="AI74" i="8"/>
  <c r="AH74" i="8"/>
  <c r="AG74" i="8"/>
  <c r="AF74" i="8"/>
  <c r="AE74" i="8"/>
  <c r="BH73" i="8"/>
  <c r="BG73" i="8"/>
  <c r="BF73" i="8"/>
  <c r="BE73" i="8"/>
  <c r="BD73" i="8"/>
  <c r="BC73" i="8"/>
  <c r="BB73" i="8"/>
  <c r="BA73" i="8"/>
  <c r="AZ73" i="8"/>
  <c r="AY73" i="8"/>
  <c r="AX73" i="8"/>
  <c r="AW73" i="8"/>
  <c r="AV73" i="8"/>
  <c r="AU73" i="8"/>
  <c r="AT73" i="8"/>
  <c r="AS73" i="8"/>
  <c r="AR73" i="8"/>
  <c r="AQ73" i="8"/>
  <c r="AP73" i="8"/>
  <c r="AO73" i="8"/>
  <c r="AN73" i="8"/>
  <c r="J93" i="8" s="1"/>
  <c r="AM73" i="8"/>
  <c r="AL73" i="8"/>
  <c r="AK73" i="8"/>
  <c r="AJ73" i="8"/>
  <c r="AI73" i="8"/>
  <c r="AH73" i="8"/>
  <c r="AG73" i="8"/>
  <c r="AF73" i="8"/>
  <c r="AE73" i="8"/>
  <c r="F73" i="8"/>
  <c r="BH72" i="8"/>
  <c r="BG72" i="8"/>
  <c r="BF72" i="8"/>
  <c r="BE72" i="8"/>
  <c r="BD72" i="8"/>
  <c r="BC72" i="8"/>
  <c r="M92" i="8" s="1"/>
  <c r="BB72" i="8"/>
  <c r="BA72" i="8"/>
  <c r="AZ72" i="8"/>
  <c r="AY72" i="8"/>
  <c r="AX72" i="8"/>
  <c r="AW72" i="8"/>
  <c r="AV72" i="8"/>
  <c r="AU72" i="8"/>
  <c r="AT72" i="8"/>
  <c r="AS72" i="8"/>
  <c r="K92" i="8" s="1"/>
  <c r="AR72" i="8"/>
  <c r="AQ72" i="8"/>
  <c r="AP72" i="8"/>
  <c r="AO72" i="8"/>
  <c r="AN72" i="8"/>
  <c r="J92" i="8" s="1"/>
  <c r="AM72" i="8"/>
  <c r="AL72" i="8"/>
  <c r="AK72" i="8"/>
  <c r="AJ72" i="8"/>
  <c r="AI72" i="8"/>
  <c r="AH72" i="8"/>
  <c r="AG72" i="8"/>
  <c r="AF72" i="8"/>
  <c r="AE72" i="8"/>
  <c r="G72" i="8"/>
  <c r="G74" i="8" s="1"/>
  <c r="F72" i="8"/>
  <c r="F74" i="8" s="1"/>
  <c r="E72" i="8"/>
  <c r="E76" i="8" s="1"/>
  <c r="BH67" i="8"/>
  <c r="BG67" i="8"/>
  <c r="BF67" i="8"/>
  <c r="BE67" i="8"/>
  <c r="BD67" i="8"/>
  <c r="BC67" i="8"/>
  <c r="BB67" i="8"/>
  <c r="BA67" i="8"/>
  <c r="AZ67" i="8"/>
  <c r="AY67" i="8"/>
  <c r="AX67" i="8"/>
  <c r="AW67" i="8"/>
  <c r="AV67" i="8"/>
  <c r="AU67" i="8"/>
  <c r="AT67" i="8"/>
  <c r="AS67" i="8"/>
  <c r="AR67" i="8"/>
  <c r="AQ67" i="8"/>
  <c r="AP67" i="8"/>
  <c r="AO67" i="8"/>
  <c r="AN67" i="8"/>
  <c r="AM67" i="8"/>
  <c r="AL67" i="8"/>
  <c r="AK67" i="8"/>
  <c r="AJ67" i="8"/>
  <c r="AI67" i="8"/>
  <c r="AH67" i="8"/>
  <c r="AG67" i="8"/>
  <c r="AF67" i="8"/>
  <c r="AE67" i="8"/>
  <c r="BH66" i="8"/>
  <c r="BG66" i="8"/>
  <c r="BF66" i="8"/>
  <c r="BE66" i="8"/>
  <c r="BD66" i="8"/>
  <c r="BC66" i="8"/>
  <c r="BB66" i="8"/>
  <c r="BA66" i="8"/>
  <c r="AZ66" i="8"/>
  <c r="AY66" i="8"/>
  <c r="AX66" i="8"/>
  <c r="AW66" i="8"/>
  <c r="AV66" i="8"/>
  <c r="AU66" i="8"/>
  <c r="AT66" i="8"/>
  <c r="AS66" i="8"/>
  <c r="AR66" i="8"/>
  <c r="AQ66" i="8"/>
  <c r="AP66" i="8"/>
  <c r="AO66" i="8"/>
  <c r="AN66" i="8"/>
  <c r="AM66" i="8"/>
  <c r="AL66" i="8"/>
  <c r="AK66" i="8"/>
  <c r="AJ66" i="8"/>
  <c r="AI66" i="8"/>
  <c r="AH66" i="8"/>
  <c r="AG66" i="8"/>
  <c r="AF66" i="8"/>
  <c r="AE66" i="8"/>
  <c r="BH65" i="8"/>
  <c r="BG65" i="8"/>
  <c r="BF65" i="8"/>
  <c r="BE65" i="8"/>
  <c r="BD65" i="8"/>
  <c r="BC65" i="8"/>
  <c r="BB65" i="8"/>
  <c r="BA65" i="8"/>
  <c r="AZ65" i="8"/>
  <c r="AY65" i="8"/>
  <c r="AX65" i="8"/>
  <c r="AW65" i="8"/>
  <c r="AV65" i="8"/>
  <c r="AU65" i="8"/>
  <c r="AT65" i="8"/>
  <c r="AS65" i="8"/>
  <c r="AR65" i="8"/>
  <c r="AQ65" i="8"/>
  <c r="AP65" i="8"/>
  <c r="AO65" i="8"/>
  <c r="AN65" i="8"/>
  <c r="AM65" i="8"/>
  <c r="AL65" i="8"/>
  <c r="AK65" i="8"/>
  <c r="AJ65" i="8"/>
  <c r="AI65" i="8"/>
  <c r="AH65" i="8"/>
  <c r="AG65" i="8"/>
  <c r="AF65" i="8"/>
  <c r="AE65" i="8"/>
  <c r="BH64" i="8"/>
  <c r="BG64" i="8"/>
  <c r="BF64" i="8"/>
  <c r="BE64" i="8"/>
  <c r="BD64" i="8"/>
  <c r="BC64" i="8"/>
  <c r="BB64" i="8"/>
  <c r="BA64" i="8"/>
  <c r="AZ64" i="8"/>
  <c r="AY64" i="8"/>
  <c r="AX64" i="8"/>
  <c r="AW64" i="8"/>
  <c r="AV64" i="8"/>
  <c r="AU64" i="8"/>
  <c r="AT64" i="8"/>
  <c r="AS64" i="8"/>
  <c r="AR64" i="8"/>
  <c r="AQ64" i="8"/>
  <c r="AP64" i="8"/>
  <c r="AO64" i="8"/>
  <c r="AN64" i="8"/>
  <c r="AM64" i="8"/>
  <c r="AL64" i="8"/>
  <c r="AK64" i="8"/>
  <c r="AJ64" i="8"/>
  <c r="AI64" i="8"/>
  <c r="AH64" i="8"/>
  <c r="AG64" i="8"/>
  <c r="AF64" i="8"/>
  <c r="AE64" i="8"/>
  <c r="N64" i="8"/>
  <c r="M64" i="8"/>
  <c r="L64" i="8"/>
  <c r="K64" i="8"/>
  <c r="K65" i="8" s="1"/>
  <c r="J64" i="8"/>
  <c r="J65" i="8" s="1"/>
  <c r="I64" i="8"/>
  <c r="BH63" i="8"/>
  <c r="BG63" i="8"/>
  <c r="BF63" i="8"/>
  <c r="BE63" i="8"/>
  <c r="BD63" i="8"/>
  <c r="BC63" i="8"/>
  <c r="BB63" i="8"/>
  <c r="BA63" i="8"/>
  <c r="AZ63" i="8"/>
  <c r="AY63" i="8"/>
  <c r="AX63" i="8"/>
  <c r="AW63" i="8"/>
  <c r="AV63" i="8"/>
  <c r="AU63" i="8"/>
  <c r="AT63" i="8"/>
  <c r="AS63" i="8"/>
  <c r="AR63" i="8"/>
  <c r="AQ63" i="8"/>
  <c r="AP63" i="8"/>
  <c r="AO63" i="8"/>
  <c r="AN63" i="8"/>
  <c r="AM63" i="8"/>
  <c r="AL63" i="8"/>
  <c r="AK63" i="8"/>
  <c r="AJ63" i="8"/>
  <c r="AI63" i="8"/>
  <c r="AH63" i="8"/>
  <c r="AG63" i="8"/>
  <c r="AF63" i="8"/>
  <c r="AE63" i="8"/>
  <c r="N63" i="8"/>
  <c r="M63" i="8"/>
  <c r="L63" i="8"/>
  <c r="K63" i="8"/>
  <c r="J63" i="8"/>
  <c r="I63" i="8"/>
  <c r="BH62" i="8"/>
  <c r="BG62" i="8"/>
  <c r="BF62" i="8"/>
  <c r="BE62" i="8"/>
  <c r="BD62" i="8"/>
  <c r="BC62" i="8"/>
  <c r="BB62" i="8"/>
  <c r="BA62" i="8"/>
  <c r="AZ62" i="8"/>
  <c r="AY62" i="8"/>
  <c r="AX62" i="8"/>
  <c r="AW62" i="8"/>
  <c r="AV62" i="8"/>
  <c r="AU62" i="8"/>
  <c r="AT62" i="8"/>
  <c r="AS62" i="8"/>
  <c r="AR62" i="8"/>
  <c r="AQ62" i="8"/>
  <c r="AP62" i="8"/>
  <c r="AO62" i="8"/>
  <c r="AN62" i="8"/>
  <c r="AM62" i="8"/>
  <c r="AL62" i="8"/>
  <c r="AK62" i="8"/>
  <c r="AJ62" i="8"/>
  <c r="AI62" i="8"/>
  <c r="AH62" i="8"/>
  <c r="AG62" i="8"/>
  <c r="AF62" i="8"/>
  <c r="AE62" i="8"/>
  <c r="N62" i="8"/>
  <c r="M62" i="8"/>
  <c r="L62" i="8"/>
  <c r="K62" i="8"/>
  <c r="J62" i="8"/>
  <c r="I62" i="8"/>
  <c r="BH61" i="8"/>
  <c r="BG61" i="8"/>
  <c r="BF61" i="8"/>
  <c r="BE61" i="8"/>
  <c r="BD61" i="8"/>
  <c r="BC61" i="8"/>
  <c r="BB61" i="8"/>
  <c r="BA61" i="8"/>
  <c r="AZ61" i="8"/>
  <c r="AY61" i="8"/>
  <c r="AX61" i="8"/>
  <c r="AW61" i="8"/>
  <c r="AV61" i="8"/>
  <c r="AU61" i="8"/>
  <c r="AT61" i="8"/>
  <c r="AS61" i="8"/>
  <c r="AR61" i="8"/>
  <c r="AQ61" i="8"/>
  <c r="AP61" i="8"/>
  <c r="AO61" i="8"/>
  <c r="AN61" i="8"/>
  <c r="AM61" i="8"/>
  <c r="AL61" i="8"/>
  <c r="AK61" i="8"/>
  <c r="AJ61" i="8"/>
  <c r="AI61" i="8"/>
  <c r="AH61" i="8"/>
  <c r="AG61" i="8"/>
  <c r="AF61" i="8"/>
  <c r="AE61" i="8"/>
  <c r="N61" i="8"/>
  <c r="M61" i="8"/>
  <c r="L61" i="8"/>
  <c r="K61" i="8"/>
  <c r="J61" i="8"/>
  <c r="I61" i="8"/>
  <c r="BH60" i="8"/>
  <c r="BG60" i="8"/>
  <c r="BF60" i="8"/>
  <c r="BE60" i="8"/>
  <c r="BD60" i="8"/>
  <c r="BC60" i="8"/>
  <c r="BB60" i="8"/>
  <c r="BA60" i="8"/>
  <c r="AZ60" i="8"/>
  <c r="AY60" i="8"/>
  <c r="AX60" i="8"/>
  <c r="AW60" i="8"/>
  <c r="AV60" i="8"/>
  <c r="AU60" i="8"/>
  <c r="AT60" i="8"/>
  <c r="AS60" i="8"/>
  <c r="AR60" i="8"/>
  <c r="AQ60" i="8"/>
  <c r="AP60" i="8"/>
  <c r="AO60" i="8"/>
  <c r="AN60" i="8"/>
  <c r="AM60" i="8"/>
  <c r="AL60" i="8"/>
  <c r="AK60" i="8"/>
  <c r="AJ60" i="8"/>
  <c r="AI60" i="8"/>
  <c r="AH60" i="8"/>
  <c r="AG60" i="8"/>
  <c r="AF60" i="8"/>
  <c r="AE60" i="8"/>
  <c r="N60" i="8"/>
  <c r="M60" i="8"/>
  <c r="L60" i="8"/>
  <c r="K60" i="8"/>
  <c r="J60" i="8"/>
  <c r="I60" i="8"/>
  <c r="BH59" i="8"/>
  <c r="BG59" i="8"/>
  <c r="BF59" i="8"/>
  <c r="BE59" i="8"/>
  <c r="BD59" i="8"/>
  <c r="BC59" i="8"/>
  <c r="BB59" i="8"/>
  <c r="BA59" i="8"/>
  <c r="AZ59" i="8"/>
  <c r="AY59" i="8"/>
  <c r="AX59" i="8"/>
  <c r="AW59" i="8"/>
  <c r="AV59" i="8"/>
  <c r="AU59" i="8"/>
  <c r="AT59" i="8"/>
  <c r="AS59" i="8"/>
  <c r="AR59" i="8"/>
  <c r="AQ59" i="8"/>
  <c r="AP59" i="8"/>
  <c r="AO59" i="8"/>
  <c r="AN59" i="8"/>
  <c r="AM59" i="8"/>
  <c r="AL59" i="8"/>
  <c r="AK59" i="8"/>
  <c r="AJ59" i="8"/>
  <c r="AI59" i="8"/>
  <c r="AH59" i="8"/>
  <c r="AG59" i="8"/>
  <c r="AF59" i="8"/>
  <c r="AE59" i="8"/>
  <c r="N59" i="8"/>
  <c r="M59" i="8"/>
  <c r="L59" i="8"/>
  <c r="K59" i="8"/>
  <c r="J59" i="8"/>
  <c r="I59" i="8"/>
  <c r="BH58" i="8"/>
  <c r="N87" i="8" s="1"/>
  <c r="BG58" i="8"/>
  <c r="BF58" i="8"/>
  <c r="BE58" i="8"/>
  <c r="BD58" i="8"/>
  <c r="BC58" i="8"/>
  <c r="BB58" i="8"/>
  <c r="BA58" i="8"/>
  <c r="AZ58" i="8"/>
  <c r="AY58" i="8"/>
  <c r="AX58" i="8"/>
  <c r="AW58" i="8"/>
  <c r="AV58" i="8"/>
  <c r="AU58" i="8"/>
  <c r="AT58" i="8"/>
  <c r="AS58" i="8"/>
  <c r="K87" i="8" s="1"/>
  <c r="AR58" i="8"/>
  <c r="AQ58" i="8"/>
  <c r="AP58" i="8"/>
  <c r="AO58" i="8"/>
  <c r="AN58" i="8"/>
  <c r="AM58" i="8"/>
  <c r="AL58" i="8"/>
  <c r="AK58" i="8"/>
  <c r="AJ58" i="8"/>
  <c r="AI58" i="8"/>
  <c r="AH58" i="8"/>
  <c r="AG58" i="8"/>
  <c r="AF58" i="8"/>
  <c r="AE58" i="8"/>
  <c r="BH57" i="8"/>
  <c r="BG57" i="8"/>
  <c r="BF57" i="8"/>
  <c r="BE57" i="8"/>
  <c r="BD57" i="8"/>
  <c r="BC57" i="8"/>
  <c r="BB57" i="8"/>
  <c r="BA57" i="8"/>
  <c r="AZ57" i="8"/>
  <c r="AY57" i="8"/>
  <c r="AX57" i="8"/>
  <c r="AW57" i="8"/>
  <c r="AV57" i="8"/>
  <c r="AU57" i="8"/>
  <c r="AT57" i="8"/>
  <c r="AS57" i="8"/>
  <c r="AR57" i="8"/>
  <c r="AQ57" i="8"/>
  <c r="AP57" i="8"/>
  <c r="AO57" i="8"/>
  <c r="AN57" i="8"/>
  <c r="AM57" i="8"/>
  <c r="AL57" i="8"/>
  <c r="AK57" i="8"/>
  <c r="AJ57" i="8"/>
  <c r="AI57" i="8"/>
  <c r="AH57" i="8"/>
  <c r="AG57" i="8"/>
  <c r="AF57" i="8"/>
  <c r="AE57" i="8"/>
  <c r="M57" i="8"/>
  <c r="M58" i="8" s="1"/>
  <c r="L57" i="8"/>
  <c r="L58" i="8" s="1"/>
  <c r="K57" i="8"/>
  <c r="K58" i="8" s="1"/>
  <c r="J57" i="8"/>
  <c r="J58" i="8" s="1"/>
  <c r="I57" i="8"/>
  <c r="I58" i="8" s="1"/>
  <c r="BH56" i="8"/>
  <c r="BG56" i="8"/>
  <c r="BF56" i="8"/>
  <c r="BE56" i="8"/>
  <c r="BD56" i="8"/>
  <c r="BC56" i="8"/>
  <c r="BB56" i="8"/>
  <c r="BA56" i="8"/>
  <c r="AZ56" i="8"/>
  <c r="AY56" i="8"/>
  <c r="AX56" i="8"/>
  <c r="AW56" i="8"/>
  <c r="AV56" i="8"/>
  <c r="AU56" i="8"/>
  <c r="AT56" i="8"/>
  <c r="AS56" i="8"/>
  <c r="AR56" i="8"/>
  <c r="AQ56" i="8"/>
  <c r="AP56" i="8"/>
  <c r="AO56" i="8"/>
  <c r="AN56" i="8"/>
  <c r="AM56" i="8"/>
  <c r="AL56" i="8"/>
  <c r="AK56" i="8"/>
  <c r="AJ56" i="8"/>
  <c r="AI56" i="8"/>
  <c r="AH56" i="8"/>
  <c r="AG56" i="8"/>
  <c r="AF56" i="8"/>
  <c r="AE56" i="8"/>
  <c r="M56" i="8"/>
  <c r="L56" i="8"/>
  <c r="L55" i="8" s="1"/>
  <c r="K56" i="8"/>
  <c r="K55" i="8" s="1"/>
  <c r="J56" i="8"/>
  <c r="J55" i="8" s="1"/>
  <c r="I56" i="8"/>
  <c r="BH55" i="8"/>
  <c r="BG55" i="8"/>
  <c r="BF55" i="8"/>
  <c r="BE55" i="8"/>
  <c r="BD55" i="8"/>
  <c r="BC55" i="8"/>
  <c r="BB55" i="8"/>
  <c r="BA55" i="8"/>
  <c r="AZ55" i="8"/>
  <c r="AY55" i="8"/>
  <c r="AX55" i="8"/>
  <c r="AW55" i="8"/>
  <c r="AV55" i="8"/>
  <c r="AU55" i="8"/>
  <c r="AT55" i="8"/>
  <c r="AS55" i="8"/>
  <c r="AR55" i="8"/>
  <c r="AQ55" i="8"/>
  <c r="AP55" i="8"/>
  <c r="AO55" i="8"/>
  <c r="AN55" i="8"/>
  <c r="AM55" i="8"/>
  <c r="AL55" i="8"/>
  <c r="AK55" i="8"/>
  <c r="AJ55" i="8"/>
  <c r="AI55" i="8"/>
  <c r="AH55" i="8"/>
  <c r="AG55" i="8"/>
  <c r="AF55" i="8"/>
  <c r="AE55" i="8"/>
  <c r="H55" i="8"/>
  <c r="G55" i="8"/>
  <c r="F55" i="8"/>
  <c r="E55" i="8"/>
  <c r="BH54" i="8"/>
  <c r="BG54" i="8"/>
  <c r="BF54" i="8"/>
  <c r="BE54" i="8"/>
  <c r="BD54" i="8"/>
  <c r="BC54" i="8"/>
  <c r="BB54" i="8"/>
  <c r="BA54" i="8"/>
  <c r="AZ54" i="8"/>
  <c r="AY54" i="8"/>
  <c r="AX54" i="8"/>
  <c r="AW54" i="8"/>
  <c r="AV54" i="8"/>
  <c r="AU54" i="8"/>
  <c r="AT54" i="8"/>
  <c r="AS54" i="8"/>
  <c r="AR54" i="8"/>
  <c r="AQ54" i="8"/>
  <c r="AP54" i="8"/>
  <c r="AO54" i="8"/>
  <c r="AN54" i="8"/>
  <c r="AM54" i="8"/>
  <c r="AL54" i="8"/>
  <c r="AK54" i="8"/>
  <c r="AJ54" i="8"/>
  <c r="AI54" i="8"/>
  <c r="AH54" i="8"/>
  <c r="AG54" i="8"/>
  <c r="AF54" i="8"/>
  <c r="AE54" i="8"/>
  <c r="N54" i="8"/>
  <c r="M54" i="8"/>
  <c r="L54" i="8"/>
  <c r="K54" i="8"/>
  <c r="J54" i="8"/>
  <c r="I54" i="8"/>
  <c r="BH53" i="8"/>
  <c r="BG53" i="8"/>
  <c r="BF53" i="8"/>
  <c r="BE53" i="8"/>
  <c r="BD53" i="8"/>
  <c r="BC53" i="8"/>
  <c r="BB53" i="8"/>
  <c r="BA53" i="8"/>
  <c r="AZ53" i="8"/>
  <c r="AY53" i="8"/>
  <c r="AX53" i="8"/>
  <c r="AW53" i="8"/>
  <c r="AV53" i="8"/>
  <c r="AU53" i="8"/>
  <c r="AT53" i="8"/>
  <c r="AS53" i="8"/>
  <c r="AR53" i="8"/>
  <c r="AQ53" i="8"/>
  <c r="AP53" i="8"/>
  <c r="AO53" i="8"/>
  <c r="AN53" i="8"/>
  <c r="AM53" i="8"/>
  <c r="AL53" i="8"/>
  <c r="AK53" i="8"/>
  <c r="AJ53" i="8"/>
  <c r="AI53" i="8"/>
  <c r="AH53" i="8"/>
  <c r="AG53" i="8"/>
  <c r="AF53" i="8"/>
  <c r="AE53" i="8"/>
  <c r="N53" i="8"/>
  <c r="M53" i="8"/>
  <c r="L53" i="8"/>
  <c r="K53" i="8"/>
  <c r="J53" i="8"/>
  <c r="I53" i="8"/>
  <c r="BH52" i="8"/>
  <c r="BG52" i="8"/>
  <c r="BF52" i="8"/>
  <c r="BE52" i="8"/>
  <c r="BD52" i="8"/>
  <c r="BC52" i="8"/>
  <c r="BB52" i="8"/>
  <c r="BA52" i="8"/>
  <c r="AZ52" i="8"/>
  <c r="AY52" i="8"/>
  <c r="AX52" i="8"/>
  <c r="AW52" i="8"/>
  <c r="AV52" i="8"/>
  <c r="AU52" i="8"/>
  <c r="AT52" i="8"/>
  <c r="AS52" i="8"/>
  <c r="AR52" i="8"/>
  <c r="AQ52" i="8"/>
  <c r="AP52" i="8"/>
  <c r="AO52" i="8"/>
  <c r="AN52" i="8"/>
  <c r="AM52" i="8"/>
  <c r="AL52" i="8"/>
  <c r="AK52" i="8"/>
  <c r="AJ52" i="8"/>
  <c r="AI52" i="8"/>
  <c r="AH52" i="8"/>
  <c r="AG52" i="8"/>
  <c r="AF52" i="8"/>
  <c r="AE52" i="8"/>
  <c r="BH51" i="8"/>
  <c r="BG51" i="8"/>
  <c r="BF51" i="8"/>
  <c r="BE51" i="8"/>
  <c r="BD51" i="8"/>
  <c r="BC51" i="8"/>
  <c r="BB51" i="8"/>
  <c r="BA51" i="8"/>
  <c r="AZ51" i="8"/>
  <c r="AY51" i="8"/>
  <c r="AX51" i="8"/>
  <c r="AW51" i="8"/>
  <c r="AV51" i="8"/>
  <c r="AU51" i="8"/>
  <c r="AT51" i="8"/>
  <c r="AS51" i="8"/>
  <c r="AR51" i="8"/>
  <c r="AQ51" i="8"/>
  <c r="AP51" i="8"/>
  <c r="AO51" i="8"/>
  <c r="AN51" i="8"/>
  <c r="AM51" i="8"/>
  <c r="AL51" i="8"/>
  <c r="AK51" i="8"/>
  <c r="AJ51" i="8"/>
  <c r="AI51" i="8"/>
  <c r="AH51" i="8"/>
  <c r="AG51" i="8"/>
  <c r="AF51" i="8"/>
  <c r="AE51" i="8"/>
  <c r="BH50" i="8"/>
  <c r="BG50" i="8"/>
  <c r="BF50" i="8"/>
  <c r="BE50" i="8"/>
  <c r="BD50" i="8"/>
  <c r="BC50" i="8"/>
  <c r="BB50" i="8"/>
  <c r="BA50" i="8"/>
  <c r="AZ50" i="8"/>
  <c r="AY50" i="8"/>
  <c r="AX50" i="8"/>
  <c r="AW50" i="8"/>
  <c r="AV50" i="8"/>
  <c r="AU50" i="8"/>
  <c r="AT50" i="8"/>
  <c r="AS50" i="8"/>
  <c r="AR50" i="8"/>
  <c r="AQ50" i="8"/>
  <c r="AP50" i="8"/>
  <c r="AO50" i="8"/>
  <c r="AN50" i="8"/>
  <c r="AM50" i="8"/>
  <c r="AL50" i="8"/>
  <c r="AK50" i="8"/>
  <c r="AJ50" i="8"/>
  <c r="AI50" i="8"/>
  <c r="AH50" i="8"/>
  <c r="AG50" i="8"/>
  <c r="AF50" i="8"/>
  <c r="AE50" i="8"/>
  <c r="BH49" i="8"/>
  <c r="BG49" i="8"/>
  <c r="BF49" i="8"/>
  <c r="BE49" i="8"/>
  <c r="BD49" i="8"/>
  <c r="BC49" i="8"/>
  <c r="BC69" i="8" s="1"/>
  <c r="BB49" i="8"/>
  <c r="BB69" i="8" s="1"/>
  <c r="BB71" i="8" s="1"/>
  <c r="BA49" i="8"/>
  <c r="AZ49" i="8"/>
  <c r="AY49" i="8"/>
  <c r="AX49" i="8"/>
  <c r="AW49" i="8"/>
  <c r="AV49" i="8"/>
  <c r="AU49" i="8"/>
  <c r="AT49" i="8"/>
  <c r="AS49" i="8"/>
  <c r="AR49" i="8"/>
  <c r="AQ49" i="8"/>
  <c r="AQ69" i="8" s="1"/>
  <c r="AQ71" i="8" s="1"/>
  <c r="AP49" i="8"/>
  <c r="AP69" i="8" s="1"/>
  <c r="AP71" i="8" s="1"/>
  <c r="AO49" i="8"/>
  <c r="AN49" i="8"/>
  <c r="AM49" i="8"/>
  <c r="AL49" i="8"/>
  <c r="AK49" i="8"/>
  <c r="AJ49" i="8"/>
  <c r="AI49" i="8"/>
  <c r="AH49" i="8"/>
  <c r="AG49" i="8"/>
  <c r="AF49" i="8"/>
  <c r="AE49" i="8"/>
  <c r="BH48" i="8"/>
  <c r="N86" i="8" s="1"/>
  <c r="BG48" i="8"/>
  <c r="BF48" i="8"/>
  <c r="BE48" i="8"/>
  <c r="BD48" i="8"/>
  <c r="BC48" i="8"/>
  <c r="BB48" i="8"/>
  <c r="BA48" i="8"/>
  <c r="AZ48" i="8"/>
  <c r="AY48" i="8"/>
  <c r="AX48" i="8"/>
  <c r="AW48" i="8"/>
  <c r="AV48" i="8"/>
  <c r="AU48" i="8"/>
  <c r="AT48" i="8"/>
  <c r="AS48" i="8"/>
  <c r="AR48" i="8"/>
  <c r="AQ48" i="8"/>
  <c r="AP48" i="8"/>
  <c r="AO48" i="8"/>
  <c r="AN48" i="8"/>
  <c r="AM48" i="8"/>
  <c r="AL48" i="8"/>
  <c r="AK48" i="8"/>
  <c r="AJ48" i="8"/>
  <c r="AI48" i="8"/>
  <c r="AH48" i="8"/>
  <c r="AG48" i="8"/>
  <c r="AF48" i="8"/>
  <c r="AE48" i="8"/>
  <c r="F45" i="8"/>
  <c r="F43" i="8"/>
  <c r="G42" i="8"/>
  <c r="F42" i="8"/>
  <c r="G41" i="8"/>
  <c r="F41" i="8"/>
  <c r="G40" i="8"/>
  <c r="F40" i="8"/>
  <c r="I39" i="8"/>
  <c r="I72" i="8" s="1"/>
  <c r="H39" i="8"/>
  <c r="H72" i="8" s="1"/>
  <c r="G39" i="8"/>
  <c r="F39" i="8"/>
  <c r="E39" i="8"/>
  <c r="L39" i="8" s="1"/>
  <c r="L41" i="8" s="1"/>
  <c r="L24" i="8"/>
  <c r="K24" i="8"/>
  <c r="J24" i="8"/>
  <c r="I24" i="8"/>
  <c r="H24" i="8"/>
  <c r="G24" i="8"/>
  <c r="F24" i="8"/>
  <c r="E24" i="8"/>
  <c r="L22" i="8"/>
  <c r="K22" i="8"/>
  <c r="J22" i="8"/>
  <c r="I22" i="8"/>
  <c r="H22" i="8"/>
  <c r="G22" i="8"/>
  <c r="F22" i="8"/>
  <c r="E22" i="8"/>
  <c r="AB20" i="8"/>
  <c r="AA20" i="8"/>
  <c r="Z20" i="8"/>
  <c r="Y20" i="8"/>
  <c r="X20" i="8"/>
  <c r="W20" i="8"/>
  <c r="V20" i="8"/>
  <c r="AB19" i="8"/>
  <c r="AA19" i="8"/>
  <c r="Z19" i="8"/>
  <c r="Y19" i="8"/>
  <c r="X19" i="8"/>
  <c r="W19" i="8"/>
  <c r="V19" i="8"/>
  <c r="AB18" i="8"/>
  <c r="AA18" i="8"/>
  <c r="Z18" i="8"/>
  <c r="Y18" i="8"/>
  <c r="X18" i="8"/>
  <c r="W18" i="8"/>
  <c r="V18" i="8"/>
  <c r="AB17" i="8"/>
  <c r="AA17" i="8"/>
  <c r="Z17" i="8"/>
  <c r="Y17" i="8"/>
  <c r="X17" i="8"/>
  <c r="W17" i="8"/>
  <c r="V17" i="8"/>
  <c r="AB16" i="8"/>
  <c r="AA16" i="8"/>
  <c r="Z16" i="8"/>
  <c r="Y16" i="8"/>
  <c r="X16" i="8"/>
  <c r="W16" i="8"/>
  <c r="V16" i="8"/>
  <c r="AB15" i="8"/>
  <c r="AA15" i="8"/>
  <c r="Z15" i="8"/>
  <c r="Y15" i="8"/>
  <c r="X15" i="8"/>
  <c r="W15" i="8"/>
  <c r="V15" i="8"/>
  <c r="AB14" i="8"/>
  <c r="AA14" i="8"/>
  <c r="Z14" i="8"/>
  <c r="Y14" i="8"/>
  <c r="X14" i="8"/>
  <c r="W14" i="8"/>
  <c r="V14" i="8"/>
  <c r="AB13" i="8"/>
  <c r="AA13" i="8"/>
  <c r="Z13" i="8"/>
  <c r="Y13" i="8"/>
  <c r="X13" i="8"/>
  <c r="W13" i="8"/>
  <c r="V13" i="8"/>
  <c r="AB12" i="8"/>
  <c r="AA12" i="8"/>
  <c r="Z12" i="8"/>
  <c r="Y12" i="8"/>
  <c r="X12" i="8"/>
  <c r="W12" i="8"/>
  <c r="V12" i="8"/>
  <c r="L10" i="8"/>
  <c r="L23" i="8" s="1"/>
  <c r="K10" i="8"/>
  <c r="K23" i="8" s="1"/>
  <c r="J10" i="8"/>
  <c r="J23" i="8" s="1"/>
  <c r="I10" i="8"/>
  <c r="I23" i="8" s="1"/>
  <c r="H10" i="8"/>
  <c r="H23" i="8" s="1"/>
  <c r="G10" i="8"/>
  <c r="G23" i="8" s="1"/>
  <c r="F10" i="8"/>
  <c r="F23" i="8" s="1"/>
  <c r="E10" i="8"/>
  <c r="E23" i="8" s="1"/>
  <c r="J39" i="8" l="1"/>
  <c r="J40" i="8" s="1"/>
  <c r="E42" i="8"/>
  <c r="I86" i="8"/>
  <c r="I55" i="8"/>
  <c r="I65" i="8"/>
  <c r="I94" i="8"/>
  <c r="N95" i="8"/>
  <c r="J96" i="8"/>
  <c r="AP78" i="8"/>
  <c r="BB78" i="8"/>
  <c r="AE78" i="8"/>
  <c r="AQ78" i="8"/>
  <c r="M97" i="8"/>
  <c r="M93" i="8"/>
  <c r="E75" i="8"/>
  <c r="G76" i="8"/>
  <c r="AF78" i="8"/>
  <c r="AR78" i="8"/>
  <c r="BD78" i="8"/>
  <c r="L65" i="8"/>
  <c r="AP70" i="8"/>
  <c r="BB70" i="8"/>
  <c r="AM78" i="8"/>
  <c r="AY78" i="8"/>
  <c r="M96" i="8"/>
  <c r="AG78" i="8"/>
  <c r="AS78" i="8"/>
  <c r="BE78" i="8"/>
  <c r="I87" i="8"/>
  <c r="K39" i="8"/>
  <c r="K40" i="8" s="1"/>
  <c r="E43" i="8"/>
  <c r="N39" i="8"/>
  <c r="N42" i="8" s="1"/>
  <c r="M55" i="8"/>
  <c r="M65" i="8"/>
  <c r="AE70" i="8"/>
  <c r="AQ70" i="8"/>
  <c r="BC70" i="8"/>
  <c r="K93" i="8"/>
  <c r="J95" i="8"/>
  <c r="AZ78" i="8"/>
  <c r="AH78" i="8"/>
  <c r="AT78" i="8"/>
  <c r="BF78" i="8"/>
  <c r="J87" i="8"/>
  <c r="M39" i="8"/>
  <c r="M41" i="8" s="1"/>
  <c r="E40" i="8"/>
  <c r="G43" i="8"/>
  <c r="J86" i="8"/>
  <c r="L87" i="8"/>
  <c r="N65" i="8"/>
  <c r="J94" i="8"/>
  <c r="AO78" i="8"/>
  <c r="BA78" i="8"/>
  <c r="AI78" i="8"/>
  <c r="AU78" i="8"/>
  <c r="BG78" i="8"/>
  <c r="L86" i="8"/>
  <c r="AE69" i="8"/>
  <c r="AE71" i="8" s="1"/>
  <c r="I92" i="8"/>
  <c r="I93" i="8"/>
  <c r="AJ78" i="8"/>
  <c r="AV78" i="8"/>
  <c r="BH78" i="8"/>
  <c r="N92" i="8"/>
  <c r="N93" i="8"/>
  <c r="M95" i="8"/>
  <c r="M98" i="8" s="1"/>
  <c r="M100" i="8" s="1"/>
  <c r="AK78" i="8"/>
  <c r="AW78" i="8"/>
  <c r="L97" i="8"/>
  <c r="L98" i="8" s="1"/>
  <c r="L100" i="8" s="1"/>
  <c r="N55" i="8"/>
  <c r="E41" i="8"/>
  <c r="L92" i="8"/>
  <c r="G73" i="8"/>
  <c r="L93" i="8"/>
  <c r="K95" i="8"/>
  <c r="M86" i="8"/>
  <c r="K86" i="8"/>
  <c r="M87" i="8"/>
  <c r="J97" i="8"/>
  <c r="J98" i="8" s="1"/>
  <c r="J100" i="8" s="1"/>
  <c r="L40" i="8"/>
  <c r="I43" i="8"/>
  <c r="I44" i="8" s="1"/>
  <c r="E79" i="8"/>
  <c r="E45" i="8"/>
  <c r="E84" i="8"/>
  <c r="E52" i="8"/>
  <c r="E49" i="8"/>
  <c r="E46" i="8"/>
  <c r="E83" i="8"/>
  <c r="E85" i="8"/>
  <c r="E80" i="8"/>
  <c r="E77" i="8"/>
  <c r="E47" i="8"/>
  <c r="E50" i="8"/>
  <c r="E51" i="8"/>
  <c r="E48" i="8"/>
  <c r="E44" i="8"/>
  <c r="E81" i="8"/>
  <c r="E78" i="8"/>
  <c r="E101" i="8" s="1"/>
  <c r="E82" i="8"/>
  <c r="H43" i="8"/>
  <c r="H74" i="8"/>
  <c r="H40" i="8"/>
  <c r="H75" i="8"/>
  <c r="H41" i="8"/>
  <c r="H42" i="8"/>
  <c r="H76" i="8"/>
  <c r="H73" i="8"/>
  <c r="I74" i="8"/>
  <c r="I73" i="8"/>
  <c r="BF71" i="8"/>
  <c r="AR70" i="8"/>
  <c r="AS70" i="8"/>
  <c r="K90" i="8" s="1"/>
  <c r="K91" i="8" s="1"/>
  <c r="F50" i="8"/>
  <c r="AF69" i="8"/>
  <c r="AF71" i="8" s="1"/>
  <c r="AR69" i="8"/>
  <c r="AR71" i="8" s="1"/>
  <c r="BD69" i="8"/>
  <c r="BD71" i="8" s="1"/>
  <c r="L72" i="8"/>
  <c r="AN78" i="8"/>
  <c r="F80" i="8"/>
  <c r="G83" i="8"/>
  <c r="AG69" i="8"/>
  <c r="AG71" i="8" s="1"/>
  <c r="AS69" i="8"/>
  <c r="K89" i="8" s="1"/>
  <c r="BE69" i="8"/>
  <c r="BE70" i="8" s="1"/>
  <c r="G80" i="8"/>
  <c r="F82" i="8"/>
  <c r="N96" i="8"/>
  <c r="BC71" i="8"/>
  <c r="G50" i="8"/>
  <c r="J43" i="8"/>
  <c r="AH69" i="8"/>
  <c r="AH70" i="8" s="1"/>
  <c r="AT69" i="8"/>
  <c r="AT70" i="8" s="1"/>
  <c r="BF69" i="8"/>
  <c r="BF70" i="8" s="1"/>
  <c r="F75" i="8"/>
  <c r="F78" i="8"/>
  <c r="F101" i="8" s="1"/>
  <c r="G82" i="8"/>
  <c r="I97" i="8"/>
  <c r="AX78" i="8"/>
  <c r="I50" i="8"/>
  <c r="I42" i="8"/>
  <c r="AI69" i="8"/>
  <c r="I89" i="8" s="1"/>
  <c r="I88" i="8" s="1"/>
  <c r="I75" i="8" s="1"/>
  <c r="AU69" i="8"/>
  <c r="AU71" i="8" s="1"/>
  <c r="BG69" i="8"/>
  <c r="BG71" i="8" s="1"/>
  <c r="G75" i="8"/>
  <c r="G78" i="8"/>
  <c r="G101" i="8" s="1"/>
  <c r="BC78" i="8"/>
  <c r="F81" i="8"/>
  <c r="J42" i="8"/>
  <c r="L43" i="8"/>
  <c r="F44" i="8"/>
  <c r="F48" i="8"/>
  <c r="F51" i="8"/>
  <c r="AJ69" i="8"/>
  <c r="AJ70" i="8" s="1"/>
  <c r="AV69" i="8"/>
  <c r="AV70" i="8" s="1"/>
  <c r="BH69" i="8"/>
  <c r="BH71" i="8" s="1"/>
  <c r="G81" i="8"/>
  <c r="K97" i="8"/>
  <c r="J72" i="8"/>
  <c r="I41" i="8"/>
  <c r="M43" i="8"/>
  <c r="G44" i="8"/>
  <c r="G48" i="8"/>
  <c r="G51" i="8"/>
  <c r="K42" i="8"/>
  <c r="AK69" i="8"/>
  <c r="AK70" i="8" s="1"/>
  <c r="AW69" i="8"/>
  <c r="AW70" i="8" s="1"/>
  <c r="E74" i="8"/>
  <c r="J41" i="8"/>
  <c r="L42" i="8"/>
  <c r="N43" i="8"/>
  <c r="F47" i="8"/>
  <c r="AL69" i="8"/>
  <c r="AL70" i="8" s="1"/>
  <c r="AX69" i="8"/>
  <c r="F77" i="8"/>
  <c r="F79" i="8"/>
  <c r="F83" i="8"/>
  <c r="I40" i="8"/>
  <c r="K41" i="8"/>
  <c r="G47" i="8"/>
  <c r="AM69" i="8"/>
  <c r="AM70" i="8" s="1"/>
  <c r="AY69" i="8"/>
  <c r="AY70" i="8" s="1"/>
  <c r="G77" i="8"/>
  <c r="F85" i="8"/>
  <c r="N97" i="8"/>
  <c r="I45" i="8"/>
  <c r="F46" i="8"/>
  <c r="F49" i="8"/>
  <c r="F52" i="8"/>
  <c r="AN69" i="8"/>
  <c r="J89" i="8" s="1"/>
  <c r="J88" i="8" s="1"/>
  <c r="AZ69" i="8"/>
  <c r="AZ70" i="8" s="1"/>
  <c r="AN71" i="8"/>
  <c r="G85" i="8"/>
  <c r="G79" i="8"/>
  <c r="G46" i="8"/>
  <c r="G49" i="8"/>
  <c r="AO69" i="8"/>
  <c r="AO71" i="8" s="1"/>
  <c r="BA69" i="8"/>
  <c r="BA70" i="8" s="1"/>
  <c r="E73" i="8"/>
  <c r="E16" i="2"/>
  <c r="F16" i="2"/>
  <c r="G16" i="2"/>
  <c r="H16" i="2"/>
  <c r="I16" i="2"/>
  <c r="J16" i="2"/>
  <c r="K16" i="2"/>
  <c r="D16" i="2"/>
  <c r="E14" i="2"/>
  <c r="F14" i="2"/>
  <c r="G14" i="2"/>
  <c r="H14" i="2"/>
  <c r="I14" i="2"/>
  <c r="J14" i="2"/>
  <c r="K14" i="2"/>
  <c r="D14" i="2"/>
  <c r="K43" i="8" l="1"/>
  <c r="K72" i="8"/>
  <c r="M42" i="8"/>
  <c r="I51" i="8"/>
  <c r="N72" i="8"/>
  <c r="N73" i="8" s="1"/>
  <c r="K88" i="8"/>
  <c r="K75" i="8" s="1"/>
  <c r="AV71" i="8"/>
  <c r="N41" i="8"/>
  <c r="N40" i="8"/>
  <c r="AT71" i="8"/>
  <c r="AO70" i="8"/>
  <c r="I48" i="8"/>
  <c r="BE71" i="8"/>
  <c r="K98" i="8"/>
  <c r="K100" i="8" s="1"/>
  <c r="I98" i="8"/>
  <c r="I100" i="8" s="1"/>
  <c r="I76" i="8"/>
  <c r="AS71" i="8"/>
  <c r="BG70" i="8"/>
  <c r="G52" i="8"/>
  <c r="G45" i="8"/>
  <c r="G84" i="8"/>
  <c r="M40" i="8"/>
  <c r="M90" i="8"/>
  <c r="M91" i="8" s="1"/>
  <c r="AI71" i="8"/>
  <c r="M72" i="8"/>
  <c r="M75" i="8" s="1"/>
  <c r="M89" i="8"/>
  <c r="M88" i="8" s="1"/>
  <c r="I47" i="8"/>
  <c r="I49" i="8"/>
  <c r="I52" i="8"/>
  <c r="I46" i="8"/>
  <c r="BD70" i="8"/>
  <c r="N89" i="8"/>
  <c r="N88" i="8" s="1"/>
  <c r="N75" i="8" s="1"/>
  <c r="BH70" i="8"/>
  <c r="N90" i="8" s="1"/>
  <c r="N91" i="8" s="1"/>
  <c r="AF70" i="8"/>
  <c r="AH71" i="8"/>
  <c r="AU70" i="8"/>
  <c r="AW71" i="8"/>
  <c r="AI70" i="8"/>
  <c r="I90" i="8" s="1"/>
  <c r="I91" i="8" s="1"/>
  <c r="L89" i="8"/>
  <c r="L88" i="8" s="1"/>
  <c r="L75" i="8" s="1"/>
  <c r="AX70" i="8"/>
  <c r="L90" i="8" s="1"/>
  <c r="L91" i="8" s="1"/>
  <c r="AZ71" i="8"/>
  <c r="M76" i="8"/>
  <c r="K74" i="8"/>
  <c r="K76" i="8"/>
  <c r="K73" i="8"/>
  <c r="I77" i="8"/>
  <c r="I81" i="8"/>
  <c r="I82" i="8"/>
  <c r="I79" i="8"/>
  <c r="I85" i="8"/>
  <c r="M50" i="8"/>
  <c r="M51" i="8"/>
  <c r="M45" i="8"/>
  <c r="M48" i="8"/>
  <c r="M52" i="8"/>
  <c r="M49" i="8"/>
  <c r="M46" i="8"/>
  <c r="M47" i="8"/>
  <c r="M44" i="8"/>
  <c r="N74" i="8"/>
  <c r="L73" i="8"/>
  <c r="L74" i="8"/>
  <c r="AK71" i="8"/>
  <c r="N50" i="8"/>
  <c r="N51" i="8"/>
  <c r="N45" i="8"/>
  <c r="N44" i="8"/>
  <c r="N52" i="8"/>
  <c r="N49" i="8"/>
  <c r="N46" i="8"/>
  <c r="N48" i="8"/>
  <c r="N47" i="8"/>
  <c r="AN70" i="8"/>
  <c r="J90" i="8" s="1"/>
  <c r="J91" i="8" s="1"/>
  <c r="BA71" i="8"/>
  <c r="J75" i="8"/>
  <c r="J74" i="8"/>
  <c r="J76" i="8"/>
  <c r="J73" i="8"/>
  <c r="L47" i="8"/>
  <c r="L51" i="8"/>
  <c r="L50" i="8"/>
  <c r="L45" i="8"/>
  <c r="L48" i="8"/>
  <c r="L44" i="8"/>
  <c r="L52" i="8"/>
  <c r="L49" i="8"/>
  <c r="L46" i="8"/>
  <c r="AG70" i="8"/>
  <c r="AJ71" i="8"/>
  <c r="H85" i="8"/>
  <c r="H77" i="8"/>
  <c r="H47" i="8"/>
  <c r="H45" i="8"/>
  <c r="H51" i="8"/>
  <c r="H48" i="8"/>
  <c r="H44" i="8"/>
  <c r="H46" i="8"/>
  <c r="H81" i="8"/>
  <c r="H78" i="8"/>
  <c r="H101" i="8" s="1"/>
  <c r="H82" i="8"/>
  <c r="H80" i="8"/>
  <c r="H50" i="8"/>
  <c r="H52" i="8"/>
  <c r="H49" i="8"/>
  <c r="H83" i="8"/>
  <c r="H84" i="8"/>
  <c r="H79" i="8"/>
  <c r="N98" i="8"/>
  <c r="N100" i="8" s="1"/>
  <c r="K51" i="8"/>
  <c r="K48" i="8"/>
  <c r="K44" i="8"/>
  <c r="K49" i="8"/>
  <c r="K47" i="8"/>
  <c r="K50" i="8"/>
  <c r="K46" i="8"/>
  <c r="K45" i="8"/>
  <c r="K52" i="8"/>
  <c r="AX71" i="8"/>
  <c r="AY71" i="8"/>
  <c r="J51" i="8"/>
  <c r="J48" i="8"/>
  <c r="J44" i="8"/>
  <c r="J47" i="8"/>
  <c r="J50" i="8"/>
  <c r="J45" i="8"/>
  <c r="J52" i="8"/>
  <c r="J49" i="8"/>
  <c r="J46" i="8"/>
  <c r="AL71" i="8"/>
  <c r="AM71" i="8"/>
  <c r="D40" i="1"/>
  <c r="C40" i="1"/>
  <c r="I13" i="6"/>
  <c r="C12" i="6"/>
  <c r="J11" i="6"/>
  <c r="J13" i="6" s="1"/>
  <c r="I11" i="6"/>
  <c r="H11" i="6"/>
  <c r="G11" i="6"/>
  <c r="F11" i="6"/>
  <c r="E11" i="6"/>
  <c r="D11" i="6"/>
  <c r="C11" i="6"/>
  <c r="B11" i="6"/>
  <c r="J5" i="6"/>
  <c r="I5" i="6"/>
  <c r="H5" i="6"/>
  <c r="G5" i="6"/>
  <c r="F5" i="6"/>
  <c r="E5" i="6"/>
  <c r="D5" i="6"/>
  <c r="C5" i="6"/>
  <c r="E4" i="6"/>
  <c r="F4" i="6" s="1"/>
  <c r="G4" i="6" s="1"/>
  <c r="H4" i="6" s="1"/>
  <c r="I4" i="6" s="1"/>
  <c r="J4" i="6" s="1"/>
  <c r="D4" i="6"/>
  <c r="AH38" i="3"/>
  <c r="AG38" i="3"/>
  <c r="AF38" i="3"/>
  <c r="AE38" i="3"/>
  <c r="AD38" i="3"/>
  <c r="AC38" i="3"/>
  <c r="AB38" i="3"/>
  <c r="AA38" i="3"/>
  <c r="Z38" i="3"/>
  <c r="Y38" i="3"/>
  <c r="X38" i="3"/>
  <c r="W38" i="3"/>
  <c r="V38" i="3"/>
  <c r="U38" i="3"/>
  <c r="T38" i="3"/>
  <c r="S38" i="3"/>
  <c r="R38" i="3"/>
  <c r="Q38" i="3"/>
  <c r="P38" i="3"/>
  <c r="O38" i="3"/>
  <c r="N38" i="3"/>
  <c r="M38" i="3"/>
  <c r="L38" i="3"/>
  <c r="K38" i="3"/>
  <c r="J38" i="3"/>
  <c r="I38" i="3"/>
  <c r="H38" i="3"/>
  <c r="G38" i="3"/>
  <c r="F38" i="3"/>
  <c r="E38" i="3"/>
  <c r="D38" i="3"/>
  <c r="C38" i="3"/>
  <c r="AH32" i="3"/>
  <c r="AG32" i="3"/>
  <c r="AF32" i="3"/>
  <c r="AE32" i="3"/>
  <c r="AD32" i="3"/>
  <c r="AC32" i="3"/>
  <c r="AB32" i="3"/>
  <c r="AA32" i="3"/>
  <c r="Z32" i="3"/>
  <c r="Y32" i="3"/>
  <c r="X32" i="3"/>
  <c r="X31" i="3" s="1"/>
  <c r="H4" i="3" s="1"/>
  <c r="W32" i="3"/>
  <c r="V32" i="3"/>
  <c r="U32" i="3"/>
  <c r="U31" i="3" s="1"/>
  <c r="T32" i="3"/>
  <c r="S32" i="3"/>
  <c r="R32" i="3"/>
  <c r="Q32" i="3"/>
  <c r="P32" i="3"/>
  <c r="O32" i="3"/>
  <c r="N32" i="3"/>
  <c r="M32" i="3"/>
  <c r="M31" i="3" s="1"/>
  <c r="L32" i="3"/>
  <c r="K32" i="3"/>
  <c r="J32" i="3"/>
  <c r="I32" i="3"/>
  <c r="I31" i="3" s="1"/>
  <c r="E4" i="3" s="1"/>
  <c r="H32" i="3"/>
  <c r="G32" i="3"/>
  <c r="F32" i="3"/>
  <c r="E32" i="3"/>
  <c r="D31" i="3"/>
  <c r="C31" i="3"/>
  <c r="C34" i="3" s="1"/>
  <c r="D34" i="3" s="1"/>
  <c r="C29" i="3"/>
  <c r="D29" i="3" s="1"/>
  <c r="E29" i="3" s="1"/>
  <c r="F29" i="3" s="1"/>
  <c r="G29" i="3" s="1"/>
  <c r="H29" i="3" s="1"/>
  <c r="I29" i="3" s="1"/>
  <c r="J29" i="3" s="1"/>
  <c r="K29" i="3" s="1"/>
  <c r="L29" i="3" s="1"/>
  <c r="M29" i="3" s="1"/>
  <c r="N29" i="3" s="1"/>
  <c r="O29" i="3" s="1"/>
  <c r="P29" i="3" s="1"/>
  <c r="Q29" i="3" s="1"/>
  <c r="R29" i="3" s="1"/>
  <c r="S29" i="3" s="1"/>
  <c r="T29" i="3" s="1"/>
  <c r="U29" i="3" s="1"/>
  <c r="V29" i="3" s="1"/>
  <c r="W29" i="3" s="1"/>
  <c r="X29" i="3" s="1"/>
  <c r="Y29" i="3" s="1"/>
  <c r="Z29" i="3" s="1"/>
  <c r="AA29" i="3" s="1"/>
  <c r="AB29" i="3" s="1"/>
  <c r="AC29" i="3" s="1"/>
  <c r="AD29" i="3" s="1"/>
  <c r="AE29" i="3" s="1"/>
  <c r="AF29" i="3" s="1"/>
  <c r="AG29" i="3" s="1"/>
  <c r="AH29" i="3" s="1"/>
  <c r="D27" i="3"/>
  <c r="E27" i="3" s="1"/>
  <c r="F27" i="3" s="1"/>
  <c r="G27" i="3" s="1"/>
  <c r="H27" i="3" s="1"/>
  <c r="I27" i="3" s="1"/>
  <c r="J27" i="3" s="1"/>
  <c r="K27" i="3" s="1"/>
  <c r="C27" i="3"/>
  <c r="D26" i="3"/>
  <c r="E26" i="3" s="1"/>
  <c r="F26" i="3" s="1"/>
  <c r="G26" i="3" s="1"/>
  <c r="C26" i="3"/>
  <c r="C25" i="3"/>
  <c r="D25" i="3" s="1"/>
  <c r="E25" i="3" s="1"/>
  <c r="F25" i="3" s="1"/>
  <c r="G25" i="3" s="1"/>
  <c r="H25" i="3" s="1"/>
  <c r="I25" i="3" s="1"/>
  <c r="J25" i="3" s="1"/>
  <c r="K25" i="3" s="1"/>
  <c r="L25" i="3" s="1"/>
  <c r="M25" i="3" s="1"/>
  <c r="N25" i="3" s="1"/>
  <c r="O25" i="3" s="1"/>
  <c r="P25" i="3" s="1"/>
  <c r="Q25" i="3" s="1"/>
  <c r="R25" i="3" s="1"/>
  <c r="S25" i="3" s="1"/>
  <c r="T25" i="3" s="1"/>
  <c r="U25" i="3" s="1"/>
  <c r="V25" i="3" s="1"/>
  <c r="W25" i="3" s="1"/>
  <c r="X25" i="3" s="1"/>
  <c r="Y25" i="3" s="1"/>
  <c r="D24" i="3"/>
  <c r="E24" i="3" s="1"/>
  <c r="F24" i="3" s="1"/>
  <c r="G24" i="3" s="1"/>
  <c r="H24" i="3" s="1"/>
  <c r="I24" i="3" s="1"/>
  <c r="J24" i="3" s="1"/>
  <c r="K24" i="3" s="1"/>
  <c r="L24" i="3" s="1"/>
  <c r="M24" i="3" s="1"/>
  <c r="N24" i="3" s="1"/>
  <c r="O24" i="3" s="1"/>
  <c r="P24" i="3" s="1"/>
  <c r="Q24" i="3" s="1"/>
  <c r="R24" i="3" s="1"/>
  <c r="S24" i="3" s="1"/>
  <c r="T24" i="3" s="1"/>
  <c r="U24" i="3" s="1"/>
  <c r="V24" i="3" s="1"/>
  <c r="W24" i="3" s="1"/>
  <c r="X24" i="3" s="1"/>
  <c r="Y24" i="3" s="1"/>
  <c r="Z24" i="3" s="1"/>
  <c r="AA24" i="3" s="1"/>
  <c r="AB24" i="3" s="1"/>
  <c r="AC24" i="3" s="1"/>
  <c r="AD24" i="3" s="1"/>
  <c r="AE24" i="3" s="1"/>
  <c r="AF24" i="3" s="1"/>
  <c r="AG24" i="3" s="1"/>
  <c r="AH24" i="3" s="1"/>
  <c r="C24" i="3"/>
  <c r="X19" i="3"/>
  <c r="X33" i="3" s="1"/>
  <c r="W19" i="3"/>
  <c r="W33" i="3" s="1"/>
  <c r="W31" i="3" s="1"/>
  <c r="U19" i="3"/>
  <c r="U33" i="3" s="1"/>
  <c r="P19" i="3"/>
  <c r="P33" i="3" s="1"/>
  <c r="P31" i="3" s="1"/>
  <c r="M19" i="3"/>
  <c r="M33" i="3" s="1"/>
  <c r="L19" i="3"/>
  <c r="L33" i="3" s="1"/>
  <c r="I19" i="3"/>
  <c r="I33" i="3" s="1"/>
  <c r="D19" i="3"/>
  <c r="AH18" i="3"/>
  <c r="AG18" i="3"/>
  <c r="AF18" i="3"/>
  <c r="AE18" i="3"/>
  <c r="AD18" i="3"/>
  <c r="AC18" i="3"/>
  <c r="AB18" i="3"/>
  <c r="AA18" i="3"/>
  <c r="Z18" i="3"/>
  <c r="Y18" i="3"/>
  <c r="X18" i="3"/>
  <c r="W18" i="3"/>
  <c r="V18" i="3"/>
  <c r="V19" i="3" s="1"/>
  <c r="V33" i="3" s="1"/>
  <c r="U18" i="3"/>
  <c r="T18" i="3"/>
  <c r="T19" i="3" s="1"/>
  <c r="T33" i="3" s="1"/>
  <c r="S18" i="3"/>
  <c r="S19" i="3" s="1"/>
  <c r="S33" i="3" s="1"/>
  <c r="S31" i="3" s="1"/>
  <c r="G4" i="3" s="1"/>
  <c r="R18" i="3"/>
  <c r="R19" i="3" s="1"/>
  <c r="R33" i="3" s="1"/>
  <c r="R31" i="3" s="1"/>
  <c r="Q18" i="3"/>
  <c r="Q19" i="3" s="1"/>
  <c r="Q33" i="3" s="1"/>
  <c r="P18" i="3"/>
  <c r="O18" i="3"/>
  <c r="O19" i="3" s="1"/>
  <c r="O33" i="3" s="1"/>
  <c r="O31" i="3" s="1"/>
  <c r="N18" i="3"/>
  <c r="N19" i="3" s="1"/>
  <c r="N33" i="3" s="1"/>
  <c r="N31" i="3" s="1"/>
  <c r="F4" i="3" s="1"/>
  <c r="M18" i="3"/>
  <c r="L18" i="3"/>
  <c r="K18" i="3"/>
  <c r="K19" i="3" s="1"/>
  <c r="K33" i="3" s="1"/>
  <c r="K31" i="3" s="1"/>
  <c r="J18" i="3"/>
  <c r="J19" i="3" s="1"/>
  <c r="J33" i="3" s="1"/>
  <c r="I18" i="3"/>
  <c r="H18" i="3"/>
  <c r="H19" i="3" s="1"/>
  <c r="H33" i="3" s="1"/>
  <c r="G18" i="3"/>
  <c r="G19" i="3" s="1"/>
  <c r="G33" i="3" s="1"/>
  <c r="G31" i="3" s="1"/>
  <c r="F18" i="3"/>
  <c r="F19" i="3" s="1"/>
  <c r="F33" i="3" s="1"/>
  <c r="F31" i="3" s="1"/>
  <c r="E18" i="3"/>
  <c r="E19" i="3" s="1"/>
  <c r="E33" i="3" s="1"/>
  <c r="D18" i="3"/>
  <c r="C18" i="3"/>
  <c r="C19" i="3" s="1"/>
  <c r="Y17" i="3"/>
  <c r="Y19" i="3" s="1"/>
  <c r="Y33" i="3" s="1"/>
  <c r="Y31" i="3" s="1"/>
  <c r="D4" i="3"/>
  <c r="C4" i="3"/>
  <c r="J11" i="2"/>
  <c r="K10" i="2"/>
  <c r="K11" i="2" s="1"/>
  <c r="J10" i="2"/>
  <c r="I10" i="2"/>
  <c r="I11" i="2" s="1"/>
  <c r="H10" i="2"/>
  <c r="H11" i="2" s="1"/>
  <c r="G10" i="2"/>
  <c r="G11" i="2" s="1"/>
  <c r="F10" i="2"/>
  <c r="F11" i="2" s="1"/>
  <c r="E10" i="2"/>
  <c r="E11" i="2" s="1"/>
  <c r="D10" i="2"/>
  <c r="D11" i="2" s="1"/>
  <c r="K7" i="2"/>
  <c r="K8" i="2" s="1"/>
  <c r="J7" i="2"/>
  <c r="J8" i="2" s="1"/>
  <c r="I7" i="2"/>
  <c r="I8" i="2" s="1"/>
  <c r="H7" i="2"/>
  <c r="H8" i="2" s="1"/>
  <c r="G7" i="2"/>
  <c r="G8" i="2" s="1"/>
  <c r="F7" i="2"/>
  <c r="F8" i="2" s="1"/>
  <c r="E7" i="2"/>
  <c r="E8" i="2" s="1"/>
  <c r="D7" i="2"/>
  <c r="D8" i="2" s="1"/>
  <c r="F5" i="2"/>
  <c r="G5" i="2" s="1"/>
  <c r="H5" i="2" s="1"/>
  <c r="I5" i="2" s="1"/>
  <c r="J5" i="2" s="1"/>
  <c r="K5" i="2" s="1"/>
  <c r="B58" i="1"/>
  <c r="AH40" i="1"/>
  <c r="AG40" i="1"/>
  <c r="AG41" i="1" s="1"/>
  <c r="AF40" i="1"/>
  <c r="AE40" i="1"/>
  <c r="AD40" i="1"/>
  <c r="AC40" i="1"/>
  <c r="AB40" i="1"/>
  <c r="AA40" i="1"/>
  <c r="Z40" i="1"/>
  <c r="Y40" i="1"/>
  <c r="X40" i="1"/>
  <c r="W40" i="1"/>
  <c r="V40" i="1"/>
  <c r="U40" i="1"/>
  <c r="U41" i="1" s="1"/>
  <c r="T40" i="1"/>
  <c r="S40" i="1"/>
  <c r="R40" i="1"/>
  <c r="Q40" i="1"/>
  <c r="P40" i="1"/>
  <c r="O40" i="1"/>
  <c r="N40" i="1"/>
  <c r="M40" i="1"/>
  <c r="L40" i="1"/>
  <c r="K40" i="1"/>
  <c r="J40" i="1"/>
  <c r="I40" i="1"/>
  <c r="I41" i="1" s="1"/>
  <c r="H40" i="1"/>
  <c r="G40" i="1"/>
  <c r="F40" i="1"/>
  <c r="E40" i="1"/>
  <c r="B40" i="1"/>
  <c r="AG34" i="1"/>
  <c r="AG35" i="1" s="1"/>
  <c r="AG42" i="1" s="1"/>
  <c r="U34" i="1"/>
  <c r="U35" i="1" s="1"/>
  <c r="U42" i="1" s="1"/>
  <c r="I34" i="1"/>
  <c r="I35" i="1" s="1"/>
  <c r="I42" i="1" s="1"/>
  <c r="E6" i="1" s="1"/>
  <c r="AH33" i="1"/>
  <c r="AG33" i="1"/>
  <c r="AG47" i="1" s="1"/>
  <c r="AF33" i="1"/>
  <c r="AE33" i="1"/>
  <c r="AD33" i="1"/>
  <c r="AC33" i="1"/>
  <c r="AB33" i="1"/>
  <c r="AA33" i="1"/>
  <c r="Z33" i="1"/>
  <c r="Y33" i="1"/>
  <c r="X33" i="1"/>
  <c r="W33" i="1"/>
  <c r="V33" i="1"/>
  <c r="U33" i="1"/>
  <c r="U47" i="1" s="1"/>
  <c r="T33" i="1"/>
  <c r="S33" i="1"/>
  <c r="R33" i="1"/>
  <c r="Q33" i="1"/>
  <c r="P33" i="1"/>
  <c r="O33" i="1"/>
  <c r="N33" i="1"/>
  <c r="M33" i="1"/>
  <c r="L33" i="1"/>
  <c r="K33" i="1"/>
  <c r="J33" i="1"/>
  <c r="I33" i="1"/>
  <c r="I47" i="1" s="1"/>
  <c r="H33" i="1"/>
  <c r="G33" i="1"/>
  <c r="F33" i="1"/>
  <c r="E33" i="1"/>
  <c r="D33" i="1"/>
  <c r="C33" i="1"/>
  <c r="B33" i="1"/>
  <c r="AH24" i="1"/>
  <c r="AG24" i="1"/>
  <c r="AF24" i="1"/>
  <c r="AE24" i="1"/>
  <c r="AD24" i="1"/>
  <c r="AC24" i="1"/>
  <c r="AB24" i="1"/>
  <c r="AA24" i="1"/>
  <c r="Z24" i="1"/>
  <c r="Y24" i="1"/>
  <c r="X24" i="1"/>
  <c r="W24" i="1"/>
  <c r="V24" i="1"/>
  <c r="U24" i="1"/>
  <c r="T24" i="1"/>
  <c r="S24" i="1"/>
  <c r="R24" i="1"/>
  <c r="Q24" i="1"/>
  <c r="P24" i="1"/>
  <c r="O24" i="1"/>
  <c r="N24" i="1"/>
  <c r="M24" i="1"/>
  <c r="L24" i="1"/>
  <c r="K24" i="1"/>
  <c r="J24" i="1"/>
  <c r="I24" i="1"/>
  <c r="H24" i="1"/>
  <c r="G24" i="1"/>
  <c r="F24" i="1"/>
  <c r="E24" i="1"/>
  <c r="D24" i="1"/>
  <c r="C24" i="1"/>
  <c r="B24" i="1"/>
  <c r="AH21" i="1"/>
  <c r="AG21" i="1"/>
  <c r="AF21" i="1"/>
  <c r="AE21" i="1"/>
  <c r="AD21" i="1"/>
  <c r="AC21" i="1"/>
  <c r="AB21" i="1"/>
  <c r="AA21" i="1"/>
  <c r="Z21" i="1"/>
  <c r="Y21" i="1"/>
  <c r="X21" i="1"/>
  <c r="W21" i="1"/>
  <c r="V21" i="1"/>
  <c r="U21" i="1"/>
  <c r="T21" i="1"/>
  <c r="S21" i="1"/>
  <c r="R21" i="1"/>
  <c r="Q21" i="1"/>
  <c r="P21" i="1"/>
  <c r="O21" i="1"/>
  <c r="N21" i="1"/>
  <c r="M21" i="1"/>
  <c r="L21" i="1"/>
  <c r="K21" i="1"/>
  <c r="J21" i="1"/>
  <c r="I21" i="1"/>
  <c r="H21" i="1"/>
  <c r="G21" i="1"/>
  <c r="F21" i="1"/>
  <c r="E21" i="1"/>
  <c r="D21" i="1"/>
  <c r="C21" i="1"/>
  <c r="B21" i="1"/>
  <c r="J4" i="1"/>
  <c r="I4" i="1"/>
  <c r="H4" i="1"/>
  <c r="G4" i="1"/>
  <c r="F4" i="1"/>
  <c r="E4" i="1"/>
  <c r="D4" i="1"/>
  <c r="C4" i="1"/>
  <c r="J20" i="8" l="1"/>
  <c r="J17" i="8"/>
  <c r="J14" i="8"/>
  <c r="J19" i="8"/>
  <c r="J16" i="8"/>
  <c r="J13" i="8"/>
  <c r="J18" i="8"/>
  <c r="J15" i="8"/>
  <c r="J12" i="8"/>
  <c r="K20" i="8"/>
  <c r="K17" i="8"/>
  <c r="K14" i="8"/>
  <c r="K19" i="8"/>
  <c r="K16" i="8"/>
  <c r="K13" i="8"/>
  <c r="K18" i="8"/>
  <c r="K15" i="8"/>
  <c r="K12" i="8"/>
  <c r="I84" i="8"/>
  <c r="I20" i="8"/>
  <c r="I17" i="8"/>
  <c r="I14" i="8"/>
  <c r="I19" i="8"/>
  <c r="I16" i="8"/>
  <c r="I13" i="8"/>
  <c r="I18" i="8"/>
  <c r="I15" i="8"/>
  <c r="I12" i="8"/>
  <c r="I83" i="8"/>
  <c r="I78" i="8"/>
  <c r="I101" i="8" s="1"/>
  <c r="I80" i="8"/>
  <c r="M74" i="8"/>
  <c r="M73" i="8"/>
  <c r="L76" i="8"/>
  <c r="K81" i="8"/>
  <c r="K78" i="8"/>
  <c r="K101" i="8" s="1"/>
  <c r="K82" i="8"/>
  <c r="K80" i="8"/>
  <c r="K83" i="8"/>
  <c r="K79" i="8"/>
  <c r="K77" i="8"/>
  <c r="K84" i="8"/>
  <c r="K85" i="8"/>
  <c r="J81" i="8"/>
  <c r="J78" i="8"/>
  <c r="J101" i="8" s="1"/>
  <c r="J82" i="8"/>
  <c r="J80" i="8"/>
  <c r="J83" i="8"/>
  <c r="J79" i="8"/>
  <c r="J77" i="8"/>
  <c r="J84" i="8"/>
  <c r="J85" i="8"/>
  <c r="N76" i="8"/>
  <c r="M78" i="8"/>
  <c r="M101" i="8" s="1"/>
  <c r="M82" i="8"/>
  <c r="M80" i="8"/>
  <c r="M83" i="8"/>
  <c r="M79" i="8"/>
  <c r="M84" i="8"/>
  <c r="M85" i="8"/>
  <c r="M81" i="8"/>
  <c r="M77" i="8"/>
  <c r="L31" i="3"/>
  <c r="V31" i="3"/>
  <c r="E34" i="3"/>
  <c r="F34" i="3" s="1"/>
  <c r="G34" i="3" s="1"/>
  <c r="H34" i="3" s="1"/>
  <c r="I34" i="3" s="1"/>
  <c r="J31" i="3"/>
  <c r="E5" i="1"/>
  <c r="F15" i="2"/>
  <c r="E31" i="3"/>
  <c r="Q31" i="3"/>
  <c r="H31" i="3"/>
  <c r="T31" i="3"/>
  <c r="G34" i="1"/>
  <c r="G35" i="1" s="1"/>
  <c r="G42" i="1" s="1"/>
  <c r="S34" i="1"/>
  <c r="S35" i="1" s="1"/>
  <c r="S42" i="1" s="1"/>
  <c r="AE34" i="1"/>
  <c r="AE35" i="1" s="1"/>
  <c r="AE42" i="1" s="1"/>
  <c r="Z17" i="3"/>
  <c r="H34" i="1"/>
  <c r="T34" i="1"/>
  <c r="T35" i="1" s="1"/>
  <c r="T42" i="1" s="1"/>
  <c r="AF34" i="1"/>
  <c r="AF35" i="1" s="1"/>
  <c r="AF42" i="1" s="1"/>
  <c r="K35" i="1"/>
  <c r="K42" i="1" s="1"/>
  <c r="K43" i="1" s="1"/>
  <c r="W35" i="1"/>
  <c r="W42" i="1" s="1"/>
  <c r="W47" i="1" s="1"/>
  <c r="K47" i="1"/>
  <c r="L43" i="1"/>
  <c r="I46" i="1"/>
  <c r="U46" i="1"/>
  <c r="AG46" i="1"/>
  <c r="L47" i="1"/>
  <c r="J34" i="1"/>
  <c r="J35" i="1" s="1"/>
  <c r="J42" i="1" s="1"/>
  <c r="V34" i="1"/>
  <c r="V35" i="1" s="1"/>
  <c r="V42" i="1" s="1"/>
  <c r="AH34" i="1"/>
  <c r="AH35" i="1" s="1"/>
  <c r="AH42" i="1" s="1"/>
  <c r="M35" i="1"/>
  <c r="M42" i="1" s="1"/>
  <c r="M45" i="1" s="1"/>
  <c r="Y35" i="1"/>
  <c r="Y42" i="1" s="1"/>
  <c r="Y47" i="1" s="1"/>
  <c r="M47" i="1"/>
  <c r="K34" i="1"/>
  <c r="W34" i="1"/>
  <c r="L34" i="1"/>
  <c r="L35" i="1" s="1"/>
  <c r="L42" i="1" s="1"/>
  <c r="L41" i="1" s="1"/>
  <c r="X34" i="1"/>
  <c r="X35" i="1" s="1"/>
  <c r="X42" i="1" s="1"/>
  <c r="H6" i="1" s="1"/>
  <c r="I45" i="1"/>
  <c r="U45" i="1"/>
  <c r="AG45" i="1"/>
  <c r="L46" i="1"/>
  <c r="M34" i="1"/>
  <c r="Y34" i="1"/>
  <c r="P35" i="1"/>
  <c r="P42" i="1" s="1"/>
  <c r="P47" i="1" s="1"/>
  <c r="B34" i="1"/>
  <c r="B35" i="1" s="1"/>
  <c r="N34" i="1"/>
  <c r="N35" i="1" s="1"/>
  <c r="N42" i="1" s="1"/>
  <c r="Z34" i="1"/>
  <c r="Z35" i="1" s="1"/>
  <c r="Z42" i="1" s="1"/>
  <c r="E35" i="1"/>
  <c r="E42" i="1" s="1"/>
  <c r="E44" i="1" s="1"/>
  <c r="Q35" i="1"/>
  <c r="Q42" i="1" s="1"/>
  <c r="Q47" i="1" s="1"/>
  <c r="AC35" i="1"/>
  <c r="AC42" i="1" s="1"/>
  <c r="I6" i="1" s="1"/>
  <c r="E47" i="1"/>
  <c r="C34" i="1"/>
  <c r="C35" i="1" s="1"/>
  <c r="C42" i="1" s="1"/>
  <c r="O34" i="1"/>
  <c r="O35" i="1" s="1"/>
  <c r="O42" i="1" s="1"/>
  <c r="AA34" i="1"/>
  <c r="AA35" i="1" s="1"/>
  <c r="AA42" i="1" s="1"/>
  <c r="I44" i="1"/>
  <c r="U44" i="1"/>
  <c r="AG44" i="1"/>
  <c r="L45" i="1"/>
  <c r="X45" i="1"/>
  <c r="D34" i="1"/>
  <c r="D35" i="1" s="1"/>
  <c r="D42" i="1" s="1"/>
  <c r="P34" i="1"/>
  <c r="AB34" i="1"/>
  <c r="AB35" i="1" s="1"/>
  <c r="AB42" i="1" s="1"/>
  <c r="E34" i="1"/>
  <c r="Q34" i="1"/>
  <c r="AC34" i="1"/>
  <c r="H35" i="1"/>
  <c r="H42" i="1" s="1"/>
  <c r="H43" i="1" s="1"/>
  <c r="F34" i="1"/>
  <c r="F35" i="1" s="1"/>
  <c r="F42" i="1" s="1"/>
  <c r="R34" i="1"/>
  <c r="R35" i="1" s="1"/>
  <c r="R42" i="1" s="1"/>
  <c r="AD34" i="1"/>
  <c r="AD35" i="1" s="1"/>
  <c r="AD42" i="1" s="1"/>
  <c r="I43" i="1"/>
  <c r="U43" i="1"/>
  <c r="AG43" i="1"/>
  <c r="N82" i="8" l="1"/>
  <c r="N80" i="8"/>
  <c r="N83" i="8"/>
  <c r="N79" i="8"/>
  <c r="N78" i="8"/>
  <c r="N101" i="8" s="1"/>
  <c r="N84" i="8"/>
  <c r="N81" i="8"/>
  <c r="N85" i="8"/>
  <c r="N77" i="8"/>
  <c r="L81" i="8"/>
  <c r="L78" i="8"/>
  <c r="L101" i="8" s="1"/>
  <c r="L82" i="8"/>
  <c r="L80" i="8"/>
  <c r="L83" i="8"/>
  <c r="L79" i="8"/>
  <c r="L84" i="8"/>
  <c r="L85" i="8"/>
  <c r="L77" i="8"/>
  <c r="G47" i="1"/>
  <c r="G44" i="1"/>
  <c r="G41" i="1"/>
  <c r="G45" i="1"/>
  <c r="G43" i="1"/>
  <c r="G46" i="1"/>
  <c r="AA47" i="1"/>
  <c r="AA45" i="1"/>
  <c r="AA41" i="1"/>
  <c r="AA46" i="1"/>
  <c r="AA44" i="1"/>
  <c r="AA43" i="1"/>
  <c r="G6" i="1"/>
  <c r="S46" i="1"/>
  <c r="S43" i="1"/>
  <c r="S47" i="1"/>
  <c r="S44" i="1"/>
  <c r="S45" i="1"/>
  <c r="S41" i="1"/>
  <c r="J6" i="1"/>
  <c r="AH44" i="1"/>
  <c r="AH47" i="1"/>
  <c r="AH46" i="1"/>
  <c r="AH43" i="1"/>
  <c r="AH45" i="1"/>
  <c r="AH41" i="1"/>
  <c r="Z41" i="1"/>
  <c r="Z44" i="1"/>
  <c r="Z46" i="1"/>
  <c r="Z45" i="1"/>
  <c r="Z43" i="1"/>
  <c r="Z47" i="1"/>
  <c r="F6" i="1"/>
  <c r="N41" i="1"/>
  <c r="N47" i="1"/>
  <c r="N43" i="1"/>
  <c r="N44" i="1"/>
  <c r="N46" i="1"/>
  <c r="N45" i="1"/>
  <c r="V41" i="1"/>
  <c r="V44" i="1"/>
  <c r="V47" i="1"/>
  <c r="V43" i="1"/>
  <c r="V45" i="1"/>
  <c r="V46" i="1"/>
  <c r="C45" i="1"/>
  <c r="C44" i="1"/>
  <c r="C46" i="1"/>
  <c r="C41" i="1"/>
  <c r="C47" i="1"/>
  <c r="C43" i="1"/>
  <c r="B42" i="1"/>
  <c r="U11" i="2"/>
  <c r="U8" i="2"/>
  <c r="T47" i="1"/>
  <c r="T43" i="1"/>
  <c r="T46" i="1"/>
  <c r="T41" i="1"/>
  <c r="T45" i="1"/>
  <c r="T44" i="1"/>
  <c r="AB47" i="1"/>
  <c r="AB43" i="1"/>
  <c r="AB45" i="1"/>
  <c r="AB44" i="1"/>
  <c r="AB46" i="1"/>
  <c r="AB41" i="1"/>
  <c r="D6" i="1"/>
  <c r="D47" i="1"/>
  <c r="D44" i="1"/>
  <c r="D43" i="1"/>
  <c r="D41" i="1"/>
  <c r="D46" i="1"/>
  <c r="D45" i="1"/>
  <c r="AD41" i="1"/>
  <c r="AD45" i="1"/>
  <c r="AD44" i="1"/>
  <c r="AD47" i="1"/>
  <c r="AD43" i="1"/>
  <c r="AD46" i="1"/>
  <c r="R41" i="1"/>
  <c r="R43" i="1"/>
  <c r="R45" i="1"/>
  <c r="R46" i="1"/>
  <c r="R44" i="1"/>
  <c r="R47" i="1"/>
  <c r="J41" i="1"/>
  <c r="J47" i="1"/>
  <c r="J43" i="1"/>
  <c r="J45" i="1"/>
  <c r="J46" i="1"/>
  <c r="J44" i="1"/>
  <c r="F41" i="1"/>
  <c r="F47" i="1"/>
  <c r="F44" i="1"/>
  <c r="F46" i="1"/>
  <c r="F43" i="1"/>
  <c r="F45" i="1"/>
  <c r="O43" i="1"/>
  <c r="O41" i="1"/>
  <c r="O47" i="1"/>
  <c r="O44" i="1"/>
  <c r="O45" i="1"/>
  <c r="O46" i="1"/>
  <c r="AE46" i="1"/>
  <c r="AE47" i="1"/>
  <c r="AE44" i="1"/>
  <c r="AE45" i="1"/>
  <c r="AE43" i="1"/>
  <c r="AE41" i="1"/>
  <c r="AF46" i="1"/>
  <c r="AF47" i="1"/>
  <c r="AF41" i="1"/>
  <c r="AF43" i="1"/>
  <c r="AF45" i="1"/>
  <c r="AF44" i="1"/>
  <c r="AC41" i="1"/>
  <c r="E41" i="1"/>
  <c r="H46" i="1"/>
  <c r="AC46" i="1"/>
  <c r="P41" i="1"/>
  <c r="Y46" i="1"/>
  <c r="Y44" i="1"/>
  <c r="Y45" i="1"/>
  <c r="Q45" i="1"/>
  <c r="J34" i="3"/>
  <c r="K34" i="3" s="1"/>
  <c r="L34" i="3" s="1"/>
  <c r="M34" i="3" s="1"/>
  <c r="N34" i="3" s="1"/>
  <c r="X43" i="1"/>
  <c r="E45" i="1"/>
  <c r="Z19" i="3"/>
  <c r="Z33" i="3" s="1"/>
  <c r="Z31" i="3" s="1"/>
  <c r="AA17" i="3"/>
  <c r="M41" i="1"/>
  <c r="P46" i="1"/>
  <c r="X41" i="1"/>
  <c r="AC45" i="1"/>
  <c r="X46" i="1"/>
  <c r="X47" i="1"/>
  <c r="K41" i="1"/>
  <c r="L44" i="1"/>
  <c r="W45" i="1"/>
  <c r="W46" i="1"/>
  <c r="H44" i="1"/>
  <c r="H45" i="1"/>
  <c r="P44" i="1"/>
  <c r="W41" i="1"/>
  <c r="Y41" i="1"/>
  <c r="H41" i="1"/>
  <c r="K44" i="1"/>
  <c r="X44" i="1"/>
  <c r="P45" i="1"/>
  <c r="K45" i="1"/>
  <c r="K46" i="1"/>
  <c r="M44" i="1"/>
  <c r="P43" i="1"/>
  <c r="AC47" i="1"/>
  <c r="Q43" i="1"/>
  <c r="Q44" i="1"/>
  <c r="Y43" i="1"/>
  <c r="W43" i="1"/>
  <c r="Q46" i="1"/>
  <c r="W44" i="1"/>
  <c r="H47" i="1"/>
  <c r="M46" i="1"/>
  <c r="Q41" i="1"/>
  <c r="E46" i="1"/>
  <c r="AC43" i="1"/>
  <c r="AC44" i="1"/>
  <c r="E43" i="1"/>
  <c r="M43" i="1"/>
  <c r="Z25" i="3"/>
  <c r="AA25" i="3" s="1"/>
  <c r="E15" i="2" l="1"/>
  <c r="D5" i="1"/>
  <c r="G15" i="2"/>
  <c r="F5" i="1"/>
  <c r="I5" i="1"/>
  <c r="J15" i="2"/>
  <c r="D18" i="2"/>
  <c r="D19" i="2"/>
  <c r="U15" i="2"/>
  <c r="O34" i="3"/>
  <c r="P34" i="3" s="1"/>
  <c r="Q34" i="3" s="1"/>
  <c r="R34" i="3" s="1"/>
  <c r="S34" i="3" s="1"/>
  <c r="C6" i="1"/>
  <c r="B44" i="1"/>
  <c r="B45" i="1"/>
  <c r="B43" i="1"/>
  <c r="B41" i="1"/>
  <c r="B47" i="1"/>
  <c r="B46" i="1"/>
  <c r="AA19" i="3"/>
  <c r="AA33" i="3" s="1"/>
  <c r="AA31" i="3" s="1"/>
  <c r="AB17" i="3"/>
  <c r="AB25" i="3" s="1"/>
  <c r="I15" i="2"/>
  <c r="H5" i="1"/>
  <c r="J5" i="1"/>
  <c r="K15" i="2"/>
  <c r="H15" i="2"/>
  <c r="G5" i="1"/>
  <c r="D15" i="2" l="1"/>
  <c r="C5" i="1"/>
  <c r="I18" i="2"/>
  <c r="I19" i="2"/>
  <c r="I22" i="2" s="1"/>
  <c r="H19" i="2"/>
  <c r="H18" i="2"/>
  <c r="G19" i="2"/>
  <c r="G22" i="2" s="1"/>
  <c r="G18" i="2"/>
  <c r="G21" i="2" s="1"/>
  <c r="AB19" i="3"/>
  <c r="AB33" i="3" s="1"/>
  <c r="AB31" i="3" s="1"/>
  <c r="AC17" i="3"/>
  <c r="K18" i="2"/>
  <c r="K19" i="2"/>
  <c r="T34" i="3"/>
  <c r="U34" i="3" s="1"/>
  <c r="V34" i="3" s="1"/>
  <c r="W34" i="3" s="1"/>
  <c r="X34" i="3" s="1"/>
  <c r="F19" i="2"/>
  <c r="F18" i="2"/>
  <c r="J18" i="2"/>
  <c r="J21" i="2" s="1"/>
  <c r="J19" i="2"/>
  <c r="J22" i="2" s="1"/>
  <c r="E19" i="2"/>
  <c r="E18" i="2"/>
  <c r="K21" i="2" l="1"/>
  <c r="F21" i="2"/>
  <c r="I21" i="2"/>
  <c r="F22" i="2"/>
  <c r="AC19" i="3"/>
  <c r="AC33" i="3" s="1"/>
  <c r="AC31" i="3" s="1"/>
  <c r="I4" i="3" s="1"/>
  <c r="AD17" i="3"/>
  <c r="Y34" i="3"/>
  <c r="Z34" i="3" s="1"/>
  <c r="AA34" i="3" s="1"/>
  <c r="AB34" i="3" s="1"/>
  <c r="AC34" i="3" s="1"/>
  <c r="H22" i="2"/>
  <c r="H21" i="2"/>
  <c r="K22" i="2"/>
  <c r="AC25" i="3"/>
  <c r="AD25" i="3" s="1"/>
  <c r="AD19" i="3" l="1"/>
  <c r="AD33" i="3" s="1"/>
  <c r="AD31" i="3" s="1"/>
  <c r="AE17" i="3"/>
  <c r="AD34" i="3" l="1"/>
  <c r="AE19" i="3"/>
  <c r="AE33" i="3" s="1"/>
  <c r="AE31" i="3" s="1"/>
  <c r="AF17" i="3"/>
  <c r="AE25" i="3"/>
  <c r="AF25" i="3" s="1"/>
  <c r="AE34" i="3" l="1"/>
  <c r="AG25" i="3"/>
  <c r="AF19" i="3"/>
  <c r="AF33" i="3" s="1"/>
  <c r="AF31" i="3" s="1"/>
  <c r="AG17" i="3"/>
  <c r="AG19" i="3" l="1"/>
  <c r="AG33" i="3" s="1"/>
  <c r="AG31" i="3" s="1"/>
  <c r="AH17" i="3"/>
  <c r="AH19" i="3" s="1"/>
  <c r="AH33" i="3" s="1"/>
  <c r="AH31" i="3" s="1"/>
  <c r="J4" i="3" s="1"/>
  <c r="AH25" i="3"/>
  <c r="AF34" i="3"/>
  <c r="AG34" i="3" s="1"/>
  <c r="AH34" i="3" s="1"/>
</calcChain>
</file>

<file path=xl/sharedStrings.xml><?xml version="1.0" encoding="utf-8"?>
<sst xmlns="http://schemas.openxmlformats.org/spreadsheetml/2006/main" count="401" uniqueCount="249">
  <si>
    <t>Cadrage proposé pour l'AME-AMS 2023</t>
  </si>
  <si>
    <t>en millions hab</t>
  </si>
  <si>
    <t>France entière</t>
  </si>
  <si>
    <t>Métropole</t>
  </si>
  <si>
    <t>Outre mer</t>
  </si>
  <si>
    <t>On prend les chiffres du scénario central de l’INSEE 2021. Projections régionales à venir en 2022 (pour les OM)</t>
  </si>
  <si>
    <t>Sources:</t>
  </si>
  <si>
    <t>données historiques</t>
  </si>
  <si>
    <t>https://www.insee.fr/fr/statistiques/1892117?sommaire=1912926</t>
  </si>
  <si>
    <t>données scénarios INSEE</t>
  </si>
  <si>
    <t>https://www.insee.fr/fr/statistiques/2859843</t>
  </si>
  <si>
    <t>https://www.insee.fr/fr/statistiques/2496724?sommaire=2496793</t>
  </si>
  <si>
    <t xml:space="preserve">INSEE 2021  </t>
  </si>
  <si>
    <t>https://www.insee.fr/fr/statistiques/5893969#consulter</t>
  </si>
  <si>
    <t>AMS18</t>
  </si>
  <si>
    <t>cadrage Cion</t>
  </si>
  <si>
    <t>insee fécondité basse</t>
  </si>
  <si>
    <t>Observé</t>
  </si>
  <si>
    <t>insee fécondité et espérance de vie basse, migration centrale</t>
  </si>
  <si>
    <t>AME 2021</t>
  </si>
  <si>
    <t>INSEE 2021 – scénario central</t>
  </si>
  <si>
    <t>ratio INSEE2021/AME2021</t>
  </si>
  <si>
    <t>INSEE Fécondité basse</t>
  </si>
  <si>
    <t>à actualiser en 2022 avec les projections régionales</t>
  </si>
  <si>
    <t>Guadeloupe</t>
  </si>
  <si>
    <t>Martinique</t>
  </si>
  <si>
    <t>Guyane</t>
  </si>
  <si>
    <t>La Réunion</t>
  </si>
  <si>
    <t>Mayotte</t>
  </si>
  <si>
    <t>Total OM</t>
  </si>
  <si>
    <t>Somme</t>
  </si>
  <si>
    <t>%OM</t>
  </si>
  <si>
    <t>INSEE Fécondité basse, espérance de vie basse, migration centrale</t>
  </si>
  <si>
    <t>Commission cadrage mars 2022</t>
  </si>
  <si>
    <t>AME AMS 2023</t>
  </si>
  <si>
    <t>dont Métropole</t>
  </si>
  <si>
    <t>dont OM</t>
  </si>
  <si>
    <t>OM</t>
  </si>
  <si>
    <t>Metropole</t>
  </si>
  <si>
    <t>L’INSEE a indiqué ne pas prévoir d’actualiser les chiffres de la population active dans son édition 2021, du coup par défaut on reprend les taux du scénario INSEE 2016 fécondité basse</t>
  </si>
  <si>
    <t>M habitants</t>
  </si>
  <si>
    <t>AME 2018 (INSEE central)</t>
  </si>
  <si>
    <t>pop active</t>
  </si>
  <si>
    <t>Vérification avec les données historiques</t>
  </si>
  <si>
    <t>pop totale</t>
  </si>
  <si>
    <t>INSEE</t>
  </si>
  <si>
    <t>population en emploi</t>
  </si>
  <si>
    <t>Fr entière</t>
  </si>
  <si>
    <t>% actifs</t>
  </si>
  <si>
    <t>Avec 9,1 % de chômage</t>
  </si>
  <si>
    <t>population active</t>
  </si>
  <si>
    <t>métropole</t>
  </si>
  <si>
    <t>INSEE fécondité basse</t>
  </si>
  <si>
    <t>Périmètre : FR métropolitaine</t>
  </si>
  <si>
    <t>https://www.insee.fr/fr/statistiques/4277675?sommaire=4318291</t>
  </si>
  <si>
    <t>Source</t>
  </si>
  <si>
    <t>https://www.insee.fr/fr/statistiques/2845558</t>
  </si>
  <si>
    <t>emploi tertiaire</t>
  </si>
  <si>
    <t>pop métropolitaine</t>
  </si>
  <si>
    <t>part de l’emploi tertiaire dans la population active</t>
  </si>
  <si>
    <t>pop active métropole</t>
  </si>
  <si>
    <t>On reprend les taux de pop active de INSEE 2016 fécondité basse</t>
  </si>
  <si>
    <t>Emploi tertiaire</t>
  </si>
  <si>
    <t>AME 2023</t>
  </si>
  <si>
    <t>évolution de l'emploi similaire à la part dans la valeur ajoutée brute</t>
  </si>
  <si>
    <t>AMS 2023</t>
  </si>
  <si>
    <t>Recalage 2018 sur les données INSEE</t>
  </si>
  <si>
    <t>TCAM emploi tertiaire</t>
  </si>
  <si>
    <t>Cadrage proposé pour l'AME et AMS 2023</t>
  </si>
  <si>
    <t>%</t>
  </si>
  <si>
    <t>Croissance PIB</t>
  </si>
  <si>
    <t xml:space="preserve">On prend les mêmes chiffres que l'AME 2021, ajusté du delta de population induit par le scénario INSEE 2021 jusqu'à transmission du nouveau cadrage par la Commission (mi-2022?)
Méthode :  on calcule, à partir de la trajectoire de population de l’AME 2021, la part de la croissance du PIB due à la population, et celle due au PIB/hab (qui inclut la productivité). Pour l’AME/AMS 2023 on conserve le chiffre de gain de PIB/hab de l’AME 2021 et on prend les chiffres de population de INSEE 2021 (courbe bleu clair)
NB : RTE a pris 1,3 % pour la croissance du PIB post-2030
</t>
  </si>
  <si>
    <t xml:space="preserve">Sources : </t>
  </si>
  <si>
    <t>Prévisions Banque de France</t>
  </si>
  <si>
    <t>https://publications.banque-france.fr/projections-macroeconomiques-septembre-2021</t>
  </si>
  <si>
    <t>Croissance du PIB réel (%)</t>
  </si>
  <si>
    <t>FR (cadrage Cion)</t>
  </si>
  <si>
    <t>dont population</t>
  </si>
  <si>
    <t>dont productivité</t>
  </si>
  <si>
    <t>Banque de France</t>
  </si>
  <si>
    <t>PLF2022 et RESF2022</t>
  </si>
  <si>
    <t>PIB (index 2018 = 100)</t>
  </si>
  <si>
    <t>AMS2018</t>
  </si>
  <si>
    <t xml:space="preserve">PLF </t>
  </si>
  <si>
    <t>Cadrage Commission mars 2023</t>
  </si>
  <si>
    <t>OCDE</t>
  </si>
  <si>
    <t>M USD 2016</t>
  </si>
  <si>
    <t>INSEE (Md€ prix courants)</t>
  </si>
  <si>
    <t>EC Ref 2020 (M€ 2015)</t>
  </si>
  <si>
    <t xml:space="preserve">Md€ </t>
  </si>
  <si>
    <t>PIB (volume en prix de marché)</t>
  </si>
  <si>
    <t>Total GVA</t>
  </si>
  <si>
    <t>dont agriculture</t>
  </si>
  <si>
    <t>dont construction</t>
  </si>
  <si>
    <t>dont services</t>
  </si>
  <si>
    <t>dont industrie et énergie</t>
  </si>
  <si>
    <t>dont énergie</t>
  </si>
  <si>
    <t>dont industrie</t>
  </si>
  <si>
    <t>dont sidérurgie</t>
  </si>
  <si>
    <t>dont métaux non-ferreux</t>
  </si>
  <si>
    <t>dont chimie</t>
  </si>
  <si>
    <t>dont minéraux non-métalliques</t>
  </si>
  <si>
    <t>dont papier pâtes</t>
  </si>
  <si>
    <t>dont IAA</t>
  </si>
  <si>
    <t>dont autres</t>
  </si>
  <si>
    <t>% GVA</t>
  </si>
  <si>
    <t>2. AME 2023</t>
  </si>
  <si>
    <t>Md€ 2015</t>
  </si>
  <si>
    <t>EC Ref 2020</t>
  </si>
  <si>
    <t>3. AMS 2023</t>
  </si>
  <si>
    <t>Prend le reste</t>
  </si>
  <si>
    <t>Voir le fichier excel dédié</t>
  </si>
  <si>
    <t>€2016/tCO2</t>
  </si>
  <si>
    <t>taux inflation 2013-2016</t>
  </si>
  <si>
    <t>Composante carbone</t>
  </si>
  <si>
    <t>EU-ETS</t>
  </si>
  <si>
    <t>On ajuste la trajectoire de la forte hausse des prix liée au ff55. On prend la trajectoire « option 3 » (peut être elle-même trop conservatrice)</t>
  </si>
  <si>
    <t>AME/AMS 2018</t>
  </si>
  <si>
    <t>AME 2018 €2016</t>
  </si>
  <si>
    <t>AME 2018 €2013</t>
  </si>
  <si>
    <t>AME 2021 (€2016)</t>
  </si>
  <si>
    <t>Paramètres recommandés par la Commission</t>
  </si>
  <si>
    <t>EU ref 2020 (€2015)</t>
  </si>
  <si>
    <t>https://op.europa.eu/en/publication-detail/-/publication/96c2ca82-e85e-11eb-93a8-01aa75ed71a1/language-en/format-PDF/source-219903975</t>
  </si>
  <si>
    <t>p42</t>
  </si>
  <si>
    <t>Option 1</t>
  </si>
  <si>
    <t>on retrouve les niveaux AME21 en 2050</t>
  </si>
  <si>
    <t>Option 2</t>
  </si>
  <si>
    <t>on poursuit la trajectoire AME21 à partir du point 2020</t>
  </si>
  <si>
    <t>Option 3</t>
  </si>
  <si>
    <t>hyp de hausse du prix comme CarbonPulse puis trajectoire AME21</t>
  </si>
  <si>
    <t>EI ff55</t>
  </si>
  <si>
    <t>CaarbonPulse (moyen)</t>
  </si>
  <si>
    <t>Variable</t>
  </si>
  <si>
    <t>Plans et stratégies</t>
  </si>
  <si>
    <t>Narratif AME</t>
  </si>
  <si>
    <t>Narratif AMS</t>
  </si>
  <si>
    <t>Commentaire</t>
  </si>
  <si>
    <t>Démographie et structure des ménages</t>
  </si>
  <si>
    <t>- Révision en cours du plan « Bien vieillir » (Santé Publique France)</t>
  </si>
  <si>
    <t>Evolution de la population : Identique AME et AMS (cf cadrage macro-éco) : hausse plus modérée de la population, vieillissement…</t>
  </si>
  <si>
    <t>Poursuite de la dé-cohabitation</t>
  </si>
  <si>
    <t>Stabilisation du nombre de personnes par foyer (développement de l’habitat partagé, intergénérationnel, etc.)</t>
  </si>
  <si>
    <t>Logiques de peuplement</t>
  </si>
  <si>
    <t xml:space="preserve">- Vision habiter la France de demain (E.Wargon) 
-Stratégie logement (2017) 
- Stratégie nationale pour la biodiversité (2021) 
- ODD 11 </t>
  </si>
  <si>
    <t xml:space="preserve">Impact COVID 
- Développement de la bi-résidentialité 
- hausse de la taille des logements et des surfaces de jardin 
- MI favorisées aux LC 
- Poursuite de la métropolisation à la faveur des villes moyennes et grandes  
Poursuite de la métropolisation et étalement urbain (dévitalisation des centres villes des petites villes) </t>
  </si>
  <si>
    <t>Vision habiter la France de demain  
- Rendre désirable l’habitat collectif et les quartiers denses 
- Qualité de la construction (taille minimale des logements) 
- Favoriser la création de logements abordables dans les métropoles 
- MaPrimeAdapt pour adapter les logements au vieillissement 
- Conversions bureaux logements (ex. passer de 350km²/an soit 4/5000lgt/an à 1,4Mm²=20klgt) 
- Développement de tiers-lieux de télétravail 
- Développements d’espaces et de matériel partagé
- Stabilisation du nombre de résidences secondaires
- Revitalisation des centre-villes et densification des villes moyennes 
- Réduction du mal-logements et de la précarité énergétique</t>
  </si>
  <si>
    <t>Système productif</t>
  </si>
  <si>
    <t xml:space="preserve">- Pacte productif 
- France relance 
- France 2030 
- ODD 8,9,12 </t>
  </si>
  <si>
    <t>Poursuite de la baisse de la part de l’industrie dans le PIB et l’emploi au profit du secteur tertiaire. Hausse des importations car la demande croît plus vite que la production. Développement de la numérisation et de la robotisation.</t>
  </si>
  <si>
    <t xml:space="preserve">Ré-industrialisation notamment au profit de quelques filières stratégiques, recherche d’une souveraineté économique. Maintien d’un solde exportateur important dans les secteurs actuellement exportateurs, et développement d’un export de biens et services durables. Développement de la numérisation et de la robotisation. Transition juste des emplois et des compétences. Développement d’offres « de sobriété » aux clients (leasing, lutte contre l’obsolescence, meilleur dimensionnement aux besoins du client, réglages sobres par défaut etc.) </t>
  </si>
  <si>
    <t>Emploi et organisation des entreprises</t>
  </si>
  <si>
    <t>- Plan d'investissement en compétences 2018-2022
- Plan de développement des compétences</t>
  </si>
  <si>
    <t xml:space="preserve">Adaptation des entreprises au développement du télétravail
Tertiairisation – plus d’aide à la personne
</t>
  </si>
  <si>
    <t>Adaptation des entreprises au télétravail
Transition juste : formation et accompagnement des salariés
Adoption par les entreprises de stratégies climat cohérentes avec la SNBC</t>
  </si>
  <si>
    <t>Fiscalité et redistribution</t>
  </si>
  <si>
    <t xml:space="preserve">- Stratégie de prévention et de lutte contre la pauvreté (2018-2022) 
- ODD 1,10 </t>
  </si>
  <si>
    <t>Pas de changements</t>
  </si>
  <si>
    <t>- Prix du carbone et modification de la fiscalité énergétique 
- Compensation et accompagnement renforcé des ménages modestes 
- ODD 10.1 : augmentation plus rapide des revenus des 40% les plus pauvres que le reste de la population 
- fiscalité qui favorise les produits plus écologiques, durables et sains, et pénalise ceux qui ne le sont pas</t>
  </si>
  <si>
    <t>Sensibilité environnementale et consommation</t>
  </si>
  <si>
    <t xml:space="preserve">- Agribalyse 
- Indice de réparabilité 
- CO2 score à terme 
- ODD 4, 12 </t>
  </si>
  <si>
    <t xml:space="preserve">- Plus grande appétence des consommateurs pour les produits fabriqués en France / à basses émissions / réparables / de meilleure qualité via affichage environnemental et éducation. 
- Publicité régulée qui rend désirable des modes de vie durables
- Développement des commerces de proximité </t>
  </si>
  <si>
    <t>Usage du temps, loisirs et tourisme</t>
  </si>
  <si>
    <t>- ODD 4, 8, 16, 17</t>
  </si>
  <si>
    <t>Augmentation des distances parcourus pour les loisirs et le tourisme</t>
  </si>
  <si>
    <t>- Développement d’un tourisme plus local et de loisirs à faible impact environnemental (tourisme vert, culture, etc.)
- Davantage de temps consacré aux projets associatifs et de proximité (énergies citoyennes, etc.)
- trajets longue distance plus longs (en train vs en avion) mais moins fréquents</t>
  </si>
  <si>
    <t>Usages du numérique</t>
  </si>
  <si>
    <t xml:space="preserve">- Feuille de route Numérique et environnement 
- Plan national pour un numérique inclusif </t>
  </si>
  <si>
    <t>Poursuite du développement exponentiel des usages (digitalisation de l’industrie, IoT…)</t>
  </si>
  <si>
    <t>Priorisation des usages (ex dans l’industrie, la santé, l’éducation, le télétravail…) et sobriété numérique. Réduction du temps de loisir passé devant des écrans et lutte contre les addictions. Développement des achats de terminaux réparables ou reconditionnés.</t>
  </si>
  <si>
    <t>Cohésion sociale et engagements</t>
  </si>
  <si>
    <t xml:space="preserve">- ODD 5, 10, 11, 16, 17 </t>
  </si>
  <si>
    <t xml:space="preserve">Solidarité accrue au sein de la société (entre les générations, les territoires, etc.). Réhabilitation des communs (espaces partagés). Implication des citoyens dans les décisions et confiance dans les institutions </t>
  </si>
  <si>
    <t>Santé et bien-être</t>
  </si>
  <si>
    <t>- PNNS 2019-2023 
- Programme national de l’alimentation et de la nutrition 
- Plan national de la santé publique 
- ODD 2, 3 
- Approche « One Health » (OMS)</t>
  </si>
  <si>
    <t>- Régimes alimentaires équilibrés (plus de fruits et légumes et protéines végétales, moins de viande), avec davantage d’aliments frais, locaux, de saison, et de qualité (labels)
- Exercice physique régulier 
- réduction des pollutions (lumineuse, bruit, polluants atmosphériques…)</t>
  </si>
  <si>
    <t>Mobilité</t>
  </si>
  <si>
    <t xml:space="preserve">- France 2030 
- Plan vélo </t>
  </si>
  <si>
    <t>- Impact COVID à court terme. 
- Poursuite du développement du e-commerce, des livraisons à domicile etc. 
- Poursuite de la hausse de la taille et du poids des véhicules</t>
  </si>
  <si>
    <t>- Réduction de la demande en mobilité via le développement du télétravail, la limitation de l’étalement urbain, le développement des circuits circuits courts…)
- utilisation plus importante des modes ferrés ou non motorisés en lien avec des investissements plus forts dans les infrastructures associées (transports en commun, aménagements cyclables, etc.)</t>
  </si>
  <si>
    <t>Adaptation</t>
  </si>
  <si>
    <t>- PNACC
- ODD 13</t>
  </si>
  <si>
    <t xml:space="preserve">Adaptation au changement climatique limitée. </t>
  </si>
  <si>
    <t xml:space="preserve">Adaptation effective dès le milieu du XXIe siècle à un climat régional en métropole et dans les outre-mer cohérent avec une hausse de température de +1,5 à 2 °C au niveau mondial par rapport au XIXe siècle </t>
  </si>
  <si>
    <t>Emissions du reste du monde et niveau de réchauffement climatique</t>
  </si>
  <si>
    <t>- Accord de Paris
- ODD 13</t>
  </si>
  <si>
    <t>Trajectoire d’émissions limitant le réchauffement climatique à 2°C  (~ pleine mise en œuvre des engagements actuels, notamment de neutralité carbone) : SSP1-RCP2.6. Impact à 2100 sur la température globale de surface par rapport à la période pré-industrielle : +1,9°C (+1,5 - +2,3) (GIEC AR6)</t>
  </si>
  <si>
    <t>https://publications.banque-france.fr/projections-macroeconomiques-mars-2023</t>
  </si>
  <si>
    <t>Prévisions Banque de France 2023</t>
  </si>
  <si>
    <t>https://www.insee.fr/fr/statistiques/5225246#tableau-figure1</t>
  </si>
  <si>
    <t>https://www.insee.fr/fr/statistiques/6453758?sommaire=6453776#onglet-2</t>
  </si>
  <si>
    <t>INSEE projections de population active 2022 - 2070</t>
  </si>
  <si>
    <t>Projections de population active INSEE 2022 (basée sur le scénario central de projection 2021-2070)</t>
  </si>
  <si>
    <t>VA (M€ 2015)</t>
  </si>
  <si>
    <t>Agriculture</t>
  </si>
  <si>
    <t>https://www.insee.fr/fr/statistiques/2830197#tableau-figure1</t>
  </si>
  <si>
    <t>Industrie (hors automobile)</t>
  </si>
  <si>
    <t>Produits minéraux non-métalliques</t>
  </si>
  <si>
    <t>Papier</t>
  </si>
  <si>
    <t>Plasturgie &amp; chimie</t>
  </si>
  <si>
    <t>Sidérurgie</t>
  </si>
  <si>
    <t>Métallurgie métaux non ferreux</t>
  </si>
  <si>
    <t>Autres industries</t>
  </si>
  <si>
    <t>Construction automobile</t>
  </si>
  <si>
    <t>BTP</t>
  </si>
  <si>
    <t xml:space="preserve">Transport </t>
  </si>
  <si>
    <t xml:space="preserve"> dont ferroviaire</t>
  </si>
  <si>
    <t>bus</t>
  </si>
  <si>
    <t>fret terrestre</t>
  </si>
  <si>
    <t>fret maritime</t>
  </si>
  <si>
    <t>aérien</t>
  </si>
  <si>
    <t>Services marchands</t>
  </si>
  <si>
    <t>Services publics</t>
  </si>
  <si>
    <t>Energie (total)</t>
  </si>
  <si>
    <t>Charbon</t>
  </si>
  <si>
    <t>Carburants</t>
  </si>
  <si>
    <t>dont carburants fossiles</t>
  </si>
  <si>
    <t>biocarburants</t>
  </si>
  <si>
    <t>Electricité</t>
  </si>
  <si>
    <t>dont nucléaire</t>
  </si>
  <si>
    <t>fuel</t>
  </si>
  <si>
    <t>gaz</t>
  </si>
  <si>
    <t>charbon</t>
  </si>
  <si>
    <t xml:space="preserve">éolien </t>
  </si>
  <si>
    <t>solaire</t>
  </si>
  <si>
    <t>hydraulique</t>
  </si>
  <si>
    <t>cogénération</t>
  </si>
  <si>
    <t>gaz et chaleur</t>
  </si>
  <si>
    <t>dont gaz naturel</t>
  </si>
  <si>
    <t>Progression similaire au PIB</t>
  </si>
  <si>
    <t>biogaz</t>
  </si>
  <si>
    <t>bois</t>
  </si>
  <si>
    <t>déchets</t>
  </si>
  <si>
    <t>géothermie</t>
  </si>
  <si>
    <t>total</t>
  </si>
  <si>
    <t>VA/PIB en %</t>
  </si>
  <si>
    <t>EC Ref 2022</t>
  </si>
  <si>
    <t>EC Ref 2023</t>
  </si>
  <si>
    <t>EC Ref 2024</t>
  </si>
  <si>
    <t>EC Ref 2025</t>
  </si>
  <si>
    <t>EC Ref 2026</t>
  </si>
  <si>
    <t>EC Ref 2027</t>
  </si>
  <si>
    <t>Projeté &lt; 3ME</t>
  </si>
  <si>
    <t>Part industrie + énergie</t>
  </si>
  <si>
    <t>3ME run1bis</t>
  </si>
  <si>
    <t>part industrie / VA</t>
  </si>
  <si>
    <t>Données 3ME</t>
  </si>
  <si>
    <t>1. Historique – EC Ref 2020 - données 3ME</t>
  </si>
  <si>
    <t>On fait évoluer la GVA totale avec le PIB
AME : on reprend les trajectoires d'évolution sectorielles du scénario de référence de la Commission Européenne
AMS : on reprend les trajectoires du run1 issues de 3ME - l'hypothèse de stabilité de la part de l'industrie dans la VA est globalement maintenue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</si>
</sst>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0.0"/>
    <numFmt numFmtId="165" formatCode="#,##0.000"/>
    <numFmt numFmtId="166" formatCode="0.000"/>
    <numFmt numFmtId="167" formatCode="0\ %"/>
    <numFmt numFmtId="168" formatCode="0.00\ %"/>
    <numFmt numFmtId="169" formatCode="0.0%"/>
    <numFmt numFmtId="170" formatCode="_(* #,##0_);_(* \(#,##0\);_(* \-??_);_(@_)"/>
    <numFmt numFmtId="171" formatCode="_-* #,##0.00_-;\-* #,##0.00_-;_-* \-??_-;_-@_-"/>
    <numFmt numFmtId="172" formatCode="_(* #,##0.00_);_(* \(#,##0.00\);_(* \-??_);_(@_)"/>
    <numFmt numFmtId="173" formatCode="#,##0.0"/>
    <numFmt numFmtId="174" formatCode="0.0\ %"/>
  </numFmts>
  <fonts count="18" x14ac:knownFonts="1">
    <font>
      <sz val="11"/>
      <color rgb="FF000000"/>
      <name val="Calibri"/>
      <family val="2"/>
      <charset val="1"/>
    </font>
    <font>
      <sz val="10"/>
      <name val="MS Sans Serif"/>
      <family val="2"/>
      <charset val="1"/>
    </font>
    <font>
      <b/>
      <sz val="11"/>
      <color rgb="FF000000"/>
      <name val="Calibri"/>
      <family val="2"/>
      <charset val="1"/>
    </font>
    <font>
      <i/>
      <sz val="11"/>
      <color rgb="FF000000"/>
      <name val="Calibri"/>
      <family val="2"/>
      <charset val="1"/>
    </font>
    <font>
      <u/>
      <sz val="11"/>
      <color rgb="FF0563C1"/>
      <name val="Calibri"/>
      <family val="2"/>
      <charset val="1"/>
    </font>
    <font>
      <sz val="10"/>
      <name val="Arial"/>
      <family val="2"/>
      <charset val="1"/>
    </font>
    <font>
      <sz val="11"/>
      <color rgb="FFCE181E"/>
      <name val="Calibri"/>
      <family val="2"/>
      <charset val="1"/>
    </font>
    <font>
      <b/>
      <sz val="8"/>
      <color rgb="FF000000"/>
      <name val="Arial"/>
      <family val="2"/>
      <charset val="1"/>
    </font>
    <font>
      <sz val="8"/>
      <color rgb="FF000000"/>
      <name val="Calibri"/>
      <family val="2"/>
      <charset val="1"/>
    </font>
    <font>
      <sz val="8"/>
      <name val="Arial"/>
      <family val="2"/>
      <charset val="1"/>
    </font>
    <font>
      <i/>
      <sz val="8"/>
      <name val="Arial"/>
      <family val="2"/>
      <charset val="1"/>
    </font>
    <font>
      <b/>
      <sz val="16"/>
      <color rgb="FF000000"/>
      <name val="Calibri"/>
      <family val="2"/>
      <charset val="1"/>
    </font>
    <font>
      <b/>
      <sz val="15"/>
      <color rgb="FF000000"/>
      <name val="Calibri"/>
      <family val="2"/>
      <charset val="1"/>
    </font>
    <font>
      <sz val="11"/>
      <color rgb="FF000000"/>
      <name val="Calibri"/>
      <family val="2"/>
      <charset val="1"/>
    </font>
    <font>
      <b/>
      <sz val="11"/>
      <color theme="1"/>
      <name val="Calibri"/>
      <family val="2"/>
      <scheme val="minor"/>
    </font>
    <font>
      <b/>
      <sz val="11"/>
      <name val="Calibri"/>
      <family val="2"/>
      <scheme val="minor"/>
    </font>
    <font>
      <sz val="9"/>
      <color rgb="FF000000"/>
      <name val="Calibri"/>
      <family val="2"/>
      <charset val="1"/>
    </font>
    <font>
      <b/>
      <sz val="11"/>
      <color rgb="FF000000"/>
      <name val="Calibri"/>
      <family val="2"/>
    </font>
  </fonts>
  <fills count="18">
    <fill>
      <patternFill patternType="none"/>
    </fill>
    <fill>
      <patternFill patternType="gray125"/>
    </fill>
    <fill>
      <patternFill patternType="solid">
        <fgColor rgb="FFDEEBF7"/>
        <bgColor rgb="FFDAE3F3"/>
      </patternFill>
    </fill>
    <fill>
      <patternFill patternType="solid">
        <fgColor rgb="FFFFFF00"/>
        <bgColor rgb="FFFFD320"/>
      </patternFill>
    </fill>
    <fill>
      <patternFill patternType="solid">
        <fgColor rgb="FFFFF7D3"/>
        <bgColor rgb="FFFFF2CC"/>
      </patternFill>
    </fill>
    <fill>
      <patternFill patternType="solid">
        <fgColor rgb="FFF2F2F2"/>
        <bgColor rgb="FFF1EEEC"/>
      </patternFill>
    </fill>
    <fill>
      <patternFill patternType="solid">
        <fgColor rgb="FFF1EEEC"/>
        <bgColor rgb="FFF2F2F2"/>
      </patternFill>
    </fill>
    <fill>
      <patternFill patternType="solid">
        <fgColor rgb="FFD9D9D9"/>
        <bgColor rgb="FFDAE3F3"/>
      </patternFill>
    </fill>
    <fill>
      <patternFill patternType="solid">
        <fgColor rgb="FF81D41A"/>
        <bgColor rgb="FF70AD47"/>
      </patternFill>
    </fill>
    <fill>
      <patternFill patternType="solid">
        <fgColor rgb="FFDAE3F3"/>
        <bgColor rgb="FFDEEBF7"/>
      </patternFill>
    </fill>
    <fill>
      <patternFill patternType="solid">
        <fgColor rgb="FFB4C7E7"/>
        <bgColor rgb="FFBDD7EE"/>
      </patternFill>
    </fill>
    <fill>
      <patternFill patternType="solid">
        <fgColor rgb="FFFFF2CC"/>
        <bgColor rgb="FFFFF7D3"/>
      </patternFill>
    </fill>
    <fill>
      <patternFill patternType="solid">
        <fgColor rgb="FFFFBF00"/>
        <bgColor rgb="FFFFC000"/>
      </patternFill>
    </fill>
    <fill>
      <patternFill patternType="solid">
        <fgColor rgb="FFFFC000"/>
        <bgColor rgb="FFFFBF00"/>
      </patternFill>
    </fill>
    <fill>
      <patternFill patternType="solid">
        <fgColor rgb="FFFFC000"/>
        <bgColor indexed="64"/>
      </patternFill>
    </fill>
    <fill>
      <patternFill patternType="solid">
        <fgColor rgb="FF92D050"/>
        <bgColor indexed="64"/>
      </patternFill>
    </fill>
    <fill>
      <patternFill patternType="solid">
        <fgColor theme="0"/>
        <bgColor indexed="64"/>
      </patternFill>
    </fill>
    <fill>
      <patternFill patternType="solid">
        <fgColor theme="0" tint="-4.9989318521683403E-2"/>
        <bgColor indexed="64"/>
      </patternFill>
    </fill>
  </fills>
  <borders count="30">
    <border>
      <left/>
      <right/>
      <top/>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hair">
        <color auto="1"/>
      </left>
      <right/>
      <top style="thin">
        <color auto="1"/>
      </top>
      <bottom style="hair">
        <color auto="1"/>
      </bottom>
      <diagonal/>
    </border>
    <border>
      <left/>
      <right/>
      <top style="thin">
        <color auto="1"/>
      </top>
      <bottom/>
      <diagonal/>
    </border>
    <border>
      <left/>
      <right style="thin">
        <color auto="1"/>
      </right>
      <top style="thin">
        <color auto="1"/>
      </top>
      <bottom/>
      <diagonal/>
    </border>
    <border>
      <left style="hair">
        <color auto="1"/>
      </left>
      <right style="hair">
        <color auto="1"/>
      </right>
      <top/>
      <bottom/>
      <diagonal/>
    </border>
    <border>
      <left style="hair">
        <color auto="1"/>
      </left>
      <right style="thin">
        <color auto="1"/>
      </right>
      <top/>
      <bottom style="hair">
        <color auto="1"/>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thin">
        <color auto="1"/>
      </right>
      <top/>
      <bottom/>
      <diagonal/>
    </border>
    <border>
      <left/>
      <right style="thin">
        <color auto="1"/>
      </right>
      <top/>
      <bottom style="hair">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dotted">
        <color indexed="64"/>
      </top>
      <bottom style="dotted">
        <color indexed="64"/>
      </bottom>
      <diagonal/>
    </border>
    <border>
      <left/>
      <right/>
      <top style="dotted">
        <color indexed="64"/>
      </top>
      <bottom style="dotted">
        <color indexed="64"/>
      </bottom>
      <diagonal/>
    </border>
    <border>
      <left style="thin">
        <color indexed="64"/>
      </left>
      <right style="thin">
        <color indexed="64"/>
      </right>
      <top style="dotted">
        <color indexed="64"/>
      </top>
      <bottom/>
      <diagonal/>
    </border>
    <border>
      <left/>
      <right/>
      <top style="dotted">
        <color indexed="64"/>
      </top>
      <bottom/>
      <diagonal/>
    </border>
    <border>
      <left style="thin">
        <color indexed="64"/>
      </left>
      <right style="thin">
        <color indexed="64"/>
      </right>
      <top/>
      <bottom style="dotted">
        <color indexed="64"/>
      </bottom>
      <diagonal/>
    </border>
    <border>
      <left/>
      <right/>
      <top/>
      <bottom style="dotted">
        <color indexed="64"/>
      </bottom>
      <diagonal/>
    </border>
  </borders>
  <cellStyleXfs count="5">
    <xf numFmtId="0" fontId="0" fillId="0" borderId="0"/>
    <xf numFmtId="171" fontId="13" fillId="0" borderId="0" applyBorder="0" applyProtection="0"/>
    <xf numFmtId="167" fontId="13" fillId="0" borderId="0" applyBorder="0" applyProtection="0"/>
    <xf numFmtId="0" fontId="4" fillId="0" borderId="0" applyBorder="0" applyProtection="0"/>
    <xf numFmtId="0" fontId="1" fillId="0" borderId="0"/>
  </cellStyleXfs>
  <cellXfs count="166">
    <xf numFmtId="0" fontId="0" fillId="0" borderId="0" xfId="0"/>
    <xf numFmtId="0" fontId="0" fillId="2" borderId="2" xfId="0" applyFont="1" applyFill="1" applyBorder="1"/>
    <xf numFmtId="0" fontId="0" fillId="2" borderId="3" xfId="0" applyFill="1" applyBorder="1"/>
    <xf numFmtId="0" fontId="0" fillId="2" borderId="4" xfId="0" applyFill="1" applyBorder="1"/>
    <xf numFmtId="4" fontId="0" fillId="2" borderId="3" xfId="0" applyNumberFormat="1" applyFill="1" applyBorder="1"/>
    <xf numFmtId="4" fontId="0" fillId="2" borderId="4" xfId="0" applyNumberFormat="1" applyFill="1" applyBorder="1"/>
    <xf numFmtId="0" fontId="3" fillId="2" borderId="2" xfId="0" applyFont="1" applyFill="1" applyBorder="1" applyAlignment="1">
      <alignment horizontal="right"/>
    </xf>
    <xf numFmtId="0" fontId="3" fillId="2" borderId="5" xfId="0" applyFont="1" applyFill="1" applyBorder="1" applyAlignment="1">
      <alignment horizontal="right"/>
    </xf>
    <xf numFmtId="4" fontId="0" fillId="2" borderId="6" xfId="0" applyNumberFormat="1" applyFill="1" applyBorder="1"/>
    <xf numFmtId="4" fontId="0" fillId="2" borderId="7" xfId="0" applyNumberFormat="1" applyFill="1" applyBorder="1"/>
    <xf numFmtId="0" fontId="0" fillId="0" borderId="0" xfId="0" applyFont="1" applyAlignment="1">
      <alignment wrapText="1"/>
    </xf>
    <xf numFmtId="0" fontId="4" fillId="0" borderId="0" xfId="3" applyFont="1" applyBorder="1" applyAlignment="1" applyProtection="1"/>
    <xf numFmtId="0" fontId="2" fillId="0" borderId="0" xfId="0" applyFont="1"/>
    <xf numFmtId="164" fontId="0" fillId="0" borderId="0" xfId="0" applyNumberFormat="1" applyFont="1"/>
    <xf numFmtId="2" fontId="0" fillId="0" borderId="0" xfId="0" applyNumberFormat="1"/>
    <xf numFmtId="165" fontId="5" fillId="0" borderId="0" xfId="0" applyNumberFormat="1" applyFont="1" applyBorder="1" applyProtection="1">
      <protection locked="0"/>
    </xf>
    <xf numFmtId="164" fontId="0" fillId="0" borderId="0" xfId="0" applyNumberFormat="1"/>
    <xf numFmtId="166" fontId="0" fillId="0" borderId="0" xfId="0" applyNumberFormat="1"/>
    <xf numFmtId="3" fontId="0" fillId="0" borderId="0" xfId="0" applyNumberFormat="1" applyBorder="1" applyProtection="1">
      <protection locked="0"/>
    </xf>
    <xf numFmtId="0" fontId="6" fillId="0" borderId="0" xfId="0" applyFont="1"/>
    <xf numFmtId="3" fontId="5" fillId="0" borderId="0" xfId="0" applyNumberFormat="1" applyFont="1"/>
    <xf numFmtId="0" fontId="3" fillId="0" borderId="0" xfId="0" applyFont="1" applyAlignment="1">
      <alignment horizontal="right"/>
    </xf>
    <xf numFmtId="3" fontId="1" fillId="0" borderId="0" xfId="4" applyNumberFormat="1"/>
    <xf numFmtId="3" fontId="0" fillId="0" borderId="0" xfId="0" applyNumberFormat="1"/>
    <xf numFmtId="0" fontId="2" fillId="0" borderId="0" xfId="0" applyFont="1" applyAlignment="1">
      <alignment horizontal="left"/>
    </xf>
    <xf numFmtId="168" fontId="0" fillId="0" borderId="0" xfId="2" applyNumberFormat="1" applyFont="1" applyBorder="1" applyAlignment="1" applyProtection="1"/>
    <xf numFmtId="2" fontId="0" fillId="4" borderId="0" xfId="0" applyNumberFormat="1" applyFill="1"/>
    <xf numFmtId="2" fontId="0" fillId="5" borderId="0" xfId="0" applyNumberFormat="1" applyFill="1"/>
    <xf numFmtId="2" fontId="0" fillId="6" borderId="0" xfId="0" applyNumberFormat="1" applyFill="1"/>
    <xf numFmtId="165" fontId="0" fillId="5" borderId="0" xfId="0" applyNumberFormat="1" applyFill="1"/>
    <xf numFmtId="0" fontId="2" fillId="0" borderId="0" xfId="0" applyFont="1" applyAlignment="1">
      <alignment horizontal="right"/>
    </xf>
    <xf numFmtId="165" fontId="0" fillId="0" borderId="0" xfId="0" applyNumberFormat="1"/>
    <xf numFmtId="4" fontId="0" fillId="5" borderId="0" xfId="0" applyNumberFormat="1" applyFill="1"/>
    <xf numFmtId="4" fontId="0" fillId="0" borderId="0" xfId="0" applyNumberFormat="1"/>
    <xf numFmtId="0" fontId="0" fillId="0" borderId="3" xfId="0" applyBorder="1"/>
    <xf numFmtId="0" fontId="0" fillId="7" borderId="3" xfId="0" applyFont="1" applyFill="1" applyBorder="1"/>
    <xf numFmtId="2" fontId="0" fillId="7" borderId="3" xfId="0" applyNumberFormat="1" applyFill="1" applyBorder="1"/>
    <xf numFmtId="0" fontId="0" fillId="0" borderId="0" xfId="0" applyFont="1" applyAlignment="1">
      <alignment horizontal="center"/>
    </xf>
    <xf numFmtId="169" fontId="0" fillId="7" borderId="3" xfId="2" applyNumberFormat="1" applyFont="1" applyFill="1" applyBorder="1" applyAlignment="1" applyProtection="1"/>
    <xf numFmtId="2" fontId="0" fillId="8" borderId="0" xfId="0" applyNumberFormat="1" applyFill="1"/>
    <xf numFmtId="0" fontId="0" fillId="5" borderId="3" xfId="0" applyFont="1" applyFill="1" applyBorder="1"/>
    <xf numFmtId="2" fontId="0" fillId="5" borderId="3" xfId="0" applyNumberFormat="1" applyFill="1" applyBorder="1"/>
    <xf numFmtId="169" fontId="0" fillId="5" borderId="3" xfId="2" applyNumberFormat="1" applyFont="1" applyFill="1" applyBorder="1" applyAlignment="1" applyProtection="1"/>
    <xf numFmtId="0" fontId="2" fillId="0" borderId="3" xfId="0" applyFont="1" applyBorder="1" applyAlignment="1">
      <alignment horizontal="center" vertical="center" wrapText="1"/>
    </xf>
    <xf numFmtId="4" fontId="0" fillId="0" borderId="3" xfId="0" applyNumberFormat="1" applyBorder="1"/>
    <xf numFmtId="2" fontId="0" fillId="0" borderId="3" xfId="0" applyNumberFormat="1" applyBorder="1"/>
    <xf numFmtId="168" fontId="0" fillId="0" borderId="0" xfId="0" applyNumberFormat="1"/>
    <xf numFmtId="0" fontId="2" fillId="3" borderId="3" xfId="0" applyFont="1" applyFill="1" applyBorder="1"/>
    <xf numFmtId="2" fontId="2" fillId="3" borderId="3" xfId="0" applyNumberFormat="1" applyFont="1" applyFill="1" applyBorder="1"/>
    <xf numFmtId="0" fontId="0" fillId="2" borderId="5" xfId="0" applyFont="1" applyFill="1" applyBorder="1"/>
    <xf numFmtId="0" fontId="0" fillId="0" borderId="0" xfId="0" applyFont="1" applyAlignment="1">
      <alignment horizontal="left"/>
    </xf>
    <xf numFmtId="0" fontId="2" fillId="9" borderId="0" xfId="0" applyFont="1" applyFill="1"/>
    <xf numFmtId="0" fontId="2" fillId="10" borderId="0" xfId="0" applyFont="1" applyFill="1"/>
    <xf numFmtId="0" fontId="0" fillId="0" borderId="0" xfId="0" applyFont="1" applyAlignment="1">
      <alignment horizontal="right"/>
    </xf>
    <xf numFmtId="0" fontId="0" fillId="11" borderId="0" xfId="0" applyFill="1"/>
    <xf numFmtId="0" fontId="7" fillId="0" borderId="8" xfId="0" applyFont="1" applyBorder="1" applyAlignment="1">
      <alignment horizontal="center"/>
    </xf>
    <xf numFmtId="0" fontId="7" fillId="0" borderId="9" xfId="0" applyFont="1" applyBorder="1" applyAlignment="1">
      <alignment horizontal="center"/>
    </xf>
    <xf numFmtId="0" fontId="7" fillId="0" borderId="10" xfId="0" applyFont="1" applyBorder="1" applyAlignment="1">
      <alignment horizontal="center"/>
    </xf>
    <xf numFmtId="0" fontId="0" fillId="0" borderId="11" xfId="0" applyBorder="1"/>
    <xf numFmtId="170" fontId="8" fillId="0" borderId="10" xfId="0" applyNumberFormat="1" applyFont="1" applyBorder="1" applyAlignment="1">
      <alignment horizontal="right"/>
    </xf>
    <xf numFmtId="170" fontId="8" fillId="0" borderId="9" xfId="0" applyNumberFormat="1" applyFont="1" applyBorder="1" applyAlignment="1">
      <alignment horizontal="right"/>
    </xf>
    <xf numFmtId="1" fontId="0" fillId="0" borderId="0" xfId="0" applyNumberFormat="1"/>
    <xf numFmtId="170" fontId="9" fillId="0" borderId="12" xfId="1" applyNumberFormat="1" applyFont="1" applyBorder="1" applyAlignment="1" applyProtection="1">
      <alignment horizontal="right"/>
    </xf>
    <xf numFmtId="170" fontId="9" fillId="0" borderId="13" xfId="1" applyNumberFormat="1" applyFont="1" applyBorder="1" applyAlignment="1" applyProtection="1">
      <alignment horizontal="right"/>
    </xf>
    <xf numFmtId="170" fontId="8" fillId="0" borderId="14" xfId="0" applyNumberFormat="1" applyFont="1" applyBorder="1" applyAlignment="1">
      <alignment horizontal="right"/>
    </xf>
    <xf numFmtId="170" fontId="8" fillId="0" borderId="15" xfId="0" applyNumberFormat="1" applyFont="1" applyBorder="1" applyAlignment="1">
      <alignment horizontal="right"/>
    </xf>
    <xf numFmtId="170" fontId="9" fillId="0" borderId="16" xfId="1" applyNumberFormat="1" applyFont="1" applyBorder="1" applyAlignment="1" applyProtection="1">
      <alignment horizontal="right"/>
    </xf>
    <xf numFmtId="170" fontId="9" fillId="0" borderId="10" xfId="1" applyNumberFormat="1" applyFont="1" applyBorder="1" applyAlignment="1" applyProtection="1">
      <alignment horizontal="right"/>
    </xf>
    <xf numFmtId="170" fontId="9" fillId="0" borderId="0" xfId="1" applyNumberFormat="1" applyFont="1" applyBorder="1" applyAlignment="1" applyProtection="1">
      <alignment horizontal="right"/>
    </xf>
    <xf numFmtId="170" fontId="9" fillId="0" borderId="17" xfId="1" applyNumberFormat="1" applyFont="1" applyBorder="1" applyAlignment="1" applyProtection="1">
      <alignment horizontal="right"/>
    </xf>
    <xf numFmtId="170" fontId="9" fillId="0" borderId="9" xfId="1" applyNumberFormat="1" applyFont="1" applyBorder="1" applyAlignment="1" applyProtection="1">
      <alignment horizontal="right"/>
    </xf>
    <xf numFmtId="170" fontId="10" fillId="0" borderId="10" xfId="1" applyNumberFormat="1" applyFont="1" applyBorder="1" applyAlignment="1" applyProtection="1">
      <alignment horizontal="right"/>
    </xf>
    <xf numFmtId="170" fontId="10" fillId="0" borderId="9" xfId="1" applyNumberFormat="1" applyFont="1" applyBorder="1" applyAlignment="1" applyProtection="1">
      <alignment horizontal="right"/>
    </xf>
    <xf numFmtId="170" fontId="9" fillId="0" borderId="14" xfId="1" applyNumberFormat="1" applyFont="1" applyBorder="1" applyAlignment="1" applyProtection="1">
      <alignment horizontal="right"/>
    </xf>
    <xf numFmtId="170" fontId="9" fillId="0" borderId="15" xfId="1" applyNumberFormat="1" applyFont="1" applyBorder="1" applyAlignment="1" applyProtection="1">
      <alignment horizontal="right"/>
    </xf>
    <xf numFmtId="172" fontId="8" fillId="0" borderId="0" xfId="1" applyNumberFormat="1" applyFont="1" applyBorder="1" applyAlignment="1" applyProtection="1"/>
    <xf numFmtId="170" fontId="10" fillId="0" borderId="13" xfId="1" applyNumberFormat="1" applyFont="1" applyBorder="1" applyAlignment="1" applyProtection="1">
      <alignment horizontal="right"/>
    </xf>
    <xf numFmtId="170" fontId="10" fillId="0" borderId="0" xfId="1" applyNumberFormat="1" applyFont="1" applyBorder="1" applyAlignment="1" applyProtection="1">
      <alignment horizontal="right"/>
    </xf>
    <xf numFmtId="168" fontId="8" fillId="0" borderId="0" xfId="1" applyNumberFormat="1" applyFont="1" applyBorder="1" applyAlignment="1" applyProtection="1"/>
    <xf numFmtId="172" fontId="8" fillId="0" borderId="9" xfId="1" applyNumberFormat="1" applyFont="1" applyBorder="1" applyAlignment="1" applyProtection="1"/>
    <xf numFmtId="172" fontId="8" fillId="0" borderId="10" xfId="1" applyNumberFormat="1" applyFont="1" applyBorder="1" applyAlignment="1" applyProtection="1"/>
    <xf numFmtId="168" fontId="0" fillId="0" borderId="0" xfId="0" applyNumberFormat="1"/>
    <xf numFmtId="172" fontId="8" fillId="0" borderId="13" xfId="1" applyNumberFormat="1" applyFont="1" applyBorder="1" applyAlignment="1" applyProtection="1"/>
    <xf numFmtId="170" fontId="0" fillId="0" borderId="0" xfId="0" applyNumberFormat="1"/>
    <xf numFmtId="169" fontId="0" fillId="0" borderId="0" xfId="0" applyNumberFormat="1"/>
    <xf numFmtId="173" fontId="0" fillId="2" borderId="6" xfId="0" applyNumberFormat="1" applyFill="1" applyBorder="1"/>
    <xf numFmtId="0" fontId="0" fillId="10" borderId="0" xfId="0" applyFill="1"/>
    <xf numFmtId="164" fontId="0" fillId="10" borderId="0" xfId="0" applyNumberFormat="1" applyFill="1"/>
    <xf numFmtId="0" fontId="0" fillId="0" borderId="0" xfId="0" applyFont="1"/>
    <xf numFmtId="0" fontId="12" fillId="13" borderId="3" xfId="0" applyFont="1" applyFill="1" applyBorder="1" applyAlignment="1">
      <alignment horizontal="center" vertical="center"/>
    </xf>
    <xf numFmtId="0" fontId="0" fillId="0" borderId="3" xfId="0" applyFont="1" applyBorder="1" applyAlignment="1">
      <alignment vertical="top" wrapText="1"/>
    </xf>
    <xf numFmtId="0" fontId="0" fillId="0" borderId="3" xfId="0" applyFont="1" applyBorder="1" applyAlignment="1">
      <alignment horizontal="left" vertical="top"/>
    </xf>
    <xf numFmtId="0" fontId="0" fillId="0" borderId="3" xfId="0" applyFont="1" applyBorder="1" applyAlignment="1">
      <alignment horizontal="left" vertical="top" wrapText="1"/>
    </xf>
    <xf numFmtId="0" fontId="2" fillId="0" borderId="3" xfId="0" applyFont="1" applyBorder="1" applyAlignment="1">
      <alignment horizontal="center" vertical="center"/>
    </xf>
    <xf numFmtId="49" fontId="0" fillId="0" borderId="3" xfId="0" applyNumberFormat="1" applyFont="1" applyBorder="1" applyAlignment="1">
      <alignment vertical="top" wrapText="1"/>
    </xf>
    <xf numFmtId="0" fontId="4" fillId="0" borderId="0" xfId="3"/>
    <xf numFmtId="171" fontId="13" fillId="0" borderId="3" xfId="1" applyBorder="1" applyProtection="1"/>
    <xf numFmtId="0" fontId="2" fillId="2" borderId="1" xfId="0" applyFont="1" applyFill="1" applyBorder="1" applyAlignment="1">
      <alignment horizontal="center"/>
    </xf>
    <xf numFmtId="0" fontId="0" fillId="3" borderId="3" xfId="0" applyFont="1" applyFill="1" applyBorder="1" applyAlignment="1">
      <alignment horizontal="center" vertical="center" wrapText="1"/>
    </xf>
    <xf numFmtId="0" fontId="0" fillId="0" borderId="0" xfId="0" applyFont="1" applyBorder="1" applyAlignment="1">
      <alignment horizontal="center" wrapText="1"/>
    </xf>
    <xf numFmtId="0" fontId="0" fillId="5" borderId="3" xfId="0" applyFont="1" applyFill="1" applyBorder="1" applyAlignment="1">
      <alignment horizontal="center" wrapText="1"/>
    </xf>
    <xf numFmtId="0" fontId="0" fillId="7"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2" fillId="0" borderId="3" xfId="0" applyFont="1" applyBorder="1" applyAlignment="1">
      <alignment horizontal="center" wrapText="1"/>
    </xf>
    <xf numFmtId="0" fontId="0" fillId="0" borderId="0" xfId="0" applyFont="1" applyBorder="1" applyAlignment="1">
      <alignment horizontal="center" vertical="center"/>
    </xf>
    <xf numFmtId="0" fontId="0" fillId="12" borderId="0" xfId="0" applyFont="1" applyFill="1" applyBorder="1" applyAlignment="1">
      <alignment horizontal="center" vertical="center"/>
    </xf>
    <xf numFmtId="0" fontId="11" fillId="3" borderId="3" xfId="0" applyFont="1" applyFill="1" applyBorder="1" applyAlignment="1">
      <alignment horizontal="center" vertical="center" wrapText="1"/>
    </xf>
    <xf numFmtId="0" fontId="0" fillId="0" borderId="3" xfId="0" applyFont="1" applyBorder="1" applyAlignment="1">
      <alignment vertical="top" wrapText="1"/>
    </xf>
    <xf numFmtId="0" fontId="0" fillId="0" borderId="3" xfId="0" applyFont="1" applyBorder="1" applyAlignment="1">
      <alignment horizontal="center" vertical="center"/>
    </xf>
    <xf numFmtId="0" fontId="15" fillId="14" borderId="3" xfId="0" applyFont="1" applyFill="1" applyBorder="1" applyAlignment="1">
      <alignment horizontal="center" vertical="center" wrapText="1"/>
    </xf>
    <xf numFmtId="0" fontId="14" fillId="15" borderId="18" xfId="0" applyFont="1" applyFill="1" applyBorder="1" applyAlignment="1">
      <alignment horizontal="center" vertical="center" wrapText="1"/>
    </xf>
    <xf numFmtId="0" fontId="14" fillId="15" borderId="19" xfId="0" applyFont="1" applyFill="1" applyBorder="1" applyAlignment="1">
      <alignment horizontal="center" vertical="center" wrapText="1"/>
    </xf>
    <xf numFmtId="0" fontId="14" fillId="15" borderId="20" xfId="0" applyFont="1" applyFill="1" applyBorder="1" applyAlignment="1">
      <alignment horizontal="center" vertical="center" wrapText="1"/>
    </xf>
    <xf numFmtId="0" fontId="14" fillId="16" borderId="3" xfId="0" applyFont="1" applyFill="1" applyBorder="1" applyAlignment="1">
      <alignment wrapText="1"/>
    </xf>
    <xf numFmtId="3" fontId="14" fillId="16" borderId="19" xfId="0" applyNumberFormat="1" applyFont="1" applyFill="1" applyBorder="1"/>
    <xf numFmtId="0" fontId="7" fillId="0" borderId="0" xfId="0" applyFont="1" applyFill="1" applyBorder="1" applyAlignment="1">
      <alignment horizontal="center"/>
    </xf>
    <xf numFmtId="0" fontId="14" fillId="16" borderId="21" xfId="0" applyFont="1" applyFill="1" applyBorder="1" applyAlignment="1">
      <alignment wrapText="1"/>
    </xf>
    <xf numFmtId="3" fontId="14" fillId="16" borderId="0" xfId="0" applyNumberFormat="1" applyFont="1" applyFill="1"/>
    <xf numFmtId="0" fontId="0" fillId="16" borderId="21" xfId="0" applyFill="1" applyBorder="1" applyAlignment="1">
      <alignment horizontal="left" wrapText="1" indent="1"/>
    </xf>
    <xf numFmtId="3" fontId="0" fillId="16" borderId="0" xfId="0" applyNumberFormat="1" applyFill="1"/>
    <xf numFmtId="170" fontId="9" fillId="0" borderId="13" xfId="1" applyNumberFormat="1" applyFont="1" applyFill="1" applyBorder="1" applyAlignment="1" applyProtection="1">
      <alignment horizontal="right"/>
    </xf>
    <xf numFmtId="0" fontId="0" fillId="16" borderId="21" xfId="0" applyFill="1" applyBorder="1" applyAlignment="1">
      <alignment horizontal="left" wrapText="1" indent="5"/>
    </xf>
    <xf numFmtId="170" fontId="9" fillId="0" borderId="0" xfId="1" applyNumberFormat="1" applyFont="1" applyFill="1" applyBorder="1" applyAlignment="1" applyProtection="1">
      <alignment horizontal="right"/>
    </xf>
    <xf numFmtId="0" fontId="14" fillId="16" borderId="22" xfId="0" applyFont="1" applyFill="1" applyBorder="1" applyAlignment="1">
      <alignment wrapText="1"/>
    </xf>
    <xf numFmtId="0" fontId="14" fillId="16" borderId="23" xfId="0" applyFont="1" applyFill="1" applyBorder="1" applyAlignment="1">
      <alignment wrapText="1"/>
    </xf>
    <xf numFmtId="3" fontId="14" fillId="16" borderId="9" xfId="0" applyNumberFormat="1" applyFont="1" applyFill="1" applyBorder="1"/>
    <xf numFmtId="0" fontId="0" fillId="16" borderId="22" xfId="0" applyFill="1" applyBorder="1" applyAlignment="1">
      <alignment horizontal="left" wrapText="1" indent="5"/>
    </xf>
    <xf numFmtId="3" fontId="0" fillId="16" borderId="15" xfId="0" applyNumberFormat="1" applyFill="1" applyBorder="1"/>
    <xf numFmtId="168" fontId="8" fillId="0" borderId="0" xfId="1" applyNumberFormat="1" applyFont="1" applyFill="1" applyBorder="1" applyAlignment="1" applyProtection="1"/>
    <xf numFmtId="0" fontId="14" fillId="16" borderId="24" xfId="0" applyFont="1" applyFill="1" applyBorder="1" applyAlignment="1">
      <alignment horizontal="left" wrapText="1"/>
    </xf>
    <xf numFmtId="3" fontId="14" fillId="16" borderId="25" xfId="0" applyNumberFormat="1" applyFont="1" applyFill="1" applyBorder="1"/>
    <xf numFmtId="0" fontId="14" fillId="16" borderId="21" xfId="0" applyFont="1" applyFill="1" applyBorder="1" applyAlignment="1">
      <alignment horizontal="left" wrapText="1"/>
    </xf>
    <xf numFmtId="0" fontId="0" fillId="16" borderId="21" xfId="0" applyFill="1" applyBorder="1" applyAlignment="1">
      <alignment horizontal="left" vertical="center" indent="1"/>
    </xf>
    <xf numFmtId="0" fontId="0" fillId="16" borderId="21" xfId="0" applyFill="1" applyBorder="1" applyAlignment="1">
      <alignment horizontal="left" vertical="center" wrapText="1" indent="5"/>
    </xf>
    <xf numFmtId="0" fontId="14" fillId="16" borderId="26" xfId="0" applyFont="1" applyFill="1" applyBorder="1" applyAlignment="1">
      <alignment horizontal="left" vertical="center" wrapText="1"/>
    </xf>
    <xf numFmtId="3" fontId="14" fillId="16" borderId="27" xfId="0" applyNumberFormat="1" applyFont="1" applyFill="1" applyBorder="1"/>
    <xf numFmtId="168" fontId="13" fillId="0" borderId="0" xfId="2" applyNumberFormat="1"/>
    <xf numFmtId="0" fontId="0" fillId="16" borderId="21" xfId="0" applyFill="1" applyBorder="1" applyAlignment="1">
      <alignment horizontal="left" vertical="center" wrapText="1" indent="1"/>
    </xf>
    <xf numFmtId="0" fontId="0" fillId="16" borderId="21" xfId="0" applyFill="1" applyBorder="1" applyAlignment="1">
      <alignment horizontal="left" vertical="center" indent="5"/>
    </xf>
    <xf numFmtId="0" fontId="0" fillId="16" borderId="28" xfId="0" applyFill="1" applyBorder="1" applyAlignment="1">
      <alignment horizontal="left" vertical="center" indent="5"/>
    </xf>
    <xf numFmtId="3" fontId="0" fillId="16" borderId="29" xfId="0" applyNumberFormat="1" applyFill="1" applyBorder="1"/>
    <xf numFmtId="1" fontId="0" fillId="17" borderId="0" xfId="0" applyNumberFormat="1" applyFill="1"/>
    <xf numFmtId="0" fontId="0" fillId="16" borderId="22" xfId="0" applyFill="1" applyBorder="1" applyAlignment="1">
      <alignment horizontal="left" vertical="center" wrapText="1" indent="5"/>
    </xf>
    <xf numFmtId="164" fontId="0" fillId="17" borderId="0" xfId="0" applyNumberFormat="1" applyFill="1"/>
    <xf numFmtId="3" fontId="14" fillId="16" borderId="15" xfId="0" applyNumberFormat="1" applyFont="1" applyFill="1" applyBorder="1"/>
    <xf numFmtId="169" fontId="14" fillId="16" borderId="19" xfId="2" applyNumberFormat="1" applyFont="1" applyFill="1" applyBorder="1"/>
    <xf numFmtId="169" fontId="14" fillId="16" borderId="0" xfId="2" applyNumberFormat="1" applyFont="1" applyFill="1" applyBorder="1"/>
    <xf numFmtId="169" fontId="0" fillId="16" borderId="0" xfId="2" applyNumberFormat="1" applyFont="1" applyFill="1" applyBorder="1"/>
    <xf numFmtId="168" fontId="0" fillId="17" borderId="0" xfId="0" applyNumberFormat="1" applyFill="1"/>
    <xf numFmtId="168" fontId="13" fillId="17" borderId="0" xfId="2" applyNumberFormat="1" applyFill="1"/>
    <xf numFmtId="169" fontId="14" fillId="16" borderId="9" xfId="2" applyNumberFormat="1" applyFont="1" applyFill="1" applyBorder="1"/>
    <xf numFmtId="0" fontId="0" fillId="17" borderId="3" xfId="0" applyFill="1" applyBorder="1" applyAlignment="1">
      <alignment horizontal="center"/>
    </xf>
    <xf numFmtId="0" fontId="0" fillId="0" borderId="3" xfId="0" applyBorder="1" applyAlignment="1">
      <alignment horizontal="center"/>
    </xf>
    <xf numFmtId="0" fontId="14" fillId="16" borderId="0" xfId="0" applyFont="1" applyFill="1" applyBorder="1" applyAlignment="1">
      <alignment wrapText="1"/>
    </xf>
    <xf numFmtId="0" fontId="7" fillId="17" borderId="9" xfId="0" applyFont="1" applyFill="1" applyBorder="1" applyAlignment="1">
      <alignment horizontal="center"/>
    </xf>
    <xf numFmtId="0" fontId="0" fillId="17" borderId="0" xfId="0" applyFill="1"/>
    <xf numFmtId="170" fontId="0" fillId="17" borderId="0" xfId="0" applyNumberFormat="1" applyFill="1"/>
    <xf numFmtId="0" fontId="0" fillId="0" borderId="0" xfId="0" applyAlignment="1">
      <alignment horizontal="right"/>
    </xf>
    <xf numFmtId="174" fontId="13" fillId="0" borderId="0" xfId="2" applyNumberFormat="1"/>
    <xf numFmtId="10" fontId="16" fillId="0" borderId="0" xfId="0" applyNumberFormat="1" applyFont="1"/>
    <xf numFmtId="10" fontId="0" fillId="0" borderId="0" xfId="0" applyNumberFormat="1"/>
    <xf numFmtId="0" fontId="17" fillId="0" borderId="0" xfId="0" applyFont="1"/>
    <xf numFmtId="0" fontId="17" fillId="0" borderId="0" xfId="0" applyFont="1" applyBorder="1" applyAlignment="1">
      <alignment horizontal="center" vertical="center"/>
    </xf>
    <xf numFmtId="0" fontId="17" fillId="0" borderId="15" xfId="0" applyFont="1" applyBorder="1" applyAlignment="1">
      <alignment horizontal="center" vertical="center"/>
    </xf>
    <xf numFmtId="167" fontId="13" fillId="0" borderId="0" xfId="2"/>
    <xf numFmtId="167" fontId="13" fillId="0" borderId="0" xfId="2" applyBorder="1" applyProtection="1"/>
  </cellXfs>
  <cellStyles count="5">
    <cellStyle name="Lien hypertexte" xfId="3" builtinId="8"/>
    <cellStyle name="Milliers" xfId="1" builtinId="3"/>
    <cellStyle name="Normal" xfId="0" builtinId="0"/>
    <cellStyle name="Normal 2" xfId="4"/>
    <cellStyle name="Pourcentage" xfId="2" builtinId="5"/>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7E0021"/>
      <rgbColor rgb="FF008000"/>
      <rgbColor rgb="FF000080"/>
      <rgbColor rgb="FFF1EEEC"/>
      <rgbColor rgb="FF800080"/>
      <rgbColor rgb="FF2E75B6"/>
      <rgbColor rgb="FFBFBFBF"/>
      <rgbColor rgb="FF70AD47"/>
      <rgbColor rgb="FF5B9BD5"/>
      <rgbColor rgb="FF9C5BCD"/>
      <rgbColor rgb="FFFFF7D3"/>
      <rgbColor rgb="FFDEEBF7"/>
      <rgbColor rgb="FF660066"/>
      <rgbColor rgb="FFFF420E"/>
      <rgbColor rgb="FF0563C1"/>
      <rgbColor rgb="FFBDD7EE"/>
      <rgbColor rgb="FF000080"/>
      <rgbColor rgb="FFFF00FF"/>
      <rgbColor rgb="FFFFD320"/>
      <rgbColor rgb="FF00FFFF"/>
      <rgbColor rgb="FF800080"/>
      <rgbColor rgb="FF800000"/>
      <rgbColor rgb="FF255E91"/>
      <rgbColor rgb="FF0000FF"/>
      <rgbColor rgb="FF00CCFF"/>
      <rgbColor rgb="FFDAE3F3"/>
      <rgbColor rgb="FFC5E0B4"/>
      <rgbColor rgb="FFFFF2CC"/>
      <rgbColor rgb="FF83CAFF"/>
      <rgbColor rgb="FFD9D9D9"/>
      <rgbColor rgb="FFB3B3B3"/>
      <rgbColor rgb="FFFFD966"/>
      <rgbColor rgb="FF4472C4"/>
      <rgbColor rgb="FFB4C7E7"/>
      <rgbColor rgb="FF81D41A"/>
      <rgbColor rgb="FFFFC000"/>
      <rgbColor rgb="FFFFBF00"/>
      <rgbColor rgb="FFED7D31"/>
      <rgbColor rgb="FF595959"/>
      <rgbColor rgb="FFA5A5A5"/>
      <rgbColor rgb="FF004586"/>
      <rgbColor rgb="FF579D1C"/>
      <rgbColor rgb="FF003300"/>
      <rgbColor rgb="FF314004"/>
      <rgbColor rgb="FFCE18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0" strike="noStrike" spc="-1">
                <a:solidFill>
                  <a:srgbClr val="595959"/>
                </a:solidFill>
                <a:latin typeface="Calibri"/>
              </a:defRPr>
            </a:pPr>
            <a:r>
              <a:rPr lang="fr-FR" sz="1400" b="0" strike="noStrike" spc="-1">
                <a:solidFill>
                  <a:srgbClr val="595959"/>
                </a:solidFill>
                <a:latin typeface="Calibri"/>
              </a:rPr>
              <a:t>Projections de population (FR entière)</a:t>
            </a:r>
          </a:p>
        </c:rich>
      </c:tx>
      <c:layout>
        <c:manualLayout>
          <c:xMode val="edge"/>
          <c:yMode val="edge"/>
          <c:x val="0.20692883895131101"/>
          <c:y val="3.2239198771839998E-2"/>
        </c:manualLayout>
      </c:layout>
      <c:overlay val="0"/>
      <c:spPr>
        <a:noFill/>
        <a:ln>
          <a:noFill/>
        </a:ln>
      </c:spPr>
    </c:title>
    <c:autoTitleDeleted val="0"/>
    <c:plotArea>
      <c:layout/>
      <c:scatterChart>
        <c:scatterStyle val="lineMarker"/>
        <c:varyColors val="0"/>
        <c:ser>
          <c:idx val="0"/>
          <c:order val="0"/>
          <c:tx>
            <c:strRef>
              <c:f>'1. Population'!$A$17</c:f>
              <c:strCache>
                <c:ptCount val="1"/>
                <c:pt idx="0">
                  <c:v>AMS18</c:v>
                </c:pt>
              </c:strCache>
            </c:strRef>
          </c:tx>
          <c:spPr>
            <a:ln w="19080">
              <a:solidFill>
                <a:srgbClr val="5B9BD5"/>
              </a:solidFill>
              <a:round/>
            </a:ln>
          </c:spPr>
          <c:marker>
            <c:symbol val="circle"/>
            <c:size val="5"/>
            <c:spPr>
              <a:solidFill>
                <a:srgbClr val="5B9BD5"/>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'1. Population'!$B$16:$AH$16</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'1. Population'!$B$17:$AH$17</c:f>
              <c:numCache>
                <c:formatCode>General</c:formatCode>
                <c:ptCount val="33"/>
                <c:pt idx="2">
                  <c:v>67.819999999999993</c:v>
                </c:pt>
                <c:pt idx="7">
                  <c:v>69.093000000000004</c:v>
                </c:pt>
                <c:pt idx="12">
                  <c:v>70.281000000000006</c:v>
                </c:pt>
                <c:pt idx="17">
                  <c:v>71.417000000000002</c:v>
                </c:pt>
                <c:pt idx="22">
                  <c:v>72.448999999999998</c:v>
                </c:pt>
                <c:pt idx="27">
                  <c:v>73.311999999999998</c:v>
                </c:pt>
                <c:pt idx="32">
                  <c:v>74.025000000000006</c:v>
                </c:pt>
              </c:numCache>
            </c:numRef>
          </c:yVal>
          <c:smooth val="1"/>
          <c:extLst>
            <c:ext xmlns:c16="http://schemas.microsoft.com/office/drawing/2014/chart" uri="{C3380CC4-5D6E-409C-BE32-E72D297353CC}">
              <c16:uniqueId val="{00000000-29AE-4F5D-806F-970386568C5F}"/>
            </c:ext>
          </c:extLst>
        </c:ser>
        <c:ser>
          <c:idx val="1"/>
          <c:order val="1"/>
          <c:tx>
            <c:strRef>
              <c:f>'1. Population'!$A$18</c:f>
              <c:strCache>
                <c:ptCount val="1"/>
                <c:pt idx="0">
                  <c:v>cadrage Cion</c:v>
                </c:pt>
              </c:strCache>
            </c:strRef>
          </c:tx>
          <c:spPr>
            <a:ln w="19080">
              <a:solidFill>
                <a:srgbClr val="ED7D31"/>
              </a:solidFill>
              <a:round/>
            </a:ln>
          </c:spPr>
          <c:marker>
            <c:symbol val="circle"/>
            <c:size val="5"/>
            <c:spPr>
              <a:solidFill>
                <a:srgbClr val="ED7D31"/>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'1. Population'!$B$16:$AH$16</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'1. Population'!$B$18:$AH$18</c:f>
              <c:numCache>
                <c:formatCode>0.0</c:formatCode>
                <c:ptCount val="33"/>
                <c:pt idx="1">
                  <c:v>67.012883000000002</c:v>
                </c:pt>
                <c:pt idx="2" formatCode="0.00">
                  <c:v>67.204763</c:v>
                </c:pt>
                <c:pt idx="3" formatCode="0.00">
                  <c:v>67.388433000000006</c:v>
                </c:pt>
                <c:pt idx="4" formatCode="0.00">
                  <c:v>67.575000000000003</c:v>
                </c:pt>
                <c:pt idx="5" formatCode="0.00">
                  <c:v>67.765465000000006</c:v>
                </c:pt>
                <c:pt idx="6" formatCode="0.00">
                  <c:v>67.955439999999996</c:v>
                </c:pt>
                <c:pt idx="7" formatCode="0.00">
                  <c:v>68.145742999999996</c:v>
                </c:pt>
                <c:pt idx="8" formatCode="0.00">
                  <c:v>68.335445000000007</c:v>
                </c:pt>
                <c:pt idx="9" formatCode="0.00">
                  <c:v>68.526661000000004</c:v>
                </c:pt>
                <c:pt idx="10" formatCode="0.00">
                  <c:v>68.718934000000004</c:v>
                </c:pt>
                <c:pt idx="11" formatCode="0.00">
                  <c:v>68.916612999999998</c:v>
                </c:pt>
                <c:pt idx="12" formatCode="0.00">
                  <c:v>69.116879999999995</c:v>
                </c:pt>
                <c:pt idx="13" formatCode="0.00">
                  <c:v>69.319056000000003</c:v>
                </c:pt>
                <c:pt idx="14" formatCode="0.00">
                  <c:v>69.521761999999995</c:v>
                </c:pt>
                <c:pt idx="15" formatCode="0.00">
                  <c:v>69.722271000000006</c:v>
                </c:pt>
                <c:pt idx="16" formatCode="0.00">
                  <c:v>69.91583</c:v>
                </c:pt>
                <c:pt idx="17" formatCode="0.00">
                  <c:v>70.104962</c:v>
                </c:pt>
                <c:pt idx="18" formatCode="0.00">
                  <c:v>70.288808000000003</c:v>
                </c:pt>
                <c:pt idx="19" formatCode="0.00">
                  <c:v>70.465976999999995</c:v>
                </c:pt>
                <c:pt idx="20" formatCode="0.00">
                  <c:v>70.633769999999998</c:v>
                </c:pt>
                <c:pt idx="21" formatCode="0.00">
                  <c:v>70.788492000000005</c:v>
                </c:pt>
                <c:pt idx="22" formatCode="0.00">
                  <c:v>70.926210999999995</c:v>
                </c:pt>
              </c:numCache>
            </c:numRef>
          </c:yVal>
          <c:smooth val="1"/>
          <c:extLst>
            <c:ext xmlns:c16="http://schemas.microsoft.com/office/drawing/2014/chart" uri="{C3380CC4-5D6E-409C-BE32-E72D297353CC}">
              <c16:uniqueId val="{00000001-29AE-4F5D-806F-970386568C5F}"/>
            </c:ext>
          </c:extLst>
        </c:ser>
        <c:ser>
          <c:idx val="2"/>
          <c:order val="2"/>
          <c:tx>
            <c:strRef>
              <c:f>'1. Population'!$A$19</c:f>
              <c:strCache>
                <c:ptCount val="1"/>
                <c:pt idx="0">
                  <c:v>insee fécondité basse</c:v>
                </c:pt>
              </c:strCache>
            </c:strRef>
          </c:tx>
          <c:spPr>
            <a:ln w="19080">
              <a:solidFill>
                <a:srgbClr val="A5A5A5"/>
              </a:solidFill>
              <a:round/>
            </a:ln>
          </c:spPr>
          <c:marker>
            <c:symbol val="circle"/>
            <c:size val="5"/>
            <c:spPr>
              <a:solidFill>
                <a:srgbClr val="A5A5A5"/>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'1. Population'!$B$16:$AH$16</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'1. Population'!$B$19:$AH$19</c:f>
              <c:numCache>
                <c:formatCode>#\ ##0.000</c:formatCode>
                <c:ptCount val="33"/>
                <c:pt idx="0">
                  <c:v>67.240666000000004</c:v>
                </c:pt>
                <c:pt idx="1">
                  <c:v>67.483286000000007</c:v>
                </c:pt>
                <c:pt idx="2">
                  <c:v>67.707069000000004</c:v>
                </c:pt>
                <c:pt idx="3">
                  <c:v>67.911946</c:v>
                </c:pt>
                <c:pt idx="4">
                  <c:v>68.111450000000005</c:v>
                </c:pt>
                <c:pt idx="5">
                  <c:v>68.305942000000002</c:v>
                </c:pt>
                <c:pt idx="6">
                  <c:v>68.495774999999995</c:v>
                </c:pt>
                <c:pt idx="7">
                  <c:v>68.681546999999995</c:v>
                </c:pt>
                <c:pt idx="8">
                  <c:v>68.863999000000007</c:v>
                </c:pt>
                <c:pt idx="9">
                  <c:v>69.043799000000007</c:v>
                </c:pt>
                <c:pt idx="10">
                  <c:v>69.221366000000003</c:v>
                </c:pt>
                <c:pt idx="11">
                  <c:v>69.396844000000002</c:v>
                </c:pt>
                <c:pt idx="12">
                  <c:v>69.570370999999994</c:v>
                </c:pt>
                <c:pt idx="13">
                  <c:v>69.742040000000003</c:v>
                </c:pt>
                <c:pt idx="14">
                  <c:v>69.911619999999999</c:v>
                </c:pt>
                <c:pt idx="15">
                  <c:v>70.078540000000004</c:v>
                </c:pt>
                <c:pt idx="16">
                  <c:v>70.242058</c:v>
                </c:pt>
                <c:pt idx="17">
                  <c:v>70.401514000000006</c:v>
                </c:pt>
                <c:pt idx="18">
                  <c:v>70.556419000000005</c:v>
                </c:pt>
                <c:pt idx="19">
                  <c:v>70.706194999999994</c:v>
                </c:pt>
                <c:pt idx="20">
                  <c:v>70.850144</c:v>
                </c:pt>
                <c:pt idx="21">
                  <c:v>70.987558000000007</c:v>
                </c:pt>
                <c:pt idx="22">
                  <c:v>71.117945000000006</c:v>
                </c:pt>
                <c:pt idx="23">
                  <c:v>71.240915999999999</c:v>
                </c:pt>
                <c:pt idx="24">
                  <c:v>71.355704000000003</c:v>
                </c:pt>
                <c:pt idx="25">
                  <c:v>71.461843000000002</c:v>
                </c:pt>
                <c:pt idx="26">
                  <c:v>71.559078</c:v>
                </c:pt>
                <c:pt idx="27">
                  <c:v>71.647525000000002</c:v>
                </c:pt>
                <c:pt idx="28">
                  <c:v>71.727486999999996</c:v>
                </c:pt>
                <c:pt idx="29">
                  <c:v>71.799098000000001</c:v>
                </c:pt>
                <c:pt idx="30">
                  <c:v>71.862482999999997</c:v>
                </c:pt>
                <c:pt idx="31">
                  <c:v>71.917776000000003</c:v>
                </c:pt>
                <c:pt idx="32">
                  <c:v>71.965277999999998</c:v>
                </c:pt>
              </c:numCache>
            </c:numRef>
          </c:yVal>
          <c:smooth val="1"/>
          <c:extLst>
            <c:ext xmlns:c16="http://schemas.microsoft.com/office/drawing/2014/chart" uri="{C3380CC4-5D6E-409C-BE32-E72D297353CC}">
              <c16:uniqueId val="{00000002-29AE-4F5D-806F-970386568C5F}"/>
            </c:ext>
          </c:extLst>
        </c:ser>
        <c:ser>
          <c:idx val="3"/>
          <c:order val="3"/>
          <c:tx>
            <c:strRef>
              <c:f>'1. Population'!$A$20</c:f>
              <c:strCache>
                <c:ptCount val="1"/>
                <c:pt idx="0">
                  <c:v>Observé</c:v>
                </c:pt>
              </c:strCache>
            </c:strRef>
          </c:tx>
          <c:spPr>
            <a:ln w="19080">
              <a:solidFill>
                <a:srgbClr val="FFC000"/>
              </a:solidFill>
              <a:round/>
            </a:ln>
          </c:spPr>
          <c:marker>
            <c:symbol val="circle"/>
            <c:size val="5"/>
            <c:spPr>
              <a:solidFill>
                <a:srgbClr val="FFC000"/>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'1. Population'!$B$16:$AH$16</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'1. Population'!$B$20:$AH$20</c:f>
              <c:numCache>
                <c:formatCode>#\ ##0.000</c:formatCode>
                <c:ptCount val="33"/>
                <c:pt idx="0">
                  <c:v>66.992000000000004</c:v>
                </c:pt>
                <c:pt idx="1">
                  <c:v>67.257981999999998</c:v>
                </c:pt>
                <c:pt idx="2" formatCode="General">
                  <c:v>67.441850000000002</c:v>
                </c:pt>
                <c:pt idx="3">
                  <c:v>67.635124000000005</c:v>
                </c:pt>
                <c:pt idx="4">
                  <c:v>67.842590999999999</c:v>
                </c:pt>
                <c:pt idx="5">
                  <c:v>68.042591000000002</c:v>
                </c:pt>
              </c:numCache>
            </c:numRef>
          </c:yVal>
          <c:smooth val="1"/>
          <c:extLst>
            <c:ext xmlns:c16="http://schemas.microsoft.com/office/drawing/2014/chart" uri="{C3380CC4-5D6E-409C-BE32-E72D297353CC}">
              <c16:uniqueId val="{00000003-29AE-4F5D-806F-970386568C5F}"/>
            </c:ext>
          </c:extLst>
        </c:ser>
        <c:ser>
          <c:idx val="4"/>
          <c:order val="4"/>
          <c:tx>
            <c:strRef>
              <c:f>'1. Population'!$A$21</c:f>
              <c:strCache>
                <c:ptCount val="1"/>
                <c:pt idx="0">
                  <c:v>insee fécondité et espérance de vie basse, migration centrale</c:v>
                </c:pt>
              </c:strCache>
            </c:strRef>
          </c:tx>
          <c:spPr>
            <a:ln w="19080">
              <a:solidFill>
                <a:srgbClr val="4472C4"/>
              </a:solidFill>
              <a:round/>
            </a:ln>
          </c:spPr>
          <c:marker>
            <c:symbol val="circle"/>
            <c:size val="5"/>
            <c:spPr>
              <a:solidFill>
                <a:srgbClr val="4472C4"/>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'1. Population'!$B$16:$AH$16</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'1. Population'!$B$21:$AH$21</c:f>
              <c:numCache>
                <c:formatCode>General</c:formatCode>
                <c:ptCount val="33"/>
                <c:pt idx="0">
                  <c:v>67.206745999999995</c:v>
                </c:pt>
                <c:pt idx="1">
                  <c:v>67.428681999999995</c:v>
                </c:pt>
                <c:pt idx="2">
                  <c:v>67.629662999999994</c:v>
                </c:pt>
                <c:pt idx="3">
                  <c:v>67.809889999999996</c:v>
                </c:pt>
                <c:pt idx="4">
                  <c:v>67.983099999999993</c:v>
                </c:pt>
                <c:pt idx="5">
                  <c:v>68.149870000000007</c:v>
                </c:pt>
                <c:pt idx="6">
                  <c:v>68.310732999999999</c:v>
                </c:pt>
                <c:pt idx="7">
                  <c:v>68.466417000000007</c:v>
                </c:pt>
                <c:pt idx="8">
                  <c:v>68.617774999999995</c:v>
                </c:pt>
                <c:pt idx="9">
                  <c:v>68.765558999999996</c:v>
                </c:pt>
                <c:pt idx="10">
                  <c:v>68.910235999999998</c:v>
                </c:pt>
                <c:pt idx="11">
                  <c:v>69.051948999999993</c:v>
                </c:pt>
                <c:pt idx="12">
                  <c:v>69.190828999999994</c:v>
                </c:pt>
                <c:pt idx="13">
                  <c:v>69.326939999999993</c:v>
                </c:pt>
                <c:pt idx="14">
                  <c:v>69.460024000000004</c:v>
                </c:pt>
                <c:pt idx="15">
                  <c:v>69.589449000000002</c:v>
                </c:pt>
                <c:pt idx="16">
                  <c:v>69.714400999999995</c:v>
                </c:pt>
                <c:pt idx="17">
                  <c:v>69.834173000000007</c:v>
                </c:pt>
                <c:pt idx="18">
                  <c:v>69.948241999999993</c:v>
                </c:pt>
                <c:pt idx="19">
                  <c:v>70.056044</c:v>
                </c:pt>
                <c:pt idx="20">
                  <c:v>70.156874999999999</c:v>
                </c:pt>
                <c:pt idx="21">
                  <c:v>70.250091999999995</c:v>
                </c:pt>
                <c:pt idx="22">
                  <c:v>70.335294000000005</c:v>
                </c:pt>
                <c:pt idx="23">
                  <c:v>70.412218999999993</c:v>
                </c:pt>
                <c:pt idx="24">
                  <c:v>70.480187000000001</c:v>
                </c:pt>
                <c:pt idx="25">
                  <c:v>70.538775999999999</c:v>
                </c:pt>
                <c:pt idx="26">
                  <c:v>70.587789000000001</c:v>
                </c:pt>
                <c:pt idx="27">
                  <c:v>70.627307000000002</c:v>
                </c:pt>
                <c:pt idx="28">
                  <c:v>70.657548000000006</c:v>
                </c:pt>
                <c:pt idx="29">
                  <c:v>70.678640000000001</c:v>
                </c:pt>
                <c:pt idx="30">
                  <c:v>70.690723000000006</c:v>
                </c:pt>
                <c:pt idx="31">
                  <c:v>70.693977000000004</c:v>
                </c:pt>
                <c:pt idx="32">
                  <c:v>70.688738000000001</c:v>
                </c:pt>
              </c:numCache>
            </c:numRef>
          </c:yVal>
          <c:smooth val="1"/>
          <c:extLst>
            <c:ext xmlns:c16="http://schemas.microsoft.com/office/drawing/2014/chart" uri="{C3380CC4-5D6E-409C-BE32-E72D297353CC}">
              <c16:uniqueId val="{00000004-29AE-4F5D-806F-970386568C5F}"/>
            </c:ext>
          </c:extLst>
        </c:ser>
        <c:ser>
          <c:idx val="5"/>
          <c:order val="5"/>
          <c:tx>
            <c:strRef>
              <c:f>'1. Population'!$A$23</c:f>
              <c:strCache>
                <c:ptCount val="1"/>
                <c:pt idx="0">
                  <c:v>INSEE 2021 – scénario central</c:v>
                </c:pt>
              </c:strCache>
            </c:strRef>
          </c:tx>
          <c:spPr>
            <a:ln w="28800">
              <a:solidFill>
                <a:srgbClr val="83CAFF"/>
              </a:solidFill>
              <a:round/>
            </a:ln>
          </c:spPr>
          <c:marker>
            <c:symbol val="triangle"/>
            <c:size val="8"/>
            <c:spPr>
              <a:solidFill>
                <a:srgbClr val="83CAFF"/>
              </a:solidFill>
            </c:spPr>
          </c:marker>
          <c:dLbls>
            <c:spPr>
              <a:noFill/>
              <a:ln>
                <a:noFill/>
              </a:ln>
              <a:effectLst/>
            </c:spPr>
            <c:txPr>
              <a:bodyPr/>
              <a:lstStyle/>
              <a:p>
                <a:pPr>
                  <a:defRPr sz="1000" b="0" strike="noStrike" spc="-1">
                    <a:solidFill>
                      <a:srgbClr val="000000"/>
                    </a:solidFill>
                    <a:latin typeface="Arial"/>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'1. Population'!$B$16:$AH$16</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'1. Population'!$B$23:$AH$23</c:f>
              <c:numCache>
                <c:formatCode>General</c:formatCode>
                <c:ptCount val="33"/>
                <c:pt idx="0">
                  <c:v>67</c:v>
                </c:pt>
                <c:pt idx="1">
                  <c:v>67.099999999999994</c:v>
                </c:pt>
                <c:pt idx="2">
                  <c:v>67.3</c:v>
                </c:pt>
                <c:pt idx="3">
                  <c:v>67.400000000000006</c:v>
                </c:pt>
                <c:pt idx="4">
                  <c:v>67.5</c:v>
                </c:pt>
                <c:pt idx="5">
                  <c:v>67.7</c:v>
                </c:pt>
                <c:pt idx="6">
                  <c:v>67.8</c:v>
                </c:pt>
                <c:pt idx="7">
                  <c:v>68</c:v>
                </c:pt>
                <c:pt idx="8">
                  <c:v>68.099999999999994</c:v>
                </c:pt>
                <c:pt idx="9">
                  <c:v>68.2</c:v>
                </c:pt>
                <c:pt idx="10">
                  <c:v>68.3</c:v>
                </c:pt>
                <c:pt idx="11">
                  <c:v>68.400000000000006</c:v>
                </c:pt>
                <c:pt idx="12">
                  <c:v>68.599999999999994</c:v>
                </c:pt>
                <c:pt idx="13">
                  <c:v>68.7</c:v>
                </c:pt>
                <c:pt idx="14">
                  <c:v>68.7</c:v>
                </c:pt>
                <c:pt idx="15">
                  <c:v>68.8</c:v>
                </c:pt>
                <c:pt idx="16">
                  <c:v>68.900000000000006</c:v>
                </c:pt>
                <c:pt idx="17">
                  <c:v>69</c:v>
                </c:pt>
                <c:pt idx="18">
                  <c:v>69</c:v>
                </c:pt>
                <c:pt idx="19">
                  <c:v>69.099999999999994</c:v>
                </c:pt>
                <c:pt idx="20">
                  <c:v>69.2</c:v>
                </c:pt>
                <c:pt idx="21">
                  <c:v>69.2</c:v>
                </c:pt>
                <c:pt idx="22">
                  <c:v>69.2</c:v>
                </c:pt>
                <c:pt idx="23">
                  <c:v>69.3</c:v>
                </c:pt>
                <c:pt idx="24">
                  <c:v>69.3</c:v>
                </c:pt>
                <c:pt idx="25">
                  <c:v>69.3</c:v>
                </c:pt>
                <c:pt idx="26">
                  <c:v>69.3</c:v>
                </c:pt>
                <c:pt idx="27">
                  <c:v>69.3</c:v>
                </c:pt>
                <c:pt idx="28">
                  <c:v>69.3</c:v>
                </c:pt>
                <c:pt idx="29">
                  <c:v>69.3</c:v>
                </c:pt>
                <c:pt idx="30">
                  <c:v>69.3</c:v>
                </c:pt>
                <c:pt idx="31">
                  <c:v>69.2</c:v>
                </c:pt>
                <c:pt idx="32">
                  <c:v>69.2</c:v>
                </c:pt>
              </c:numCache>
            </c:numRef>
          </c:yVal>
          <c:smooth val="1"/>
          <c:extLst>
            <c:ext xmlns:c16="http://schemas.microsoft.com/office/drawing/2014/chart" uri="{C3380CC4-5D6E-409C-BE32-E72D297353CC}">
              <c16:uniqueId val="{00000005-29AE-4F5D-806F-970386568C5F}"/>
            </c:ext>
          </c:extLst>
        </c:ser>
        <c:dLbls>
          <c:showLegendKey val="0"/>
          <c:showVal val="0"/>
          <c:showCatName val="0"/>
          <c:showSerName val="0"/>
          <c:showPercent val="0"/>
          <c:showBubbleSize val="0"/>
        </c:dLbls>
        <c:axId val="8659587"/>
        <c:axId val="4511678"/>
      </c:scatterChart>
      <c:valAx>
        <c:axId val="8659587"/>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fr-FR"/>
          </a:p>
        </c:txPr>
        <c:crossAx val="4511678"/>
        <c:crosses val="autoZero"/>
        <c:crossBetween val="midCat"/>
      </c:valAx>
      <c:valAx>
        <c:axId val="4511678"/>
        <c:scaling>
          <c:orientation val="minMax"/>
        </c:scaling>
        <c:delete val="0"/>
        <c:axPos val="l"/>
        <c:majorGridlines>
          <c:spPr>
            <a:ln w="9360">
              <a:solidFill>
                <a:srgbClr val="D9D9D9"/>
              </a:solidFill>
              <a:round/>
            </a:ln>
          </c:spPr>
        </c:majorGridlines>
        <c:title>
          <c:tx>
            <c:rich>
              <a:bodyPr rot="-5400000"/>
              <a:lstStyle/>
              <a:p>
                <a:pPr>
                  <a:defRPr sz="1000" b="0" strike="noStrike" spc="-1">
                    <a:solidFill>
                      <a:srgbClr val="595959"/>
                    </a:solidFill>
                    <a:latin typeface="Calibri"/>
                  </a:defRPr>
                </a:pPr>
                <a:r>
                  <a:rPr lang="fr-FR" sz="1000" b="0" strike="noStrike" spc="-1">
                    <a:solidFill>
                      <a:srgbClr val="595959"/>
                    </a:solidFill>
                    <a:latin typeface="Calibri"/>
                  </a:rPr>
                  <a:t>millions habitants</a:t>
                </a:r>
              </a:p>
            </c:rich>
          </c:tx>
          <c:overlay val="0"/>
          <c:spPr>
            <a:noFill/>
            <a:ln>
              <a:noFill/>
            </a:ln>
          </c:spPr>
        </c:title>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fr-FR"/>
          </a:p>
        </c:txPr>
        <c:crossAx val="8659587"/>
        <c:crosses val="autoZero"/>
        <c:crossBetween val="midCat"/>
      </c:valAx>
      <c:spPr>
        <a:noFill/>
        <a:ln>
          <a:noFill/>
        </a:ln>
      </c:spPr>
    </c:plotArea>
    <c:legend>
      <c:legendPos val="r"/>
      <c:layout>
        <c:manualLayout>
          <c:xMode val="edge"/>
          <c:yMode val="edge"/>
          <c:x val="0.179618293122074"/>
          <c:y val="0.734795321637427"/>
          <c:w val="0.70844137136272001"/>
          <c:h val="0.18195774544922899"/>
        </c:manualLayout>
      </c:layout>
      <c:overlay val="1"/>
      <c:spPr>
        <a:noFill/>
        <a:ln>
          <a:noFill/>
        </a:ln>
      </c:spPr>
      <c:txPr>
        <a:bodyPr/>
        <a:lstStyle/>
        <a:p>
          <a:pPr>
            <a:defRPr sz="900" b="0" strike="noStrike" spc="-1">
              <a:solidFill>
                <a:srgbClr val="595959"/>
              </a:solidFill>
              <a:latin typeface="Calibri"/>
            </a:defRPr>
          </a:pPr>
          <a:endParaRPr lang="fr-FR"/>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0" strike="noStrike" spc="-1">
                <a:solidFill>
                  <a:srgbClr val="595959"/>
                </a:solidFill>
                <a:latin typeface="Calibri"/>
              </a:defRPr>
            </a:pPr>
            <a:r>
              <a:rPr lang="fr-FR" sz="1400" b="0" strike="noStrike" spc="-1">
                <a:solidFill>
                  <a:srgbClr val="595959"/>
                </a:solidFill>
                <a:latin typeface="Calibri"/>
              </a:rPr>
              <a:t>Projections de population (FR entière)</a:t>
            </a:r>
          </a:p>
        </c:rich>
      </c:tx>
      <c:layout>
        <c:manualLayout>
          <c:xMode val="edge"/>
          <c:yMode val="edge"/>
          <c:x val="0.20685794261721499"/>
          <c:y val="3.2516402933230402E-2"/>
        </c:manualLayout>
      </c:layout>
      <c:overlay val="0"/>
      <c:spPr>
        <a:noFill/>
        <a:ln>
          <a:noFill/>
        </a:ln>
      </c:spPr>
    </c:title>
    <c:autoTitleDeleted val="0"/>
    <c:plotArea>
      <c:layout>
        <c:manualLayout>
          <c:layoutTarget val="inner"/>
          <c:xMode val="edge"/>
          <c:yMode val="edge"/>
          <c:x val="0.106368089573128"/>
          <c:y val="0.11211887302199899"/>
          <c:w val="0.84513645906228096"/>
          <c:h val="0.72703589347742203"/>
        </c:manualLayout>
      </c:layout>
      <c:scatterChart>
        <c:scatterStyle val="lineMarker"/>
        <c:varyColors val="0"/>
        <c:ser>
          <c:idx val="0"/>
          <c:order val="0"/>
          <c:tx>
            <c:strRef>
              <c:f>'1. Population'!$A$17</c:f>
              <c:strCache>
                <c:ptCount val="1"/>
                <c:pt idx="0">
                  <c:v>AMS18</c:v>
                </c:pt>
              </c:strCache>
            </c:strRef>
          </c:tx>
          <c:spPr>
            <a:ln w="19080">
              <a:solidFill>
                <a:srgbClr val="5B9BD5"/>
              </a:solidFill>
              <a:round/>
            </a:ln>
          </c:spPr>
          <c:marker>
            <c:symbol val="circle"/>
            <c:size val="5"/>
            <c:spPr>
              <a:solidFill>
                <a:srgbClr val="5B9BD5"/>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'1. Population'!$B$16:$AH$16</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'1. Population'!$B$17:$AH$17</c:f>
              <c:numCache>
                <c:formatCode>General</c:formatCode>
                <c:ptCount val="33"/>
                <c:pt idx="2">
                  <c:v>67.819999999999993</c:v>
                </c:pt>
                <c:pt idx="7">
                  <c:v>69.093000000000004</c:v>
                </c:pt>
                <c:pt idx="12">
                  <c:v>70.281000000000006</c:v>
                </c:pt>
                <c:pt idx="17">
                  <c:v>71.417000000000002</c:v>
                </c:pt>
                <c:pt idx="22">
                  <c:v>72.448999999999998</c:v>
                </c:pt>
                <c:pt idx="27">
                  <c:v>73.311999999999998</c:v>
                </c:pt>
                <c:pt idx="32">
                  <c:v>74.025000000000006</c:v>
                </c:pt>
              </c:numCache>
            </c:numRef>
          </c:yVal>
          <c:smooth val="1"/>
          <c:extLst>
            <c:ext xmlns:c16="http://schemas.microsoft.com/office/drawing/2014/chart" uri="{C3380CC4-5D6E-409C-BE32-E72D297353CC}">
              <c16:uniqueId val="{00000000-ED9D-43A4-A8C5-69890C0BB1EF}"/>
            </c:ext>
          </c:extLst>
        </c:ser>
        <c:ser>
          <c:idx val="1"/>
          <c:order val="1"/>
          <c:tx>
            <c:strRef>
              <c:f>'1. Population'!$A$38</c:f>
              <c:strCache>
                <c:ptCount val="1"/>
                <c:pt idx="0">
                  <c:v>Commission cadrage mars 2022</c:v>
                </c:pt>
              </c:strCache>
            </c:strRef>
          </c:tx>
          <c:spPr>
            <a:ln w="28800">
              <a:solidFill>
                <a:srgbClr val="7E0021"/>
              </a:solidFill>
              <a:round/>
            </a:ln>
          </c:spPr>
          <c:marker>
            <c:symbol val="triangle"/>
            <c:size val="8"/>
            <c:spPr>
              <a:solidFill>
                <a:srgbClr val="7E0021"/>
              </a:solidFill>
            </c:spPr>
          </c:marker>
          <c:dLbls>
            <c:spPr>
              <a:noFill/>
              <a:ln>
                <a:noFill/>
              </a:ln>
              <a:effectLst/>
            </c:spPr>
            <c:txPr>
              <a:bodyPr/>
              <a:lstStyle/>
              <a:p>
                <a:pPr>
                  <a:defRPr sz="1000" b="0" strike="noStrike" spc="-1">
                    <a:latin typeface="Arial"/>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'1. Population'!$D$16:$AH$16</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'1. Population'!$D$38:$AH$38</c:f>
              <c:numCache>
                <c:formatCode>0.00</c:formatCode>
                <c:ptCount val="31"/>
                <c:pt idx="0">
                  <c:v>67.320216000000002</c:v>
                </c:pt>
                <c:pt idx="1">
                  <c:v>67.439599000000001</c:v>
                </c:pt>
                <c:pt idx="2">
                  <c:v>67.588901250000006</c:v>
                </c:pt>
                <c:pt idx="3">
                  <c:v>67.738203499999997</c:v>
                </c:pt>
                <c:pt idx="4">
                  <c:v>67.887505750000003</c:v>
                </c:pt>
                <c:pt idx="5">
                  <c:v>68.036807999999994</c:v>
                </c:pt>
                <c:pt idx="6">
                  <c:v>68.189108000000004</c:v>
                </c:pt>
                <c:pt idx="7">
                  <c:v>68.335925000000003</c:v>
                </c:pt>
                <c:pt idx="8">
                  <c:v>68.477953999999997</c:v>
                </c:pt>
                <c:pt idx="9">
                  <c:v>68.615684000000002</c:v>
                </c:pt>
                <c:pt idx="10">
                  <c:v>68.749399999999994</c:v>
                </c:pt>
                <c:pt idx="11">
                  <c:v>68.879193999999998</c:v>
                </c:pt>
                <c:pt idx="12">
                  <c:v>69.004981000000001</c:v>
                </c:pt>
                <c:pt idx="13">
                  <c:v>69.126434000000003</c:v>
                </c:pt>
                <c:pt idx="14">
                  <c:v>69.243088999999998</c:v>
                </c:pt>
                <c:pt idx="15">
                  <c:v>69.354320999999999</c:v>
                </c:pt>
                <c:pt idx="16">
                  <c:v>69.459440000000001</c:v>
                </c:pt>
                <c:pt idx="17">
                  <c:v>69.557590000000005</c:v>
                </c:pt>
                <c:pt idx="18">
                  <c:v>69.647993</c:v>
                </c:pt>
                <c:pt idx="19">
                  <c:v>69.729805999999996</c:v>
                </c:pt>
                <c:pt idx="20">
                  <c:v>69.802408999999997</c:v>
                </c:pt>
                <c:pt idx="21">
                  <c:v>69.865297999999996</c:v>
                </c:pt>
                <c:pt idx="22">
                  <c:v>69.918087</c:v>
                </c:pt>
                <c:pt idx="23">
                  <c:v>69.960555999999997</c:v>
                </c:pt>
                <c:pt idx="24">
                  <c:v>69.992966999999993</c:v>
                </c:pt>
                <c:pt idx="25">
                  <c:v>70.015780000000007</c:v>
                </c:pt>
                <c:pt idx="26">
                  <c:v>70.029606999999999</c:v>
                </c:pt>
                <c:pt idx="27">
                  <c:v>70.035050999999996</c:v>
                </c:pt>
                <c:pt idx="28">
                  <c:v>70.033175</c:v>
                </c:pt>
                <c:pt idx="29">
                  <c:v>70.024900000000002</c:v>
                </c:pt>
                <c:pt idx="30">
                  <c:v>70.010902999999999</c:v>
                </c:pt>
              </c:numCache>
            </c:numRef>
          </c:yVal>
          <c:smooth val="1"/>
          <c:extLst>
            <c:ext xmlns:c16="http://schemas.microsoft.com/office/drawing/2014/chart" uri="{C3380CC4-5D6E-409C-BE32-E72D297353CC}">
              <c16:uniqueId val="{00000001-ED9D-43A4-A8C5-69890C0BB1EF}"/>
            </c:ext>
          </c:extLst>
        </c:ser>
        <c:ser>
          <c:idx val="2"/>
          <c:order val="2"/>
          <c:tx>
            <c:strRef>
              <c:f>'1. Population'!$A$20</c:f>
              <c:strCache>
                <c:ptCount val="1"/>
                <c:pt idx="0">
                  <c:v>Observé</c:v>
                </c:pt>
              </c:strCache>
            </c:strRef>
          </c:tx>
          <c:spPr>
            <a:ln w="19080">
              <a:solidFill>
                <a:srgbClr val="FFC000"/>
              </a:solidFill>
              <a:round/>
            </a:ln>
          </c:spPr>
          <c:marker>
            <c:symbol val="circle"/>
            <c:size val="5"/>
            <c:spPr>
              <a:solidFill>
                <a:srgbClr val="FFC000"/>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'1. Population'!$B$16:$AH$16</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'1. Population'!$B$20:$AH$20</c:f>
              <c:numCache>
                <c:formatCode>#\ ##0.000</c:formatCode>
                <c:ptCount val="33"/>
                <c:pt idx="0">
                  <c:v>66.992000000000004</c:v>
                </c:pt>
                <c:pt idx="1">
                  <c:v>67.257981999999998</c:v>
                </c:pt>
                <c:pt idx="2" formatCode="General">
                  <c:v>67.441850000000002</c:v>
                </c:pt>
                <c:pt idx="3">
                  <c:v>67.635124000000005</c:v>
                </c:pt>
                <c:pt idx="4">
                  <c:v>67.842590999999999</c:v>
                </c:pt>
                <c:pt idx="5">
                  <c:v>68.042591000000002</c:v>
                </c:pt>
              </c:numCache>
            </c:numRef>
          </c:yVal>
          <c:smooth val="1"/>
          <c:extLst>
            <c:ext xmlns:c16="http://schemas.microsoft.com/office/drawing/2014/chart" uri="{C3380CC4-5D6E-409C-BE32-E72D297353CC}">
              <c16:uniqueId val="{00000002-ED9D-43A4-A8C5-69890C0BB1EF}"/>
            </c:ext>
          </c:extLst>
        </c:ser>
        <c:ser>
          <c:idx val="3"/>
          <c:order val="3"/>
          <c:tx>
            <c:strRef>
              <c:f>'1. Population'!$A$22</c:f>
              <c:strCache>
                <c:ptCount val="1"/>
                <c:pt idx="0">
                  <c:v>AME 2021</c:v>
                </c:pt>
              </c:strCache>
            </c:strRef>
          </c:tx>
          <c:spPr>
            <a:ln w="19080">
              <a:solidFill>
                <a:srgbClr val="ED7D31"/>
              </a:solidFill>
              <a:round/>
            </a:ln>
          </c:spPr>
          <c:marker>
            <c:symbol val="circle"/>
            <c:size val="5"/>
            <c:spPr>
              <a:solidFill>
                <a:srgbClr val="ED7D31"/>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'1. Population'!$B$16:$AH$16</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'1. Population'!$B$22:$AH$22</c:f>
              <c:numCache>
                <c:formatCode>0.0</c:formatCode>
                <c:ptCount val="33"/>
                <c:pt idx="0">
                  <c:v>66.98</c:v>
                </c:pt>
                <c:pt idx="1">
                  <c:v>67.012883000000002</c:v>
                </c:pt>
                <c:pt idx="2">
                  <c:v>67.204763</c:v>
                </c:pt>
                <c:pt idx="3">
                  <c:v>67.388433000000006</c:v>
                </c:pt>
                <c:pt idx="4">
                  <c:v>67.575000000000003</c:v>
                </c:pt>
                <c:pt idx="5">
                  <c:v>67.765465000000006</c:v>
                </c:pt>
                <c:pt idx="6">
                  <c:v>67.955439999999996</c:v>
                </c:pt>
                <c:pt idx="7">
                  <c:v>68.145742999999996</c:v>
                </c:pt>
                <c:pt idx="8">
                  <c:v>68.335445000000007</c:v>
                </c:pt>
                <c:pt idx="9">
                  <c:v>68.526661000000004</c:v>
                </c:pt>
                <c:pt idx="10">
                  <c:v>68.718934000000004</c:v>
                </c:pt>
                <c:pt idx="11">
                  <c:v>68.916612999999998</c:v>
                </c:pt>
                <c:pt idx="12">
                  <c:v>69.116879999999995</c:v>
                </c:pt>
                <c:pt idx="13">
                  <c:v>69.319056000000003</c:v>
                </c:pt>
                <c:pt idx="14">
                  <c:v>69.521761999999995</c:v>
                </c:pt>
                <c:pt idx="15">
                  <c:v>69.722271000000006</c:v>
                </c:pt>
                <c:pt idx="16">
                  <c:v>69.91583</c:v>
                </c:pt>
                <c:pt idx="17">
                  <c:v>70.104962</c:v>
                </c:pt>
                <c:pt idx="18">
                  <c:v>70.288808000000003</c:v>
                </c:pt>
                <c:pt idx="19">
                  <c:v>70.465976999999995</c:v>
                </c:pt>
                <c:pt idx="20">
                  <c:v>70.633769999999998</c:v>
                </c:pt>
                <c:pt idx="21">
                  <c:v>70.788492000000005</c:v>
                </c:pt>
                <c:pt idx="22">
                  <c:v>70.926210999999995</c:v>
                </c:pt>
                <c:pt idx="23">
                  <c:v>71.046882993855405</c:v>
                </c:pt>
                <c:pt idx="24">
                  <c:v>71.166557698505301</c:v>
                </c:pt>
                <c:pt idx="25">
                  <c:v>71.269278486663197</c:v>
                </c:pt>
                <c:pt idx="26">
                  <c:v>71.366015539588602</c:v>
                </c:pt>
                <c:pt idx="27">
                  <c:v>71.459760724897706</c:v>
                </c:pt>
                <c:pt idx="28">
                  <c:v>71.533560126098493</c:v>
                </c:pt>
                <c:pt idx="29">
                  <c:v>71.606362238093894</c:v>
                </c:pt>
                <c:pt idx="30">
                  <c:v>71.671186036445903</c:v>
                </c:pt>
                <c:pt idx="31">
                  <c:v>71.726036942743804</c:v>
                </c:pt>
                <c:pt idx="32">
                  <c:v>71.776898692220101</c:v>
                </c:pt>
              </c:numCache>
            </c:numRef>
          </c:yVal>
          <c:smooth val="1"/>
          <c:extLst>
            <c:ext xmlns:c16="http://schemas.microsoft.com/office/drawing/2014/chart" uri="{C3380CC4-5D6E-409C-BE32-E72D297353CC}">
              <c16:uniqueId val="{00000003-ED9D-43A4-A8C5-69890C0BB1EF}"/>
            </c:ext>
          </c:extLst>
        </c:ser>
        <c:ser>
          <c:idx val="4"/>
          <c:order val="4"/>
          <c:tx>
            <c:strRef>
              <c:f>'1. Population'!$A$23</c:f>
              <c:strCache>
                <c:ptCount val="1"/>
                <c:pt idx="0">
                  <c:v>INSEE 2021 – scénario central</c:v>
                </c:pt>
              </c:strCache>
            </c:strRef>
          </c:tx>
          <c:spPr>
            <a:ln w="28800">
              <a:solidFill>
                <a:srgbClr val="579D1C"/>
              </a:solidFill>
              <a:round/>
            </a:ln>
          </c:spPr>
          <c:marker>
            <c:symbol val="triangle"/>
            <c:size val="8"/>
            <c:spPr>
              <a:solidFill>
                <a:srgbClr val="579D1C"/>
              </a:solidFill>
            </c:spPr>
          </c:marker>
          <c:dLbls>
            <c:spPr>
              <a:noFill/>
              <a:ln>
                <a:noFill/>
              </a:ln>
              <a:effectLst/>
            </c:spPr>
            <c:txPr>
              <a:bodyPr/>
              <a:lstStyle/>
              <a:p>
                <a:pPr>
                  <a:defRPr sz="1000" b="0" strike="noStrike" spc="-1">
                    <a:solidFill>
                      <a:srgbClr val="000000"/>
                    </a:solidFill>
                    <a:latin typeface="Arial"/>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'1. Population'!$B$16:$AH$16</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'1. Population'!$B$23:$AH$23</c:f>
              <c:numCache>
                <c:formatCode>General</c:formatCode>
                <c:ptCount val="33"/>
                <c:pt idx="0">
                  <c:v>67</c:v>
                </c:pt>
                <c:pt idx="1">
                  <c:v>67.099999999999994</c:v>
                </c:pt>
                <c:pt idx="2">
                  <c:v>67.3</c:v>
                </c:pt>
                <c:pt idx="3">
                  <c:v>67.400000000000006</c:v>
                </c:pt>
                <c:pt idx="4">
                  <c:v>67.5</c:v>
                </c:pt>
                <c:pt idx="5">
                  <c:v>67.7</c:v>
                </c:pt>
                <c:pt idx="6">
                  <c:v>67.8</c:v>
                </c:pt>
                <c:pt idx="7">
                  <c:v>68</c:v>
                </c:pt>
                <c:pt idx="8">
                  <c:v>68.099999999999994</c:v>
                </c:pt>
                <c:pt idx="9">
                  <c:v>68.2</c:v>
                </c:pt>
                <c:pt idx="10">
                  <c:v>68.3</c:v>
                </c:pt>
                <c:pt idx="11">
                  <c:v>68.400000000000006</c:v>
                </c:pt>
                <c:pt idx="12">
                  <c:v>68.599999999999994</c:v>
                </c:pt>
                <c:pt idx="13">
                  <c:v>68.7</c:v>
                </c:pt>
                <c:pt idx="14">
                  <c:v>68.7</c:v>
                </c:pt>
                <c:pt idx="15">
                  <c:v>68.8</c:v>
                </c:pt>
                <c:pt idx="16">
                  <c:v>68.900000000000006</c:v>
                </c:pt>
                <c:pt idx="17">
                  <c:v>69</c:v>
                </c:pt>
                <c:pt idx="18">
                  <c:v>69</c:v>
                </c:pt>
                <c:pt idx="19">
                  <c:v>69.099999999999994</c:v>
                </c:pt>
                <c:pt idx="20">
                  <c:v>69.2</c:v>
                </c:pt>
                <c:pt idx="21">
                  <c:v>69.2</c:v>
                </c:pt>
                <c:pt idx="22">
                  <c:v>69.2</c:v>
                </c:pt>
                <c:pt idx="23">
                  <c:v>69.3</c:v>
                </c:pt>
                <c:pt idx="24">
                  <c:v>69.3</c:v>
                </c:pt>
                <c:pt idx="25">
                  <c:v>69.3</c:v>
                </c:pt>
                <c:pt idx="26">
                  <c:v>69.3</c:v>
                </c:pt>
                <c:pt idx="27">
                  <c:v>69.3</c:v>
                </c:pt>
                <c:pt idx="28">
                  <c:v>69.3</c:v>
                </c:pt>
                <c:pt idx="29">
                  <c:v>69.3</c:v>
                </c:pt>
                <c:pt idx="30">
                  <c:v>69.3</c:v>
                </c:pt>
                <c:pt idx="31">
                  <c:v>69.2</c:v>
                </c:pt>
                <c:pt idx="32">
                  <c:v>69.2</c:v>
                </c:pt>
              </c:numCache>
            </c:numRef>
          </c:yVal>
          <c:smooth val="1"/>
          <c:extLst>
            <c:ext xmlns:c16="http://schemas.microsoft.com/office/drawing/2014/chart" uri="{C3380CC4-5D6E-409C-BE32-E72D297353CC}">
              <c16:uniqueId val="{00000004-ED9D-43A4-A8C5-69890C0BB1EF}"/>
            </c:ext>
          </c:extLst>
        </c:ser>
        <c:dLbls>
          <c:showLegendKey val="0"/>
          <c:showVal val="0"/>
          <c:showCatName val="0"/>
          <c:showSerName val="0"/>
          <c:showPercent val="0"/>
          <c:showBubbleSize val="0"/>
        </c:dLbls>
        <c:axId val="71136249"/>
        <c:axId val="79384038"/>
      </c:scatterChart>
      <c:valAx>
        <c:axId val="71136249"/>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fr-FR"/>
          </a:p>
        </c:txPr>
        <c:crossAx val="79384038"/>
        <c:crosses val="autoZero"/>
        <c:crossBetween val="midCat"/>
      </c:valAx>
      <c:valAx>
        <c:axId val="79384038"/>
        <c:scaling>
          <c:orientation val="minMax"/>
        </c:scaling>
        <c:delete val="0"/>
        <c:axPos val="l"/>
        <c:majorGridlines>
          <c:spPr>
            <a:ln w="9360">
              <a:solidFill>
                <a:srgbClr val="D9D9D9"/>
              </a:solidFill>
              <a:round/>
            </a:ln>
          </c:spPr>
        </c:majorGridlines>
        <c:title>
          <c:tx>
            <c:rich>
              <a:bodyPr rot="-5400000"/>
              <a:lstStyle/>
              <a:p>
                <a:pPr>
                  <a:defRPr sz="1000" b="0" strike="noStrike" spc="-1">
                    <a:solidFill>
                      <a:srgbClr val="595959"/>
                    </a:solidFill>
                    <a:latin typeface="Calibri"/>
                  </a:defRPr>
                </a:pPr>
                <a:r>
                  <a:rPr lang="fr-FR" sz="1000" b="0" strike="noStrike" spc="-1">
                    <a:solidFill>
                      <a:srgbClr val="595959"/>
                    </a:solidFill>
                    <a:latin typeface="Calibri"/>
                  </a:rPr>
                  <a:t>millions habitants</a:t>
                </a:r>
              </a:p>
            </c:rich>
          </c:tx>
          <c:overlay val="0"/>
          <c:spPr>
            <a:noFill/>
            <a:ln>
              <a:noFill/>
            </a:ln>
          </c:spPr>
        </c:title>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fr-FR"/>
          </a:p>
        </c:txPr>
        <c:crossAx val="71136249"/>
        <c:crosses val="autoZero"/>
        <c:crossBetween val="midCat"/>
      </c:valAx>
      <c:spPr>
        <a:noFill/>
        <a:ln>
          <a:noFill/>
        </a:ln>
      </c:spPr>
    </c:plotArea>
    <c:legend>
      <c:legendPos val="r"/>
      <c:layout>
        <c:manualLayout>
          <c:xMode val="edge"/>
          <c:yMode val="edge"/>
          <c:x val="8.2149604646280905E-2"/>
          <c:y val="0.90217076700434096"/>
          <c:w val="0.89209237228831395"/>
          <c:h val="5.08490930142802E-2"/>
        </c:manualLayout>
      </c:layout>
      <c:overlay val="1"/>
      <c:spPr>
        <a:noFill/>
        <a:ln>
          <a:noFill/>
        </a:ln>
      </c:spPr>
      <c:txPr>
        <a:bodyPr/>
        <a:lstStyle/>
        <a:p>
          <a:pPr>
            <a:defRPr sz="900" b="0" strike="noStrike" spc="-1">
              <a:solidFill>
                <a:srgbClr val="595959"/>
              </a:solidFill>
              <a:latin typeface="Calibri"/>
            </a:defRPr>
          </a:pPr>
          <a:endParaRPr lang="fr-FR"/>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0" strike="noStrike" spc="-1">
                <a:solidFill>
                  <a:srgbClr val="595959"/>
                </a:solidFill>
                <a:latin typeface="Calibri"/>
              </a:defRPr>
            </a:pPr>
            <a:r>
              <a:rPr lang="fr-FR" sz="1400" b="0" strike="noStrike" spc="-1">
                <a:solidFill>
                  <a:srgbClr val="595959"/>
                </a:solidFill>
                <a:latin typeface="Calibri"/>
              </a:rPr>
              <a:t>Evolution du PIB (index 2018 = 100)</a:t>
            </a:r>
          </a:p>
        </c:rich>
      </c:tx>
      <c:layout/>
      <c:overlay val="0"/>
      <c:spPr>
        <a:noFill/>
        <a:ln>
          <a:noFill/>
        </a:ln>
      </c:spPr>
    </c:title>
    <c:autoTitleDeleted val="0"/>
    <c:plotArea>
      <c:layout>
        <c:manualLayout>
          <c:layoutTarget val="inner"/>
          <c:xMode val="edge"/>
          <c:yMode val="edge"/>
          <c:x val="5.8266666666666703E-2"/>
          <c:y val="0.16960914379018299"/>
          <c:w val="0.89959999999999996"/>
          <c:h val="0.61047045616899698"/>
        </c:manualLayout>
      </c:layout>
      <c:scatterChart>
        <c:scatterStyle val="lineMarker"/>
        <c:varyColors val="0"/>
        <c:ser>
          <c:idx val="0"/>
          <c:order val="0"/>
          <c:tx>
            <c:strRef>
              <c:f>'2. PIB'!$A$24</c:f>
              <c:strCache>
                <c:ptCount val="1"/>
                <c:pt idx="0">
                  <c:v>AMS2018</c:v>
                </c:pt>
              </c:strCache>
            </c:strRef>
          </c:tx>
          <c:spPr>
            <a:ln w="19080">
              <a:solidFill>
                <a:srgbClr val="5B9BD5"/>
              </a:solidFill>
              <a:round/>
            </a:ln>
          </c:spPr>
          <c:marker>
            <c:symbol val="none"/>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'2. PIB'!$B$23:$AH$23</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'2. PIB'!$B$24:$AH$24</c:f>
              <c:numCache>
                <c:formatCode>0.0</c:formatCode>
                <c:ptCount val="33"/>
                <c:pt idx="0" formatCode="General">
                  <c:v>100</c:v>
                </c:pt>
                <c:pt idx="1">
                  <c:v>101.6</c:v>
                </c:pt>
                <c:pt idx="2">
                  <c:v>102.92079999999999</c:v>
                </c:pt>
                <c:pt idx="3">
                  <c:v>104.25877039999997</c:v>
                </c:pt>
                <c:pt idx="4">
                  <c:v>105.61413441519997</c:v>
                </c:pt>
                <c:pt idx="5">
                  <c:v>106.98711816259755</c:v>
                </c:pt>
                <c:pt idx="6">
                  <c:v>108.37795069871132</c:v>
                </c:pt>
                <c:pt idx="7">
                  <c:v>109.89524200849327</c:v>
                </c:pt>
                <c:pt idx="8">
                  <c:v>111.43377539661218</c:v>
                </c:pt>
                <c:pt idx="9">
                  <c:v>112.99384825216475</c:v>
                </c:pt>
                <c:pt idx="10">
                  <c:v>114.57576212769506</c:v>
                </c:pt>
                <c:pt idx="11">
                  <c:v>116.17982279748279</c:v>
                </c:pt>
                <c:pt idx="12">
                  <c:v>118.15487978503998</c:v>
                </c:pt>
                <c:pt idx="13">
                  <c:v>120.16351274138565</c:v>
                </c:pt>
                <c:pt idx="14">
                  <c:v>122.20629245798919</c:v>
                </c:pt>
                <c:pt idx="15">
                  <c:v>124.283799429775</c:v>
                </c:pt>
                <c:pt idx="16">
                  <c:v>126.39662402008116</c:v>
                </c:pt>
                <c:pt idx="17">
                  <c:v>128.54536662842253</c:v>
                </c:pt>
                <c:pt idx="18">
                  <c:v>130.73063786110569</c:v>
                </c:pt>
                <c:pt idx="19">
                  <c:v>132.95305870474448</c:v>
                </c:pt>
                <c:pt idx="20">
                  <c:v>135.21326070272511</c:v>
                </c:pt>
                <c:pt idx="21">
                  <c:v>137.51188613467141</c:v>
                </c:pt>
                <c:pt idx="22">
                  <c:v>139.84958819896082</c:v>
                </c:pt>
                <c:pt idx="23">
                  <c:v>142.22703119834313</c:v>
                </c:pt>
                <c:pt idx="24">
                  <c:v>144.64489072871496</c:v>
                </c:pt>
                <c:pt idx="25">
                  <c:v>147.1038538711031</c:v>
                </c:pt>
                <c:pt idx="26">
                  <c:v>149.60461938691185</c:v>
                </c:pt>
                <c:pt idx="27">
                  <c:v>152.14789791648934</c:v>
                </c:pt>
                <c:pt idx="28">
                  <c:v>154.73441218106964</c:v>
                </c:pt>
                <c:pt idx="29">
                  <c:v>157.36489718814781</c:v>
                </c:pt>
                <c:pt idx="30">
                  <c:v>160.04010044034629</c:v>
                </c:pt>
                <c:pt idx="31">
                  <c:v>162.76078214783217</c:v>
                </c:pt>
                <c:pt idx="32">
                  <c:v>165.52771544434532</c:v>
                </c:pt>
              </c:numCache>
            </c:numRef>
          </c:yVal>
          <c:smooth val="1"/>
          <c:extLst>
            <c:ext xmlns:c16="http://schemas.microsoft.com/office/drawing/2014/chart" uri="{C3380CC4-5D6E-409C-BE32-E72D297353CC}">
              <c16:uniqueId val="{00000000-824C-41A4-A4FA-D6760038273E}"/>
            </c:ext>
          </c:extLst>
        </c:ser>
        <c:ser>
          <c:idx val="1"/>
          <c:order val="1"/>
          <c:tx>
            <c:strRef>
              <c:f>'2. PIB'!$A$28</c:f>
              <c:strCache>
                <c:ptCount val="1"/>
                <c:pt idx="0">
                  <c:v>Cadrage Commission mars 2023</c:v>
                </c:pt>
              </c:strCache>
            </c:strRef>
          </c:tx>
          <c:spPr>
            <a:ln w="28800">
              <a:solidFill>
                <a:srgbClr val="314004"/>
              </a:solidFill>
              <a:round/>
            </a:ln>
          </c:spPr>
          <c:marker>
            <c:symbol val="none"/>
          </c:marker>
          <c:dLbls>
            <c:spPr>
              <a:noFill/>
              <a:ln>
                <a:noFill/>
              </a:ln>
              <a:effectLst/>
            </c:spPr>
            <c:txPr>
              <a:bodyPr/>
              <a:lstStyle/>
              <a:p>
                <a:pPr>
                  <a:defRPr sz="1000" b="0" strike="noStrike" spc="-1">
                    <a:latin typeface="Arial"/>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'2. PIB'!$B$15:$AH$15</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'2. PIB'!$B$29:$AH$29</c:f>
              <c:numCache>
                <c:formatCode>0.0</c:formatCode>
                <c:ptCount val="33"/>
                <c:pt idx="0" formatCode="General">
                  <c:v>100</c:v>
                </c:pt>
                <c:pt idx="1">
                  <c:v>101.32000000000001</c:v>
                </c:pt>
                <c:pt idx="2">
                  <c:v>93.361054913447916</c:v>
                </c:pt>
                <c:pt idx="3">
                  <c:v>99.924385247588049</c:v>
                </c:pt>
                <c:pt idx="4">
                  <c:v>103.53323599895631</c:v>
                </c:pt>
                <c:pt idx="5">
                  <c:v>105.74358634243598</c:v>
                </c:pt>
                <c:pt idx="6">
                  <c:v>107.33454329012829</c:v>
                </c:pt>
                <c:pt idx="7">
                  <c:v>108.27282526384543</c:v>
                </c:pt>
                <c:pt idx="8">
                  <c:v>109.27767664942375</c:v>
                </c:pt>
                <c:pt idx="9">
                  <c:v>110.32798465546372</c:v>
                </c:pt>
                <c:pt idx="10">
                  <c:v>111.43090206311096</c:v>
                </c:pt>
                <c:pt idx="11">
                  <c:v>112.54313800339079</c:v>
                </c:pt>
                <c:pt idx="12">
                  <c:v>113.69599671819253</c:v>
                </c:pt>
                <c:pt idx="13">
                  <c:v>114.91073929166399</c:v>
                </c:pt>
                <c:pt idx="14">
                  <c:v>116.17262905252129</c:v>
                </c:pt>
                <c:pt idx="15">
                  <c:v>117.50676889211171</c:v>
                </c:pt>
                <c:pt idx="16">
                  <c:v>118.94242717280494</c:v>
                </c:pt>
                <c:pt idx="17">
                  <c:v>120.491786699641</c:v>
                </c:pt>
                <c:pt idx="18">
                  <c:v>122.18250441857778</c:v>
                </c:pt>
                <c:pt idx="19">
                  <c:v>124.04041523205635</c:v>
                </c:pt>
                <c:pt idx="20">
                  <c:v>125.96231900504922</c:v>
                </c:pt>
                <c:pt idx="21">
                  <c:v>127.95359276878915</c:v>
                </c:pt>
                <c:pt idx="22">
                  <c:v>129.99201248506532</c:v>
                </c:pt>
                <c:pt idx="23">
                  <c:v>132.09421021955413</c:v>
                </c:pt>
                <c:pt idx="24">
                  <c:v>134.25535475689921</c:v>
                </c:pt>
                <c:pt idx="25">
                  <c:v>136.41495522628196</c:v>
                </c:pt>
                <c:pt idx="26">
                  <c:v>138.55701873760282</c:v>
                </c:pt>
                <c:pt idx="27">
                  <c:v>140.68426773468107</c:v>
                </c:pt>
                <c:pt idx="28">
                  <c:v>142.80858991783089</c:v>
                </c:pt>
                <c:pt idx="29">
                  <c:v>144.93714292151174</c:v>
                </c:pt>
                <c:pt idx="30">
                  <c:v>147.08736148877816</c:v>
                </c:pt>
                <c:pt idx="31">
                  <c:v>149.25199762628532</c:v>
                </c:pt>
                <c:pt idx="32">
                  <c:v>151.43456591920418</c:v>
                </c:pt>
              </c:numCache>
            </c:numRef>
          </c:yVal>
          <c:smooth val="1"/>
          <c:extLst>
            <c:ext xmlns:c16="http://schemas.microsoft.com/office/drawing/2014/chart" uri="{C3380CC4-5D6E-409C-BE32-E72D297353CC}">
              <c16:uniqueId val="{00000001-824C-41A4-A4FA-D6760038273E}"/>
            </c:ext>
          </c:extLst>
        </c:ser>
        <c:ser>
          <c:idx val="2"/>
          <c:order val="2"/>
          <c:tx>
            <c:strRef>
              <c:f>'2. PIB'!$A$25</c:f>
              <c:strCache>
                <c:ptCount val="1"/>
                <c:pt idx="0">
                  <c:v>AME 2021</c:v>
                </c:pt>
              </c:strCache>
            </c:strRef>
          </c:tx>
          <c:spPr>
            <a:ln w="19080">
              <a:solidFill>
                <a:srgbClr val="ED7D31"/>
              </a:solidFill>
              <a:round/>
            </a:ln>
          </c:spPr>
          <c:marker>
            <c:symbol val="none"/>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'2. PIB'!$B$23:$AH$23</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'2. PIB'!$B$25:$AH$25</c:f>
              <c:numCache>
                <c:formatCode>0.0</c:formatCode>
                <c:ptCount val="33"/>
                <c:pt idx="0" formatCode="General">
                  <c:v>100</c:v>
                </c:pt>
                <c:pt idx="1">
                  <c:v>101.31539403407143</c:v>
                </c:pt>
                <c:pt idx="2">
                  <c:v>92.958615750341849</c:v>
                </c:pt>
                <c:pt idx="3">
                  <c:v>99.838582535791048</c:v>
                </c:pt>
                <c:pt idx="4">
                  <c:v>101.6070362109557</c:v>
                </c:pt>
                <c:pt idx="5">
                  <c:v>103.27448067683179</c:v>
                </c:pt>
                <c:pt idx="6">
                  <c:v>104.91629154979603</c:v>
                </c:pt>
                <c:pt idx="7">
                  <c:v>105.83343399148264</c:v>
                </c:pt>
                <c:pt idx="8">
                  <c:v>106.81564603340267</c:v>
                </c:pt>
                <c:pt idx="9">
                  <c:v>107.84229055622806</c:v>
                </c:pt>
                <c:pt idx="10">
                  <c:v>108.92035918864666</c:v>
                </c:pt>
                <c:pt idx="11">
                  <c:v>110.00753640676869</c:v>
                </c:pt>
                <c:pt idx="12">
                  <c:v>111.17119376391018</c:v>
                </c:pt>
                <c:pt idx="13">
                  <c:v>112.41348307430265</c:v>
                </c:pt>
                <c:pt idx="14">
                  <c:v>113.73671836167573</c:v>
                </c:pt>
                <c:pt idx="15">
                  <c:v>115.12881672813886</c:v>
                </c:pt>
                <c:pt idx="16">
                  <c:v>116.59568081340892</c:v>
                </c:pt>
                <c:pt idx="17">
                  <c:v>118.14101366041143</c:v>
                </c:pt>
                <c:pt idx="18">
                  <c:v>119.78642139262945</c:v>
                </c:pt>
                <c:pt idx="19">
                  <c:v>121.52667496863968</c:v>
                </c:pt>
                <c:pt idx="20">
                  <c:v>123.36429205366608</c:v>
                </c:pt>
                <c:pt idx="21">
                  <c:v>125.29925182122975</c:v>
                </c:pt>
                <c:pt idx="22">
                  <c:v>127.33885823754892</c:v>
                </c:pt>
                <c:pt idx="23">
                  <c:v>129.4116651261217</c:v>
                </c:pt>
                <c:pt idx="24">
                  <c:v>131.51821292031264</c:v>
                </c:pt>
                <c:pt idx="25">
                  <c:v>133.65905085059669</c:v>
                </c:pt>
                <c:pt idx="26">
                  <c:v>135.83473708775759</c:v>
                </c:pt>
                <c:pt idx="27">
                  <c:v>138.04583888841717</c:v>
                </c:pt>
                <c:pt idx="28">
                  <c:v>140.29293274293349</c:v>
                </c:pt>
                <c:pt idx="29">
                  <c:v>142.57660452570659</c:v>
                </c:pt>
                <c:pt idx="30">
                  <c:v>144.8974496479307</c:v>
                </c:pt>
                <c:pt idx="31">
                  <c:v>147.2560732128332</c:v>
                </c:pt>
                <c:pt idx="32">
                  <c:v>149.65309017344023</c:v>
                </c:pt>
              </c:numCache>
            </c:numRef>
          </c:yVal>
          <c:smooth val="1"/>
          <c:extLst>
            <c:ext xmlns:c16="http://schemas.microsoft.com/office/drawing/2014/chart" uri="{C3380CC4-5D6E-409C-BE32-E72D297353CC}">
              <c16:uniqueId val="{00000002-824C-41A4-A4FA-D6760038273E}"/>
            </c:ext>
          </c:extLst>
        </c:ser>
        <c:ser>
          <c:idx val="3"/>
          <c:order val="3"/>
          <c:tx>
            <c:strRef>
              <c:f>'2. PIB'!$A$28</c:f>
              <c:strCache>
                <c:ptCount val="1"/>
                <c:pt idx="0">
                  <c:v>Cadrage Commission mars 2023</c:v>
                </c:pt>
              </c:strCache>
            </c:strRef>
          </c:tx>
          <c:spPr>
            <a:ln w="19080">
              <a:solidFill>
                <a:srgbClr val="579D1C"/>
              </a:solidFill>
              <a:round/>
            </a:ln>
          </c:spPr>
          <c:marker>
            <c:symbol val="none"/>
          </c:marker>
          <c:dLbls>
            <c:spPr>
              <a:noFill/>
              <a:ln>
                <a:noFill/>
              </a:ln>
              <a:effectLst/>
            </c:spPr>
            <c:txPr>
              <a:bodyPr/>
              <a:lstStyle/>
              <a:p>
                <a:pPr>
                  <a:defRPr sz="1000" b="0" strike="noStrike" spc="-1">
                    <a:solidFill>
                      <a:srgbClr val="000000"/>
                    </a:solidFill>
                    <a:latin typeface="Arial"/>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'2. PIB'!$B$15:$AH$15</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'2. PIB'!$B$31:$AH$31</c:f>
              <c:numCache>
                <c:formatCode>0.00</c:formatCode>
                <c:ptCount val="33"/>
                <c:pt idx="1">
                  <c:v>1.8</c:v>
                </c:pt>
                <c:pt idx="2">
                  <c:v>-8</c:v>
                </c:pt>
                <c:pt idx="3">
                  <c:v>7.2763965093855836</c:v>
                </c:pt>
                <c:pt idx="4">
                  <c:v>1.6428276852789661</c:v>
                </c:pt>
                <c:pt idx="5">
                  <c:v>1.6555109476340737</c:v>
                </c:pt>
                <c:pt idx="6">
                  <c:v>1.4571232395160085</c:v>
                </c:pt>
                <c:pt idx="7">
                  <c:v>0.88911028620158183</c:v>
                </c:pt>
                <c:pt idx="8">
                  <c:v>0.7967554212014416</c:v>
                </c:pt>
                <c:pt idx="9">
                  <c:v>0.82816007059447405</c:v>
                </c:pt>
                <c:pt idx="10">
                  <c:v>0.86571775015107955</c:v>
                </c:pt>
                <c:pt idx="11">
                  <c:v>0.85688938955858518</c:v>
                </c:pt>
                <c:pt idx="12">
                  <c:v>1.0596022998227892</c:v>
                </c:pt>
                <c:pt idx="13">
                  <c:v>0.9707155128307553</c:v>
                </c:pt>
                <c:pt idx="14">
                  <c:v>0.88468975154733931</c:v>
                </c:pt>
                <c:pt idx="15">
                  <c:v>1.0811142094819362</c:v>
                </c:pt>
                <c:pt idx="16">
                  <c:v>1.1418413316753344</c:v>
                </c:pt>
                <c:pt idx="17">
                  <c:v>1.200001473826996</c:v>
                </c:pt>
                <c:pt idx="18">
                  <c:v>1.1305050348450973</c:v>
                </c:pt>
                <c:pt idx="19">
                  <c:v>1.3456659485303804</c:v>
                </c:pt>
                <c:pt idx="20">
                  <c:v>1.4187086956310875</c:v>
                </c:pt>
                <c:pt idx="21">
                  <c:v>1.3494443827854126</c:v>
                </c:pt>
                <c:pt idx="22">
                  <c:v>1.4332382002272377</c:v>
                </c:pt>
                <c:pt idx="23">
                  <c:v>1.602159479560467</c:v>
                </c:pt>
                <c:pt idx="24">
                  <c:v>1.4593434904331615</c:v>
                </c:pt>
                <c:pt idx="25">
                  <c:v>1.4834496194027706</c:v>
                </c:pt>
                <c:pt idx="26">
                  <c:v>1.4920536084907827</c:v>
                </c:pt>
                <c:pt idx="27">
                  <c:v>1.4964298836985941</c:v>
                </c:pt>
                <c:pt idx="28">
                  <c:v>1.5245141173808356</c:v>
                </c:pt>
                <c:pt idx="29">
                  <c:v>1.5260148183756816</c:v>
                </c:pt>
                <c:pt idx="30">
                  <c:v>1.5372601973498992</c:v>
                </c:pt>
                <c:pt idx="31">
                  <c:v>1.4069567179421243</c:v>
                </c:pt>
                <c:pt idx="32">
                  <c:v>1.5568770458147063</c:v>
                </c:pt>
              </c:numCache>
            </c:numRef>
          </c:yVal>
          <c:smooth val="1"/>
          <c:extLst>
            <c:ext xmlns:c16="http://schemas.microsoft.com/office/drawing/2014/chart" uri="{C3380CC4-5D6E-409C-BE32-E72D297353CC}">
              <c16:uniqueId val="{00000003-824C-41A4-A4FA-D6760038273E}"/>
            </c:ext>
          </c:extLst>
        </c:ser>
        <c:ser>
          <c:idx val="4"/>
          <c:order val="4"/>
          <c:tx>
            <c:strRef>
              <c:f>'2. PIB'!$A$31:$A$31</c:f>
              <c:strCache>
                <c:ptCount val="1"/>
                <c:pt idx="0">
                  <c:v>AME AMS 2023</c:v>
                </c:pt>
              </c:strCache>
            </c:strRef>
          </c:tx>
          <c:spPr>
            <a:ln w="28800">
              <a:solidFill>
                <a:srgbClr val="83CAFF"/>
              </a:solidFill>
              <a:round/>
            </a:ln>
          </c:spPr>
          <c:marker>
            <c:symbol val="none"/>
          </c:marker>
          <c:dLbls>
            <c:spPr>
              <a:noFill/>
              <a:ln>
                <a:noFill/>
              </a:ln>
              <a:effectLst/>
            </c:spPr>
            <c:txPr>
              <a:bodyPr/>
              <a:lstStyle/>
              <a:p>
                <a:pPr>
                  <a:defRPr sz="1000" b="0" strike="noStrike" spc="-1">
                    <a:solidFill>
                      <a:srgbClr val="000000"/>
                    </a:solidFill>
                    <a:latin typeface="Arial"/>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'2. PIB'!$B$15:$AH$15</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'2. PIB'!$B$34:$AH$34</c:f>
              <c:numCache>
                <c:formatCode>0.0</c:formatCode>
                <c:ptCount val="33"/>
                <c:pt idx="0" formatCode="General">
                  <c:v>100</c:v>
                </c:pt>
                <c:pt idx="1">
                  <c:v>101.8</c:v>
                </c:pt>
                <c:pt idx="2">
                  <c:v>93.656000000000006</c:v>
                </c:pt>
                <c:pt idx="3">
                  <c:v>100.33161995346313</c:v>
                </c:pt>
                <c:pt idx="4">
                  <c:v>101.83103561289015</c:v>
                </c:pt>
                <c:pt idx="5">
                  <c:v>103.21513796854953</c:v>
                </c:pt>
                <c:pt idx="6">
                  <c:v>104.56665014717782</c:v>
                </c:pt>
                <c:pt idx="7">
                  <c:v>105.18790679444839</c:v>
                </c:pt>
                <c:pt idx="8">
                  <c:v>105.87130904605436</c:v>
                </c:pt>
                <c:pt idx="9">
                  <c:v>106.59262847648246</c:v>
                </c:pt>
                <c:pt idx="10">
                  <c:v>107.35912560490425</c:v>
                </c:pt>
                <c:pt idx="11">
                  <c:v>108.12188696854183</c:v>
                </c:pt>
                <c:pt idx="12">
                  <c:v>108.95140310114323</c:v>
                </c:pt>
                <c:pt idx="13">
                  <c:v>109.85018998517333</c:v>
                </c:pt>
                <c:pt idx="14">
                  <c:v>110.82202335802744</c:v>
                </c:pt>
                <c:pt idx="15">
                  <c:v>111.85882301091017</c:v>
                </c:pt>
                <c:pt idx="16">
                  <c:v>112.97348778661193</c:v>
                </c:pt>
                <c:pt idx="17">
                  <c:v>114.16520397883451</c:v>
                </c:pt>
                <c:pt idx="18">
                  <c:v>115.4558473578564</c:v>
                </c:pt>
                <c:pt idx="19">
                  <c:v>116.84217006632691</c:v>
                </c:pt>
                <c:pt idx="20">
                  <c:v>118.33072867489152</c:v>
                </c:pt>
                <c:pt idx="21">
                  <c:v>119.9275360461039</c:v>
                </c:pt>
                <c:pt idx="22">
                  <c:v>121.64638330530794</c:v>
                </c:pt>
                <c:pt idx="23">
                  <c:v>123.41956279572594</c:v>
                </c:pt>
                <c:pt idx="24">
                  <c:v>125.22067815130642</c:v>
                </c:pt>
                <c:pt idx="25">
                  <c:v>127.07826382475554</c:v>
                </c:pt>
                <c:pt idx="26">
                  <c:v>128.97433964576024</c:v>
                </c:pt>
                <c:pt idx="27">
                  <c:v>130.90435020652234</c:v>
                </c:pt>
                <c:pt idx="28">
                  <c:v>132.90000550568641</c:v>
                </c:pt>
                <c:pt idx="29">
                  <c:v>134.92807928332527</c:v>
                </c:pt>
                <c:pt idx="30">
                  <c:v>137.00227494119656</c:v>
                </c:pt>
                <c:pt idx="31">
                  <c:v>139.12753213264989</c:v>
                </c:pt>
                <c:pt idx="32">
                  <c:v>141.2935767448316</c:v>
                </c:pt>
              </c:numCache>
            </c:numRef>
          </c:yVal>
          <c:smooth val="1"/>
          <c:extLst>
            <c:ext xmlns:c16="http://schemas.microsoft.com/office/drawing/2014/chart" uri="{C3380CC4-5D6E-409C-BE32-E72D297353CC}">
              <c16:uniqueId val="{00000004-824C-41A4-A4FA-D6760038273E}"/>
            </c:ext>
          </c:extLst>
        </c:ser>
        <c:ser>
          <c:idx val="5"/>
          <c:order val="5"/>
          <c:tx>
            <c:strRef>
              <c:f>'2. PIB'!$A$26</c:f>
              <c:strCache>
                <c:ptCount val="1"/>
                <c:pt idx="0">
                  <c:v>Banque de France</c:v>
                </c:pt>
              </c:strCache>
            </c:strRef>
          </c:tx>
          <c:spPr>
            <a:ln w="19080">
              <a:solidFill>
                <a:srgbClr val="A5A5A5"/>
              </a:solidFill>
              <a:round/>
            </a:ln>
          </c:spPr>
          <c:marker>
            <c:symbol val="none"/>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'2. PIB'!$B$23:$AH$23</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'2. PIB'!$B$26:$AH$26</c:f>
              <c:numCache>
                <c:formatCode>0.0</c:formatCode>
                <c:ptCount val="33"/>
                <c:pt idx="0" formatCode="General">
                  <c:v>100</c:v>
                </c:pt>
                <c:pt idx="1">
                  <c:v>101.8</c:v>
                </c:pt>
                <c:pt idx="2">
                  <c:v>93.656000000000006</c:v>
                </c:pt>
                <c:pt idx="3">
                  <c:v>99.556328000000008</c:v>
                </c:pt>
                <c:pt idx="4">
                  <c:v>103.239912136</c:v>
                </c:pt>
                <c:pt idx="5">
                  <c:v>105.20147046658398</c:v>
                </c:pt>
              </c:numCache>
            </c:numRef>
          </c:yVal>
          <c:smooth val="1"/>
          <c:extLst>
            <c:ext xmlns:c16="http://schemas.microsoft.com/office/drawing/2014/chart" uri="{C3380CC4-5D6E-409C-BE32-E72D297353CC}">
              <c16:uniqueId val="{00000005-824C-41A4-A4FA-D6760038273E}"/>
            </c:ext>
          </c:extLst>
        </c:ser>
        <c:ser>
          <c:idx val="6"/>
          <c:order val="6"/>
          <c:tx>
            <c:strRef>
              <c:f>'2. PIB'!$A$36:$A$36</c:f>
              <c:strCache>
                <c:ptCount val="1"/>
                <c:pt idx="0">
                  <c:v>OCDE</c:v>
                </c:pt>
              </c:strCache>
            </c:strRef>
          </c:tx>
          <c:spPr>
            <a:ln w="19080">
              <a:solidFill>
                <a:srgbClr val="7E0021"/>
              </a:solidFill>
              <a:round/>
            </a:ln>
          </c:spPr>
          <c:marker>
            <c:symbol val="none"/>
          </c:marker>
          <c:dLbls>
            <c:spPr>
              <a:noFill/>
              <a:ln>
                <a:noFill/>
              </a:ln>
              <a:effectLst/>
            </c:spPr>
            <c:txPr>
              <a:bodyPr/>
              <a:lstStyle/>
              <a:p>
                <a:pPr>
                  <a:defRPr sz="1000" b="0" strike="noStrike" spc="-1">
                    <a:solidFill>
                      <a:srgbClr val="000000"/>
                    </a:solidFill>
                    <a:latin typeface="Arial"/>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'2. PIB'!$B$15:$AH$15</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'2. PIB'!$B$38:$AH$38</c:f>
              <c:numCache>
                <c:formatCode>0.0</c:formatCode>
                <c:ptCount val="33"/>
                <c:pt idx="0">
                  <c:v>100</c:v>
                </c:pt>
                <c:pt idx="1">
                  <c:v>101.48987266534593</c:v>
                </c:pt>
                <c:pt idx="2">
                  <c:v>93.21004125700469</c:v>
                </c:pt>
                <c:pt idx="3">
                  <c:v>98.604685670969644</c:v>
                </c:pt>
                <c:pt idx="4">
                  <c:v>102.50678167606564</c:v>
                </c:pt>
                <c:pt idx="5">
                  <c:v>104.49889130672172</c:v>
                </c:pt>
                <c:pt idx="6">
                  <c:v>105.94836653204729</c:v>
                </c:pt>
                <c:pt idx="7">
                  <c:v>107.26898865126448</c:v>
                </c:pt>
                <c:pt idx="8">
                  <c:v>108.58723624169706</c:v>
                </c:pt>
                <c:pt idx="9">
                  <c:v>109.93038146482752</c:v>
                </c:pt>
                <c:pt idx="10">
                  <c:v>111.29790052754163</c:v>
                </c:pt>
                <c:pt idx="11">
                  <c:v>112.67889853306272</c:v>
                </c:pt>
                <c:pt idx="12">
                  <c:v>114.06691536631493</c:v>
                </c:pt>
                <c:pt idx="13">
                  <c:v>115.4607637629059</c:v>
                </c:pt>
                <c:pt idx="14">
                  <c:v>116.85632321700348</c:v>
                </c:pt>
                <c:pt idx="15">
                  <c:v>118.25516510795042</c:v>
                </c:pt>
                <c:pt idx="16">
                  <c:v>119.66168929790652</c:v>
                </c:pt>
                <c:pt idx="17">
                  <c:v>121.08239082148866</c:v>
                </c:pt>
                <c:pt idx="18">
                  <c:v>122.52313616157653</c:v>
                </c:pt>
                <c:pt idx="19">
                  <c:v>123.98217934112262</c:v>
                </c:pt>
                <c:pt idx="20">
                  <c:v>125.4577394635384</c:v>
                </c:pt>
                <c:pt idx="21">
                  <c:v>126.94890862075916</c:v>
                </c:pt>
                <c:pt idx="22">
                  <c:v>128.45750262891437</c:v>
                </c:pt>
                <c:pt idx="23">
                  <c:v>129.98690868347626</c:v>
                </c:pt>
                <c:pt idx="24">
                  <c:v>131.53646331316673</c:v>
                </c:pt>
                <c:pt idx="25">
                  <c:v>133.10585224211724</c:v>
                </c:pt>
                <c:pt idx="26">
                  <c:v>134.69577386114682</c:v>
                </c:pt>
                <c:pt idx="27">
                  <c:v>136.30930108985908</c:v>
                </c:pt>
                <c:pt idx="28">
                  <c:v>137.95170677893768</c:v>
                </c:pt>
                <c:pt idx="29">
                  <c:v>139.62285125021873</c:v>
                </c:pt>
                <c:pt idx="30">
                  <c:v>141.32503919340502</c:v>
                </c:pt>
                <c:pt idx="31">
                  <c:v>143.06308950514776</c:v>
                </c:pt>
                <c:pt idx="32">
                  <c:v>144.84492892124274</c:v>
                </c:pt>
              </c:numCache>
            </c:numRef>
          </c:yVal>
          <c:smooth val="1"/>
          <c:extLst>
            <c:ext xmlns:c16="http://schemas.microsoft.com/office/drawing/2014/chart" uri="{C3380CC4-5D6E-409C-BE32-E72D297353CC}">
              <c16:uniqueId val="{00000006-824C-41A4-A4FA-D6760038273E}"/>
            </c:ext>
          </c:extLst>
        </c:ser>
        <c:dLbls>
          <c:showLegendKey val="0"/>
          <c:showVal val="0"/>
          <c:showCatName val="0"/>
          <c:showSerName val="0"/>
          <c:showPercent val="0"/>
          <c:showBubbleSize val="0"/>
        </c:dLbls>
        <c:axId val="75053505"/>
        <c:axId val="36044173"/>
      </c:scatterChart>
      <c:valAx>
        <c:axId val="75053505"/>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fr-FR"/>
          </a:p>
        </c:txPr>
        <c:crossAx val="36044173"/>
        <c:crosses val="autoZero"/>
        <c:crossBetween val="midCat"/>
      </c:valAx>
      <c:valAx>
        <c:axId val="36044173"/>
        <c:scaling>
          <c:orientation val="minMax"/>
          <c:min val="90"/>
        </c:scaling>
        <c:delete val="0"/>
        <c:axPos val="l"/>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fr-FR"/>
          </a:p>
        </c:txPr>
        <c:crossAx val="75053505"/>
        <c:crosses val="autoZero"/>
        <c:crossBetween val="midCat"/>
      </c:valAx>
      <c:spPr>
        <a:noFill/>
        <a:ln>
          <a:noFill/>
        </a:ln>
      </c:spPr>
    </c:plotArea>
    <c:legend>
      <c:legendPos val="b"/>
      <c:layout/>
      <c:overlay val="0"/>
      <c:spPr>
        <a:noFill/>
        <a:ln>
          <a:noFill/>
        </a:ln>
      </c:spPr>
      <c:txPr>
        <a:bodyPr/>
        <a:lstStyle/>
        <a:p>
          <a:pPr>
            <a:defRPr sz="900" b="0" strike="noStrike" spc="-1">
              <a:solidFill>
                <a:srgbClr val="595959"/>
              </a:solidFill>
              <a:latin typeface="Calibri"/>
            </a:defRPr>
          </a:pPr>
          <a:endParaRPr lang="fr-FR"/>
        </a:p>
      </c:txPr>
    </c:legend>
    <c:plotVisOnly val="1"/>
    <c:dispBlanksAs val="span"/>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0" strike="noStrike" spc="-1">
                <a:solidFill>
                  <a:srgbClr val="595959"/>
                </a:solidFill>
                <a:latin typeface="Calibri"/>
              </a:defRPr>
            </a:pPr>
            <a:r>
              <a:rPr lang="fr-FR" sz="1400" b="0" strike="noStrike" spc="-1">
                <a:solidFill>
                  <a:srgbClr val="595959"/>
                </a:solidFill>
                <a:latin typeface="Calibri"/>
              </a:rPr>
              <a:t>EU-ETS prices (€2016/tCO2)</a:t>
            </a:r>
          </a:p>
        </c:rich>
      </c:tx>
      <c:overlay val="0"/>
      <c:spPr>
        <a:noFill/>
        <a:ln>
          <a:noFill/>
        </a:ln>
      </c:spPr>
    </c:title>
    <c:autoTitleDeleted val="0"/>
    <c:plotArea>
      <c:layout/>
      <c:scatterChart>
        <c:scatterStyle val="lineMarker"/>
        <c:varyColors val="0"/>
        <c:ser>
          <c:idx val="0"/>
          <c:order val="0"/>
          <c:tx>
            <c:strRef>
              <c:f>'4. Prix du C'!$A$11</c:f>
              <c:strCache>
                <c:ptCount val="1"/>
                <c:pt idx="0">
                  <c:v>AME 2018 €2016</c:v>
                </c:pt>
              </c:strCache>
            </c:strRef>
          </c:tx>
          <c:spPr>
            <a:ln w="19080">
              <a:solidFill>
                <a:srgbClr val="5B9BD5"/>
              </a:solidFill>
              <a:round/>
            </a:ln>
          </c:spPr>
          <c:marker>
            <c:symbol val="circle"/>
            <c:size val="5"/>
            <c:spPr>
              <a:solidFill>
                <a:srgbClr val="5B9BD5"/>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'4. Prix du C'!$B$10:$J$10</c:f>
              <c:numCache>
                <c:formatCode>General</c:formatCode>
                <c:ptCount val="9"/>
                <c:pt idx="0">
                  <c:v>2015</c:v>
                </c:pt>
                <c:pt idx="1">
                  <c:v>2018</c:v>
                </c:pt>
                <c:pt idx="2">
                  <c:v>2020</c:v>
                </c:pt>
                <c:pt idx="3">
                  <c:v>2025</c:v>
                </c:pt>
                <c:pt idx="4">
                  <c:v>2030</c:v>
                </c:pt>
                <c:pt idx="5">
                  <c:v>2035</c:v>
                </c:pt>
                <c:pt idx="6">
                  <c:v>2040</c:v>
                </c:pt>
                <c:pt idx="7">
                  <c:v>2045</c:v>
                </c:pt>
                <c:pt idx="8">
                  <c:v>2050</c:v>
                </c:pt>
              </c:numCache>
            </c:numRef>
          </c:xVal>
          <c:yVal>
            <c:numRef>
              <c:f>'4. Prix du C'!$B$11:$J$11</c:f>
              <c:numCache>
                <c:formatCode>0.0</c:formatCode>
                <c:ptCount val="9"/>
                <c:pt idx="0">
                  <c:v>7.62</c:v>
                </c:pt>
                <c:pt idx="1">
                  <c:v>12.192</c:v>
                </c:pt>
                <c:pt idx="2">
                  <c:v>15.24</c:v>
                </c:pt>
                <c:pt idx="3">
                  <c:v>22.86</c:v>
                </c:pt>
                <c:pt idx="4">
                  <c:v>34.036000000000001</c:v>
                </c:pt>
                <c:pt idx="5">
                  <c:v>42.671999999999997</c:v>
                </c:pt>
                <c:pt idx="6">
                  <c:v>50.8</c:v>
                </c:pt>
                <c:pt idx="7">
                  <c:v>70.103999999999999</c:v>
                </c:pt>
                <c:pt idx="8">
                  <c:v>89.408000000000001</c:v>
                </c:pt>
              </c:numCache>
            </c:numRef>
          </c:yVal>
          <c:smooth val="1"/>
          <c:extLst>
            <c:ext xmlns:c16="http://schemas.microsoft.com/office/drawing/2014/chart" uri="{C3380CC4-5D6E-409C-BE32-E72D297353CC}">
              <c16:uniqueId val="{00000000-09F2-478A-9487-60679418D31E}"/>
            </c:ext>
          </c:extLst>
        </c:ser>
        <c:ser>
          <c:idx val="1"/>
          <c:order val="1"/>
          <c:tx>
            <c:strRef>
              <c:f>'4. Prix du C'!$A$13</c:f>
              <c:strCache>
                <c:ptCount val="1"/>
                <c:pt idx="0">
                  <c:v>AME 2021 (€2016)</c:v>
                </c:pt>
              </c:strCache>
            </c:strRef>
          </c:tx>
          <c:spPr>
            <a:ln w="19080">
              <a:solidFill>
                <a:srgbClr val="ED7D31"/>
              </a:solidFill>
              <a:round/>
            </a:ln>
          </c:spPr>
          <c:marker>
            <c:symbol val="circle"/>
            <c:size val="5"/>
            <c:spPr>
              <a:solidFill>
                <a:srgbClr val="ED7D31"/>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'4. Prix du C'!$B$10:$J$10</c:f>
              <c:numCache>
                <c:formatCode>General</c:formatCode>
                <c:ptCount val="9"/>
                <c:pt idx="0">
                  <c:v>2015</c:v>
                </c:pt>
                <c:pt idx="1">
                  <c:v>2018</c:v>
                </c:pt>
                <c:pt idx="2">
                  <c:v>2020</c:v>
                </c:pt>
                <c:pt idx="3">
                  <c:v>2025</c:v>
                </c:pt>
                <c:pt idx="4">
                  <c:v>2030</c:v>
                </c:pt>
                <c:pt idx="5">
                  <c:v>2035</c:v>
                </c:pt>
                <c:pt idx="6">
                  <c:v>2040</c:v>
                </c:pt>
                <c:pt idx="7">
                  <c:v>2045</c:v>
                </c:pt>
                <c:pt idx="8">
                  <c:v>2050</c:v>
                </c:pt>
              </c:numCache>
            </c:numRef>
          </c:xVal>
          <c:yVal>
            <c:numRef>
              <c:f>'4. Prix du C'!$B$13:$J$13</c:f>
              <c:numCache>
                <c:formatCode>General</c:formatCode>
                <c:ptCount val="9"/>
                <c:pt idx="1">
                  <c:v>15.5</c:v>
                </c:pt>
                <c:pt idx="2">
                  <c:v>25</c:v>
                </c:pt>
                <c:pt idx="3">
                  <c:v>28</c:v>
                </c:pt>
                <c:pt idx="4">
                  <c:v>30</c:v>
                </c:pt>
                <c:pt idx="5">
                  <c:v>40</c:v>
                </c:pt>
                <c:pt idx="6">
                  <c:v>53</c:v>
                </c:pt>
                <c:pt idx="7" formatCode="0.0">
                  <c:v>70.103999999999999</c:v>
                </c:pt>
                <c:pt idx="8" formatCode="0.0">
                  <c:v>89.408000000000001</c:v>
                </c:pt>
              </c:numCache>
            </c:numRef>
          </c:yVal>
          <c:smooth val="1"/>
          <c:extLst>
            <c:ext xmlns:c16="http://schemas.microsoft.com/office/drawing/2014/chart" uri="{C3380CC4-5D6E-409C-BE32-E72D297353CC}">
              <c16:uniqueId val="{00000001-09F2-478A-9487-60679418D31E}"/>
            </c:ext>
          </c:extLst>
        </c:ser>
        <c:ser>
          <c:idx val="2"/>
          <c:order val="2"/>
          <c:tx>
            <c:strRef>
              <c:f>'4. Prix du C'!$A$20</c:f>
              <c:strCache>
                <c:ptCount val="1"/>
                <c:pt idx="0">
                  <c:v>CaarbonPulse (moyen)</c:v>
                </c:pt>
              </c:strCache>
            </c:strRef>
          </c:tx>
          <c:spPr>
            <a:ln w="19080">
              <a:solidFill>
                <a:srgbClr val="4472C4"/>
              </a:solidFill>
              <a:round/>
            </a:ln>
          </c:spPr>
          <c:marker>
            <c:symbol val="circle"/>
            <c:size val="5"/>
            <c:spPr>
              <a:solidFill>
                <a:srgbClr val="4472C4"/>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'4. Prix du C'!$C$10:$F$10</c:f>
              <c:numCache>
                <c:formatCode>General</c:formatCode>
                <c:ptCount val="4"/>
                <c:pt idx="0">
                  <c:v>2018</c:v>
                </c:pt>
                <c:pt idx="1">
                  <c:v>2020</c:v>
                </c:pt>
                <c:pt idx="2">
                  <c:v>2025</c:v>
                </c:pt>
                <c:pt idx="3">
                  <c:v>2030</c:v>
                </c:pt>
              </c:numCache>
            </c:numRef>
          </c:xVal>
          <c:yVal>
            <c:numRef>
              <c:f>'4. Prix du C'!$C$20:$F$20</c:f>
              <c:numCache>
                <c:formatCode>General</c:formatCode>
                <c:ptCount val="4"/>
                <c:pt idx="0">
                  <c:v>15.5</c:v>
                </c:pt>
                <c:pt idx="1">
                  <c:v>56</c:v>
                </c:pt>
                <c:pt idx="2">
                  <c:v>71.25</c:v>
                </c:pt>
                <c:pt idx="3">
                  <c:v>94.7</c:v>
                </c:pt>
              </c:numCache>
            </c:numRef>
          </c:yVal>
          <c:smooth val="1"/>
          <c:extLst>
            <c:ext xmlns:c16="http://schemas.microsoft.com/office/drawing/2014/chart" uri="{C3380CC4-5D6E-409C-BE32-E72D297353CC}">
              <c16:uniqueId val="{00000002-09F2-478A-9487-60679418D31E}"/>
            </c:ext>
          </c:extLst>
        </c:ser>
        <c:ser>
          <c:idx val="3"/>
          <c:order val="3"/>
          <c:tx>
            <c:strRef>
              <c:f>'4. Prix du C'!$A$17</c:f>
              <c:strCache>
                <c:ptCount val="1"/>
                <c:pt idx="0">
                  <c:v>Option 3</c:v>
                </c:pt>
              </c:strCache>
            </c:strRef>
          </c:tx>
          <c:spPr>
            <a:ln w="19080">
              <a:solidFill>
                <a:srgbClr val="70AD47"/>
              </a:solidFill>
              <a:round/>
            </a:ln>
          </c:spPr>
          <c:marker>
            <c:symbol val="circle"/>
            <c:size val="5"/>
            <c:spPr>
              <a:solidFill>
                <a:srgbClr val="70AD47"/>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'4. Prix du C'!$C$10:$J$10</c:f>
              <c:numCache>
                <c:formatCode>General</c:formatCode>
                <c:ptCount val="8"/>
                <c:pt idx="0">
                  <c:v>2018</c:v>
                </c:pt>
                <c:pt idx="1">
                  <c:v>2020</c:v>
                </c:pt>
                <c:pt idx="2">
                  <c:v>2025</c:v>
                </c:pt>
                <c:pt idx="3">
                  <c:v>2030</c:v>
                </c:pt>
                <c:pt idx="4">
                  <c:v>2035</c:v>
                </c:pt>
                <c:pt idx="5">
                  <c:v>2040</c:v>
                </c:pt>
                <c:pt idx="6">
                  <c:v>2045</c:v>
                </c:pt>
                <c:pt idx="7">
                  <c:v>2050</c:v>
                </c:pt>
              </c:numCache>
            </c:numRef>
          </c:xVal>
          <c:yVal>
            <c:numRef>
              <c:f>'4. Prix du C'!$C$17:$J$17</c:f>
              <c:numCache>
                <c:formatCode>General</c:formatCode>
                <c:ptCount val="8"/>
                <c:pt idx="0">
                  <c:v>15.5</c:v>
                </c:pt>
                <c:pt idx="1">
                  <c:v>55</c:v>
                </c:pt>
                <c:pt idx="2">
                  <c:v>65</c:v>
                </c:pt>
                <c:pt idx="3">
                  <c:v>85</c:v>
                </c:pt>
                <c:pt idx="4">
                  <c:v>96</c:v>
                </c:pt>
                <c:pt idx="5">
                  <c:v>105</c:v>
                </c:pt>
                <c:pt idx="6">
                  <c:v>125</c:v>
                </c:pt>
                <c:pt idx="7">
                  <c:v>150</c:v>
                </c:pt>
              </c:numCache>
            </c:numRef>
          </c:yVal>
          <c:smooth val="1"/>
          <c:extLst>
            <c:ext xmlns:c16="http://schemas.microsoft.com/office/drawing/2014/chart" uri="{C3380CC4-5D6E-409C-BE32-E72D297353CC}">
              <c16:uniqueId val="{00000003-09F2-478A-9487-60679418D31E}"/>
            </c:ext>
          </c:extLst>
        </c:ser>
        <c:ser>
          <c:idx val="4"/>
          <c:order val="4"/>
          <c:tx>
            <c:strRef>
              <c:f>'4. Prix du C'!$A$14</c:f>
              <c:strCache>
                <c:ptCount val="1"/>
                <c:pt idx="0">
                  <c:v>EU ref 2020 (€2015)</c:v>
                </c:pt>
              </c:strCache>
            </c:strRef>
          </c:tx>
          <c:spPr>
            <a:ln w="19080">
              <a:solidFill>
                <a:srgbClr val="255E91"/>
              </a:solidFill>
              <a:round/>
            </a:ln>
          </c:spPr>
          <c:marker>
            <c:symbol val="circle"/>
            <c:size val="5"/>
            <c:spPr>
              <a:solidFill>
                <a:srgbClr val="255E91"/>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'4. Prix du C'!$B$10:$J$10</c:f>
              <c:numCache>
                <c:formatCode>General</c:formatCode>
                <c:ptCount val="9"/>
                <c:pt idx="0">
                  <c:v>2015</c:v>
                </c:pt>
                <c:pt idx="1">
                  <c:v>2018</c:v>
                </c:pt>
                <c:pt idx="2">
                  <c:v>2020</c:v>
                </c:pt>
                <c:pt idx="3">
                  <c:v>2025</c:v>
                </c:pt>
                <c:pt idx="4">
                  <c:v>2030</c:v>
                </c:pt>
                <c:pt idx="5">
                  <c:v>2035</c:v>
                </c:pt>
                <c:pt idx="6">
                  <c:v>2040</c:v>
                </c:pt>
                <c:pt idx="7">
                  <c:v>2045</c:v>
                </c:pt>
                <c:pt idx="8">
                  <c:v>2050</c:v>
                </c:pt>
              </c:numCache>
            </c:numRef>
          </c:xVal>
          <c:yVal>
            <c:numRef>
              <c:f>'4. Prix du C'!$B$14:$J$14</c:f>
              <c:numCache>
                <c:formatCode>General</c:formatCode>
                <c:ptCount val="9"/>
                <c:pt idx="0">
                  <c:v>7.5</c:v>
                </c:pt>
                <c:pt idx="1">
                  <c:v>15.5</c:v>
                </c:pt>
                <c:pt idx="2">
                  <c:v>25</c:v>
                </c:pt>
                <c:pt idx="3">
                  <c:v>26.5</c:v>
                </c:pt>
                <c:pt idx="4">
                  <c:v>30</c:v>
                </c:pt>
                <c:pt idx="5">
                  <c:v>50</c:v>
                </c:pt>
                <c:pt idx="6">
                  <c:v>80</c:v>
                </c:pt>
                <c:pt idx="7">
                  <c:v>120</c:v>
                </c:pt>
                <c:pt idx="8">
                  <c:v>150</c:v>
                </c:pt>
              </c:numCache>
            </c:numRef>
          </c:yVal>
          <c:smooth val="1"/>
          <c:extLst>
            <c:ext xmlns:c16="http://schemas.microsoft.com/office/drawing/2014/chart" uri="{C3380CC4-5D6E-409C-BE32-E72D297353CC}">
              <c16:uniqueId val="{00000004-09F2-478A-9487-60679418D31E}"/>
            </c:ext>
          </c:extLst>
        </c:ser>
        <c:dLbls>
          <c:showLegendKey val="0"/>
          <c:showVal val="0"/>
          <c:showCatName val="0"/>
          <c:showSerName val="0"/>
          <c:showPercent val="0"/>
          <c:showBubbleSize val="0"/>
        </c:dLbls>
        <c:axId val="13917978"/>
        <c:axId val="83130210"/>
      </c:scatterChart>
      <c:valAx>
        <c:axId val="13917978"/>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fr-FR"/>
          </a:p>
        </c:txPr>
        <c:crossAx val="83130210"/>
        <c:crosses val="autoZero"/>
        <c:crossBetween val="midCat"/>
      </c:valAx>
      <c:valAx>
        <c:axId val="83130210"/>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fr-FR"/>
          </a:p>
        </c:txPr>
        <c:crossAx val="13917978"/>
        <c:crosses val="autoZero"/>
        <c:crossBetween val="midCat"/>
      </c:valAx>
      <c:spPr>
        <a:noFill/>
        <a:ln>
          <a:noFill/>
        </a:ln>
      </c:spPr>
    </c:plotArea>
    <c:legend>
      <c:legendPos val="b"/>
      <c:overlay val="0"/>
      <c:spPr>
        <a:noFill/>
        <a:ln>
          <a:noFill/>
        </a:ln>
      </c:spPr>
      <c:txPr>
        <a:bodyPr/>
        <a:lstStyle/>
        <a:p>
          <a:pPr>
            <a:defRPr sz="900" b="0" strike="noStrike" spc="-1">
              <a:solidFill>
                <a:srgbClr val="595959"/>
              </a:solidFill>
              <a:latin typeface="Calibri"/>
            </a:defRPr>
          </a:pPr>
          <a:endParaRPr lang="fr-FR"/>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0" strike="noStrike" spc="-1">
                <a:solidFill>
                  <a:srgbClr val="595959"/>
                </a:solidFill>
                <a:latin typeface="Calibri"/>
              </a:defRPr>
            </a:pPr>
            <a:r>
              <a:rPr lang="fr-FR" sz="1400" b="0" strike="noStrike" spc="-1">
                <a:solidFill>
                  <a:srgbClr val="595959"/>
                </a:solidFill>
                <a:latin typeface="Calibri"/>
              </a:rPr>
              <a:t>EU-ETS prices (€/tCO2eq)</a:t>
            </a:r>
          </a:p>
        </c:rich>
      </c:tx>
      <c:overlay val="0"/>
      <c:spPr>
        <a:noFill/>
        <a:ln>
          <a:noFill/>
        </a:ln>
      </c:spPr>
    </c:title>
    <c:autoTitleDeleted val="0"/>
    <c:plotArea>
      <c:layout/>
      <c:scatterChart>
        <c:scatterStyle val="lineMarker"/>
        <c:varyColors val="0"/>
        <c:ser>
          <c:idx val="0"/>
          <c:order val="0"/>
          <c:tx>
            <c:strRef>
              <c:f>'4. Prix du C'!$A$11</c:f>
              <c:strCache>
                <c:ptCount val="1"/>
                <c:pt idx="0">
                  <c:v>AME 2018 €2016</c:v>
                </c:pt>
              </c:strCache>
            </c:strRef>
          </c:tx>
          <c:spPr>
            <a:ln w="19080">
              <a:solidFill>
                <a:srgbClr val="5B9BD5"/>
              </a:solidFill>
              <a:round/>
            </a:ln>
          </c:spPr>
          <c:marker>
            <c:symbol val="circle"/>
            <c:size val="5"/>
            <c:spPr>
              <a:solidFill>
                <a:srgbClr val="5B9BD5"/>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'4. Prix du C'!$B$10:$J$10</c:f>
              <c:numCache>
                <c:formatCode>General</c:formatCode>
                <c:ptCount val="9"/>
                <c:pt idx="0">
                  <c:v>2015</c:v>
                </c:pt>
                <c:pt idx="1">
                  <c:v>2018</c:v>
                </c:pt>
                <c:pt idx="2">
                  <c:v>2020</c:v>
                </c:pt>
                <c:pt idx="3">
                  <c:v>2025</c:v>
                </c:pt>
                <c:pt idx="4">
                  <c:v>2030</c:v>
                </c:pt>
                <c:pt idx="5">
                  <c:v>2035</c:v>
                </c:pt>
                <c:pt idx="6">
                  <c:v>2040</c:v>
                </c:pt>
                <c:pt idx="7">
                  <c:v>2045</c:v>
                </c:pt>
                <c:pt idx="8">
                  <c:v>2050</c:v>
                </c:pt>
              </c:numCache>
            </c:numRef>
          </c:xVal>
          <c:yVal>
            <c:numRef>
              <c:f>'4. Prix du C'!$B$11:$J$11</c:f>
              <c:numCache>
                <c:formatCode>0.0</c:formatCode>
                <c:ptCount val="9"/>
                <c:pt idx="0">
                  <c:v>7.62</c:v>
                </c:pt>
                <c:pt idx="1">
                  <c:v>12.192</c:v>
                </c:pt>
                <c:pt idx="2">
                  <c:v>15.24</c:v>
                </c:pt>
                <c:pt idx="3">
                  <c:v>22.86</c:v>
                </c:pt>
                <c:pt idx="4">
                  <c:v>34.036000000000001</c:v>
                </c:pt>
                <c:pt idx="5">
                  <c:v>42.671999999999997</c:v>
                </c:pt>
                <c:pt idx="6">
                  <c:v>50.8</c:v>
                </c:pt>
                <c:pt idx="7">
                  <c:v>70.103999999999999</c:v>
                </c:pt>
                <c:pt idx="8">
                  <c:v>89.408000000000001</c:v>
                </c:pt>
              </c:numCache>
            </c:numRef>
          </c:yVal>
          <c:smooth val="1"/>
          <c:extLst>
            <c:ext xmlns:c16="http://schemas.microsoft.com/office/drawing/2014/chart" uri="{C3380CC4-5D6E-409C-BE32-E72D297353CC}">
              <c16:uniqueId val="{00000000-BF9C-4133-AC9B-83AAE09A0AFE}"/>
            </c:ext>
          </c:extLst>
        </c:ser>
        <c:ser>
          <c:idx val="1"/>
          <c:order val="1"/>
          <c:tx>
            <c:strRef>
              <c:f>'4. Prix du C'!$A$13</c:f>
              <c:strCache>
                <c:ptCount val="1"/>
                <c:pt idx="0">
                  <c:v>AME 2021 (€2016)</c:v>
                </c:pt>
              </c:strCache>
            </c:strRef>
          </c:tx>
          <c:spPr>
            <a:ln w="19080">
              <a:solidFill>
                <a:srgbClr val="ED7D31"/>
              </a:solidFill>
              <a:round/>
            </a:ln>
          </c:spPr>
          <c:marker>
            <c:symbol val="circle"/>
            <c:size val="5"/>
            <c:spPr>
              <a:solidFill>
                <a:srgbClr val="ED7D31"/>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'4. Prix du C'!$B$10:$J$10</c:f>
              <c:numCache>
                <c:formatCode>General</c:formatCode>
                <c:ptCount val="9"/>
                <c:pt idx="0">
                  <c:v>2015</c:v>
                </c:pt>
                <c:pt idx="1">
                  <c:v>2018</c:v>
                </c:pt>
                <c:pt idx="2">
                  <c:v>2020</c:v>
                </c:pt>
                <c:pt idx="3">
                  <c:v>2025</c:v>
                </c:pt>
                <c:pt idx="4">
                  <c:v>2030</c:v>
                </c:pt>
                <c:pt idx="5">
                  <c:v>2035</c:v>
                </c:pt>
                <c:pt idx="6">
                  <c:v>2040</c:v>
                </c:pt>
                <c:pt idx="7">
                  <c:v>2045</c:v>
                </c:pt>
                <c:pt idx="8">
                  <c:v>2050</c:v>
                </c:pt>
              </c:numCache>
            </c:numRef>
          </c:xVal>
          <c:yVal>
            <c:numRef>
              <c:f>'4. Prix du C'!$B$13:$J$13</c:f>
              <c:numCache>
                <c:formatCode>General</c:formatCode>
                <c:ptCount val="9"/>
                <c:pt idx="1">
                  <c:v>15.5</c:v>
                </c:pt>
                <c:pt idx="2">
                  <c:v>25</c:v>
                </c:pt>
                <c:pt idx="3">
                  <c:v>28</c:v>
                </c:pt>
                <c:pt idx="4">
                  <c:v>30</c:v>
                </c:pt>
                <c:pt idx="5">
                  <c:v>40</c:v>
                </c:pt>
                <c:pt idx="6">
                  <c:v>53</c:v>
                </c:pt>
                <c:pt idx="7" formatCode="0.0">
                  <c:v>70.103999999999999</c:v>
                </c:pt>
                <c:pt idx="8" formatCode="0.0">
                  <c:v>89.408000000000001</c:v>
                </c:pt>
              </c:numCache>
            </c:numRef>
          </c:yVal>
          <c:smooth val="1"/>
          <c:extLst>
            <c:ext xmlns:c16="http://schemas.microsoft.com/office/drawing/2014/chart" uri="{C3380CC4-5D6E-409C-BE32-E72D297353CC}">
              <c16:uniqueId val="{00000001-BF9C-4133-AC9B-83AAE09A0AFE}"/>
            </c:ext>
          </c:extLst>
        </c:ser>
        <c:ser>
          <c:idx val="2"/>
          <c:order val="2"/>
          <c:tx>
            <c:strRef>
              <c:f>'4. Prix du C'!$A$16</c:f>
              <c:strCache>
                <c:ptCount val="1"/>
                <c:pt idx="0">
                  <c:v>Option 2</c:v>
                </c:pt>
              </c:strCache>
            </c:strRef>
          </c:tx>
          <c:spPr>
            <a:ln w="19080">
              <a:solidFill>
                <a:srgbClr val="A5A5A5"/>
              </a:solidFill>
              <a:round/>
            </a:ln>
          </c:spPr>
          <c:marker>
            <c:symbol val="circle"/>
            <c:size val="5"/>
            <c:spPr>
              <a:solidFill>
                <a:srgbClr val="A5A5A5"/>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'4. Prix du C'!$B$10:$J$10</c:f>
              <c:numCache>
                <c:formatCode>General</c:formatCode>
                <c:ptCount val="9"/>
                <c:pt idx="0">
                  <c:v>2015</c:v>
                </c:pt>
                <c:pt idx="1">
                  <c:v>2018</c:v>
                </c:pt>
                <c:pt idx="2">
                  <c:v>2020</c:v>
                </c:pt>
                <c:pt idx="3">
                  <c:v>2025</c:v>
                </c:pt>
                <c:pt idx="4">
                  <c:v>2030</c:v>
                </c:pt>
                <c:pt idx="5">
                  <c:v>2035</c:v>
                </c:pt>
                <c:pt idx="6">
                  <c:v>2040</c:v>
                </c:pt>
                <c:pt idx="7">
                  <c:v>2045</c:v>
                </c:pt>
                <c:pt idx="8">
                  <c:v>2050</c:v>
                </c:pt>
              </c:numCache>
            </c:numRef>
          </c:xVal>
          <c:yVal>
            <c:numRef>
              <c:f>'4. Prix du C'!$B$16:$J$16</c:f>
              <c:numCache>
                <c:formatCode>General</c:formatCode>
                <c:ptCount val="9"/>
                <c:pt idx="1">
                  <c:v>15.5</c:v>
                </c:pt>
                <c:pt idx="2">
                  <c:v>55</c:v>
                </c:pt>
                <c:pt idx="3">
                  <c:v>60</c:v>
                </c:pt>
                <c:pt idx="4">
                  <c:v>70</c:v>
                </c:pt>
                <c:pt idx="5">
                  <c:v>80</c:v>
                </c:pt>
                <c:pt idx="6">
                  <c:v>90</c:v>
                </c:pt>
                <c:pt idx="7">
                  <c:v>110</c:v>
                </c:pt>
                <c:pt idx="8">
                  <c:v>130</c:v>
                </c:pt>
              </c:numCache>
            </c:numRef>
          </c:yVal>
          <c:smooth val="1"/>
          <c:extLst>
            <c:ext xmlns:c16="http://schemas.microsoft.com/office/drawing/2014/chart" uri="{C3380CC4-5D6E-409C-BE32-E72D297353CC}">
              <c16:uniqueId val="{00000002-BF9C-4133-AC9B-83AAE09A0AFE}"/>
            </c:ext>
          </c:extLst>
        </c:ser>
        <c:ser>
          <c:idx val="3"/>
          <c:order val="3"/>
          <c:tx>
            <c:strRef>
              <c:f>'4. Prix du C'!$A$15</c:f>
              <c:strCache>
                <c:ptCount val="1"/>
                <c:pt idx="0">
                  <c:v>Option 1</c:v>
                </c:pt>
              </c:strCache>
            </c:strRef>
          </c:tx>
          <c:spPr>
            <a:ln w="19080">
              <a:solidFill>
                <a:srgbClr val="FFC000"/>
              </a:solidFill>
              <a:round/>
            </a:ln>
          </c:spPr>
          <c:marker>
            <c:symbol val="circle"/>
            <c:size val="5"/>
            <c:spPr>
              <a:solidFill>
                <a:srgbClr val="FFC000"/>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'4. Prix du C'!$C$10:$J$10</c:f>
              <c:numCache>
                <c:formatCode>General</c:formatCode>
                <c:ptCount val="8"/>
                <c:pt idx="0">
                  <c:v>2018</c:v>
                </c:pt>
                <c:pt idx="1">
                  <c:v>2020</c:v>
                </c:pt>
                <c:pt idx="2">
                  <c:v>2025</c:v>
                </c:pt>
                <c:pt idx="3">
                  <c:v>2030</c:v>
                </c:pt>
                <c:pt idx="4">
                  <c:v>2035</c:v>
                </c:pt>
                <c:pt idx="5">
                  <c:v>2040</c:v>
                </c:pt>
                <c:pt idx="6">
                  <c:v>2045</c:v>
                </c:pt>
                <c:pt idx="7">
                  <c:v>2050</c:v>
                </c:pt>
              </c:numCache>
            </c:numRef>
          </c:xVal>
          <c:yVal>
            <c:numRef>
              <c:f>'4. Prix du C'!$C$15:$J$15</c:f>
              <c:numCache>
                <c:formatCode>General</c:formatCode>
                <c:ptCount val="8"/>
                <c:pt idx="0">
                  <c:v>15.5</c:v>
                </c:pt>
                <c:pt idx="1">
                  <c:v>55</c:v>
                </c:pt>
                <c:pt idx="2">
                  <c:v>60</c:v>
                </c:pt>
                <c:pt idx="3">
                  <c:v>65</c:v>
                </c:pt>
                <c:pt idx="4">
                  <c:v>67</c:v>
                </c:pt>
                <c:pt idx="5">
                  <c:v>70</c:v>
                </c:pt>
                <c:pt idx="6">
                  <c:v>75</c:v>
                </c:pt>
                <c:pt idx="7">
                  <c:v>90</c:v>
                </c:pt>
              </c:numCache>
            </c:numRef>
          </c:yVal>
          <c:smooth val="1"/>
          <c:extLst>
            <c:ext xmlns:c16="http://schemas.microsoft.com/office/drawing/2014/chart" uri="{C3380CC4-5D6E-409C-BE32-E72D297353CC}">
              <c16:uniqueId val="{00000003-BF9C-4133-AC9B-83AAE09A0AFE}"/>
            </c:ext>
          </c:extLst>
        </c:ser>
        <c:ser>
          <c:idx val="4"/>
          <c:order val="4"/>
          <c:tx>
            <c:strRef>
              <c:f>'4. Prix du C'!$A$20</c:f>
              <c:strCache>
                <c:ptCount val="1"/>
                <c:pt idx="0">
                  <c:v>CaarbonPulse (moyen)</c:v>
                </c:pt>
              </c:strCache>
            </c:strRef>
          </c:tx>
          <c:spPr>
            <a:ln w="19080">
              <a:solidFill>
                <a:srgbClr val="4472C4"/>
              </a:solidFill>
              <a:round/>
            </a:ln>
          </c:spPr>
          <c:marker>
            <c:symbol val="circle"/>
            <c:size val="5"/>
            <c:spPr>
              <a:solidFill>
                <a:srgbClr val="4472C4"/>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'4. Prix du C'!$C$10:$F$10</c:f>
              <c:numCache>
                <c:formatCode>General</c:formatCode>
                <c:ptCount val="4"/>
                <c:pt idx="0">
                  <c:v>2018</c:v>
                </c:pt>
                <c:pt idx="1">
                  <c:v>2020</c:v>
                </c:pt>
                <c:pt idx="2">
                  <c:v>2025</c:v>
                </c:pt>
                <c:pt idx="3">
                  <c:v>2030</c:v>
                </c:pt>
              </c:numCache>
            </c:numRef>
          </c:xVal>
          <c:yVal>
            <c:numRef>
              <c:f>'4. Prix du C'!$C$20:$F$20</c:f>
              <c:numCache>
                <c:formatCode>General</c:formatCode>
                <c:ptCount val="4"/>
                <c:pt idx="0">
                  <c:v>15.5</c:v>
                </c:pt>
                <c:pt idx="1">
                  <c:v>56</c:v>
                </c:pt>
                <c:pt idx="2">
                  <c:v>71.25</c:v>
                </c:pt>
                <c:pt idx="3">
                  <c:v>94.7</c:v>
                </c:pt>
              </c:numCache>
            </c:numRef>
          </c:yVal>
          <c:smooth val="1"/>
          <c:extLst>
            <c:ext xmlns:c16="http://schemas.microsoft.com/office/drawing/2014/chart" uri="{C3380CC4-5D6E-409C-BE32-E72D297353CC}">
              <c16:uniqueId val="{00000004-BF9C-4133-AC9B-83AAE09A0AFE}"/>
            </c:ext>
          </c:extLst>
        </c:ser>
        <c:ser>
          <c:idx val="5"/>
          <c:order val="5"/>
          <c:tx>
            <c:strRef>
              <c:f>'4. Prix du C'!$A$17</c:f>
              <c:strCache>
                <c:ptCount val="1"/>
                <c:pt idx="0">
                  <c:v>Option 3</c:v>
                </c:pt>
              </c:strCache>
            </c:strRef>
          </c:tx>
          <c:spPr>
            <a:ln w="19080">
              <a:solidFill>
                <a:srgbClr val="70AD47"/>
              </a:solidFill>
              <a:round/>
            </a:ln>
          </c:spPr>
          <c:marker>
            <c:symbol val="circle"/>
            <c:size val="5"/>
            <c:spPr>
              <a:solidFill>
                <a:srgbClr val="70AD47"/>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'4. Prix du C'!$C$10:$J$10</c:f>
              <c:numCache>
                <c:formatCode>General</c:formatCode>
                <c:ptCount val="8"/>
                <c:pt idx="0">
                  <c:v>2018</c:v>
                </c:pt>
                <c:pt idx="1">
                  <c:v>2020</c:v>
                </c:pt>
                <c:pt idx="2">
                  <c:v>2025</c:v>
                </c:pt>
                <c:pt idx="3">
                  <c:v>2030</c:v>
                </c:pt>
                <c:pt idx="4">
                  <c:v>2035</c:v>
                </c:pt>
                <c:pt idx="5">
                  <c:v>2040</c:v>
                </c:pt>
                <c:pt idx="6">
                  <c:v>2045</c:v>
                </c:pt>
                <c:pt idx="7">
                  <c:v>2050</c:v>
                </c:pt>
              </c:numCache>
            </c:numRef>
          </c:xVal>
          <c:yVal>
            <c:numRef>
              <c:f>'4. Prix du C'!$C$17:$J$17</c:f>
              <c:numCache>
                <c:formatCode>General</c:formatCode>
                <c:ptCount val="8"/>
                <c:pt idx="0">
                  <c:v>15.5</c:v>
                </c:pt>
                <c:pt idx="1">
                  <c:v>55</c:v>
                </c:pt>
                <c:pt idx="2">
                  <c:v>65</c:v>
                </c:pt>
                <c:pt idx="3">
                  <c:v>85</c:v>
                </c:pt>
                <c:pt idx="4">
                  <c:v>96</c:v>
                </c:pt>
                <c:pt idx="5">
                  <c:v>105</c:v>
                </c:pt>
                <c:pt idx="6">
                  <c:v>125</c:v>
                </c:pt>
                <c:pt idx="7">
                  <c:v>150</c:v>
                </c:pt>
              </c:numCache>
            </c:numRef>
          </c:yVal>
          <c:smooth val="1"/>
          <c:extLst>
            <c:ext xmlns:c16="http://schemas.microsoft.com/office/drawing/2014/chart" uri="{C3380CC4-5D6E-409C-BE32-E72D297353CC}">
              <c16:uniqueId val="{00000005-BF9C-4133-AC9B-83AAE09A0AFE}"/>
            </c:ext>
          </c:extLst>
        </c:ser>
        <c:ser>
          <c:idx val="6"/>
          <c:order val="6"/>
          <c:tx>
            <c:strRef>
              <c:f>'4. Prix du C'!$A$14</c:f>
              <c:strCache>
                <c:ptCount val="1"/>
                <c:pt idx="0">
                  <c:v>EU ref 2020 (€2015)</c:v>
                </c:pt>
              </c:strCache>
            </c:strRef>
          </c:tx>
          <c:spPr>
            <a:ln w="19080">
              <a:solidFill>
                <a:srgbClr val="255E91"/>
              </a:solidFill>
              <a:round/>
            </a:ln>
          </c:spPr>
          <c:marker>
            <c:symbol val="circle"/>
            <c:size val="5"/>
            <c:spPr>
              <a:solidFill>
                <a:srgbClr val="255E91"/>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'4. Prix du C'!$B$10:$J$10</c:f>
              <c:numCache>
                <c:formatCode>General</c:formatCode>
                <c:ptCount val="9"/>
                <c:pt idx="0">
                  <c:v>2015</c:v>
                </c:pt>
                <c:pt idx="1">
                  <c:v>2018</c:v>
                </c:pt>
                <c:pt idx="2">
                  <c:v>2020</c:v>
                </c:pt>
                <c:pt idx="3">
                  <c:v>2025</c:v>
                </c:pt>
                <c:pt idx="4">
                  <c:v>2030</c:v>
                </c:pt>
                <c:pt idx="5">
                  <c:v>2035</c:v>
                </c:pt>
                <c:pt idx="6">
                  <c:v>2040</c:v>
                </c:pt>
                <c:pt idx="7">
                  <c:v>2045</c:v>
                </c:pt>
                <c:pt idx="8">
                  <c:v>2050</c:v>
                </c:pt>
              </c:numCache>
            </c:numRef>
          </c:xVal>
          <c:yVal>
            <c:numRef>
              <c:f>'4. Prix du C'!$B$14:$J$14</c:f>
              <c:numCache>
                <c:formatCode>General</c:formatCode>
                <c:ptCount val="9"/>
                <c:pt idx="0">
                  <c:v>7.5</c:v>
                </c:pt>
                <c:pt idx="1">
                  <c:v>15.5</c:v>
                </c:pt>
                <c:pt idx="2">
                  <c:v>25</c:v>
                </c:pt>
                <c:pt idx="3">
                  <c:v>26.5</c:v>
                </c:pt>
                <c:pt idx="4">
                  <c:v>30</c:v>
                </c:pt>
                <c:pt idx="5">
                  <c:v>50</c:v>
                </c:pt>
                <c:pt idx="6">
                  <c:v>80</c:v>
                </c:pt>
                <c:pt idx="7">
                  <c:v>120</c:v>
                </c:pt>
                <c:pt idx="8">
                  <c:v>150</c:v>
                </c:pt>
              </c:numCache>
            </c:numRef>
          </c:yVal>
          <c:smooth val="1"/>
          <c:extLst>
            <c:ext xmlns:c16="http://schemas.microsoft.com/office/drawing/2014/chart" uri="{C3380CC4-5D6E-409C-BE32-E72D297353CC}">
              <c16:uniqueId val="{00000006-BF9C-4133-AC9B-83AAE09A0AFE}"/>
            </c:ext>
          </c:extLst>
        </c:ser>
        <c:dLbls>
          <c:showLegendKey val="0"/>
          <c:showVal val="0"/>
          <c:showCatName val="0"/>
          <c:showSerName val="0"/>
          <c:showPercent val="0"/>
          <c:showBubbleSize val="0"/>
        </c:dLbls>
        <c:axId val="92340145"/>
        <c:axId val="80223323"/>
      </c:scatterChart>
      <c:valAx>
        <c:axId val="92340145"/>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fr-FR"/>
          </a:p>
        </c:txPr>
        <c:crossAx val="80223323"/>
        <c:crosses val="autoZero"/>
        <c:crossBetween val="midCat"/>
      </c:valAx>
      <c:valAx>
        <c:axId val="80223323"/>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fr-FR"/>
          </a:p>
        </c:txPr>
        <c:crossAx val="92340145"/>
        <c:crosses val="autoZero"/>
        <c:crossBetween val="midCat"/>
      </c:valAx>
      <c:spPr>
        <a:noFill/>
        <a:ln>
          <a:noFill/>
        </a:ln>
      </c:spPr>
    </c:plotArea>
    <c:legend>
      <c:legendPos val="b"/>
      <c:overlay val="0"/>
      <c:spPr>
        <a:noFill/>
        <a:ln>
          <a:noFill/>
        </a:ln>
      </c:spPr>
      <c:txPr>
        <a:bodyPr/>
        <a:lstStyle/>
        <a:p>
          <a:pPr>
            <a:defRPr sz="900" b="0" strike="noStrike" spc="-1">
              <a:solidFill>
                <a:srgbClr val="595959"/>
              </a:solidFill>
              <a:latin typeface="Calibri"/>
            </a:defRPr>
          </a:pPr>
          <a:endParaRPr lang="fr-FR"/>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4</xdr:col>
      <xdr:colOff>502920</xdr:colOff>
      <xdr:row>60</xdr:row>
      <xdr:rowOff>168120</xdr:rowOff>
    </xdr:from>
    <xdr:to>
      <xdr:col>11</xdr:col>
      <xdr:colOff>353520</xdr:colOff>
      <xdr:row>86</xdr:row>
      <xdr:rowOff>139320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198720</xdr:colOff>
      <xdr:row>0</xdr:row>
      <xdr:rowOff>0</xdr:rowOff>
    </xdr:from>
    <xdr:to>
      <xdr:col>17</xdr:col>
      <xdr:colOff>195480</xdr:colOff>
      <xdr:row>18</xdr:row>
      <xdr:rowOff>46440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270720</xdr:colOff>
      <xdr:row>0</xdr:row>
      <xdr:rowOff>83520</xdr:rowOff>
    </xdr:from>
    <xdr:to>
      <xdr:col>17</xdr:col>
      <xdr:colOff>523080</xdr:colOff>
      <xdr:row>13</xdr:row>
      <xdr:rowOff>6563</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454457</xdr:colOff>
      <xdr:row>1</xdr:row>
      <xdr:rowOff>131109</xdr:rowOff>
    </xdr:from>
    <xdr:to>
      <xdr:col>17</xdr:col>
      <xdr:colOff>352937</xdr:colOff>
      <xdr:row>21</xdr:row>
      <xdr:rowOff>1952</xdr:rowOff>
    </xdr:to>
    <xdr:graphicFrame macro="">
      <xdr:nvGraphicFramePr>
        <xdr:cNvPr id="4"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419304</xdr:colOff>
      <xdr:row>1</xdr:row>
      <xdr:rowOff>4543</xdr:rowOff>
    </xdr:from>
    <xdr:to>
      <xdr:col>22</xdr:col>
      <xdr:colOff>333596</xdr:colOff>
      <xdr:row>20</xdr:row>
      <xdr:rowOff>61423</xdr:rowOff>
    </xdr:to>
    <xdr:graphicFrame macro="">
      <xdr:nvGraphicFramePr>
        <xdr:cNvPr id="5"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alcul%20PIB%20branches/20230428%20cadrage%20AME-AMS%202023%20travail%20PIB%20branch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Population"/>
      <sheetName val="pop_active"/>
      <sheetName val="2. PIB"/>
      <sheetName val="PIB Branches (2)"/>
      <sheetName val="PIB Branches"/>
      <sheetName val="3. Prix des énergies"/>
      <sheetName val="4. Prix du C"/>
      <sheetName val="5. Dynamiques sociales"/>
    </sheetNames>
    <sheetDataSet>
      <sheetData sheetId="0" refreshError="1"/>
      <sheetData sheetId="1" refreshError="1"/>
      <sheetData sheetId="2">
        <row r="35">
          <cell r="I35">
            <v>106.85940896129686</v>
          </cell>
          <cell r="N35">
            <v>111.65235823387819</v>
          </cell>
          <cell r="S35">
            <v>117.6711484490026</v>
          </cell>
          <cell r="X35">
            <v>125.74105158608579</v>
          </cell>
          <cell r="AC35">
            <v>135.50337187391634</v>
          </cell>
          <cell r="AH35">
            <v>146.04977385229753</v>
          </cell>
        </row>
      </sheetData>
      <sheetData sheetId="3">
        <row r="38">
          <cell r="T38">
            <v>2018</v>
          </cell>
          <cell r="U38">
            <v>2019</v>
          </cell>
          <cell r="V38">
            <v>2020</v>
          </cell>
          <cell r="W38">
            <v>2025</v>
          </cell>
          <cell r="X38">
            <v>2030</v>
          </cell>
          <cell r="Y38">
            <v>2035</v>
          </cell>
          <cell r="Z38">
            <v>2040</v>
          </cell>
          <cell r="AA38">
            <v>2045</v>
          </cell>
          <cell r="AB38">
            <v>2050</v>
          </cell>
        </row>
        <row r="39">
          <cell r="S39" t="str">
            <v>AMS 18</v>
          </cell>
          <cell r="T39">
            <v>100</v>
          </cell>
          <cell r="U39">
            <v>101.4</v>
          </cell>
          <cell r="V39">
            <v>102.81959999999999</v>
          </cell>
          <cell r="W39">
            <v>108.06443294726201</v>
          </cell>
          <cell r="X39">
            <v>114.14018098909099</v>
          </cell>
          <cell r="Y39">
            <v>121.754713661197</v>
          </cell>
          <cell r="Z39">
            <v>129.87722789871</v>
          </cell>
          <cell r="AA39">
            <v>138.54161222531201</v>
          </cell>
          <cell r="AB39">
            <v>147.78401593971299</v>
          </cell>
        </row>
        <row r="40">
          <cell r="S40" t="str">
            <v>AME 18</v>
          </cell>
          <cell r="T40">
            <v>100</v>
          </cell>
          <cell r="U40">
            <v>101.7</v>
          </cell>
          <cell r="V40">
            <v>103.4289</v>
          </cell>
          <cell r="W40">
            <v>112.52439082213699</v>
          </cell>
          <cell r="X40">
            <v>122.419735005332</v>
          </cell>
          <cell r="Y40">
            <v>124.887795368493</v>
          </cell>
          <cell r="Z40">
            <v>127.40561341129499</v>
          </cell>
          <cell r="AA40">
            <v>129.974192280469</v>
          </cell>
          <cell r="AB40">
            <v>132.59455534682601</v>
          </cell>
        </row>
        <row r="41">
          <cell r="S41" t="str">
            <v>AME 21</v>
          </cell>
          <cell r="T41">
            <v>100</v>
          </cell>
          <cell r="U41">
            <v>101.31539403407101</v>
          </cell>
          <cell r="V41">
            <v>92.958615750341806</v>
          </cell>
          <cell r="W41">
            <v>105.83343399148301</v>
          </cell>
          <cell r="X41">
            <v>111.232002761643</v>
          </cell>
          <cell r="Y41">
            <v>118.652524718704</v>
          </cell>
          <cell r="Z41">
            <v>126.568085376391</v>
          </cell>
          <cell r="AA41">
            <v>135.01170981252699</v>
          </cell>
          <cell r="AB41">
            <v>144.01862627766499</v>
          </cell>
        </row>
        <row r="42">
          <cell r="S42" t="str">
            <v>Ecref</v>
          </cell>
          <cell r="T42">
            <v>100</v>
          </cell>
          <cell r="U42">
            <v>100.637830425595</v>
          </cell>
          <cell r="V42">
            <v>92.625754616218302</v>
          </cell>
          <cell r="W42">
            <v>105.081100657764</v>
          </cell>
          <cell r="X42">
            <v>108.05230346096801</v>
          </cell>
          <cell r="Y42">
            <v>112.373387824452</v>
          </cell>
          <cell r="Z42">
            <v>118.559911781263</v>
          </cell>
          <cell r="AA42">
            <v>126.625026965546</v>
          </cell>
          <cell r="AB42">
            <v>136.11526444239399</v>
          </cell>
        </row>
        <row r="43">
          <cell r="S43" t="str">
            <v>AME 23</v>
          </cell>
          <cell r="T43">
            <v>100</v>
          </cell>
          <cell r="U43">
            <v>104.0875272873466</v>
          </cell>
          <cell r="V43">
            <v>95.847439874948478</v>
          </cell>
          <cell r="W43">
            <v>98.347660113108958</v>
          </cell>
          <cell r="X43">
            <v>100.96320786466491</v>
          </cell>
          <cell r="Y43">
            <v>104.87741832157131</v>
          </cell>
          <cell r="Z43">
            <v>110.25381691541823</v>
          </cell>
          <cell r="AA43">
            <v>117.14973444824879</v>
          </cell>
          <cell r="AB43">
            <v>124.91331188555338</v>
          </cell>
        </row>
        <row r="44">
          <cell r="S44" t="str">
            <v>AMS 23</v>
          </cell>
          <cell r="T44">
            <v>100</v>
          </cell>
          <cell r="U44">
            <v>104.0875272873466</v>
          </cell>
          <cell r="V44">
            <v>95.847439874948478</v>
          </cell>
          <cell r="W44">
            <v>99.398795906705558</v>
          </cell>
          <cell r="X44">
            <v>103.31076460230702</v>
          </cell>
          <cell r="Y44">
            <v>107.57710922467218</v>
          </cell>
          <cell r="Z44">
            <v>114.13134263659279</v>
          </cell>
          <cell r="AA44">
            <v>122.16998081188308</v>
          </cell>
          <cell r="AB44">
            <v>131.27508045499769</v>
          </cell>
        </row>
        <row r="61">
          <cell r="T61">
            <v>2020</v>
          </cell>
          <cell r="U61">
            <v>2025</v>
          </cell>
          <cell r="V61">
            <v>2030</v>
          </cell>
          <cell r="W61">
            <v>2050</v>
          </cell>
        </row>
        <row r="62">
          <cell r="S62" t="str">
            <v>Agriculture ECRef</v>
          </cell>
          <cell r="T62">
            <v>34104.681647137397</v>
          </cell>
          <cell r="U62">
            <v>35181.630853972099</v>
          </cell>
          <cell r="V62">
            <v>35288.436990753398</v>
          </cell>
          <cell r="W62">
            <v>35635.050576822803</v>
          </cell>
        </row>
        <row r="63">
          <cell r="S63" t="str">
            <v>Agriculture 3ME</v>
          </cell>
          <cell r="T63">
            <v>42989.935766016497</v>
          </cell>
          <cell r="U63">
            <v>44754.456550475174</v>
          </cell>
          <cell r="V63">
            <v>47050.411898029139</v>
          </cell>
          <cell r="W63">
            <v>59649.631396968412</v>
          </cell>
        </row>
        <row r="64">
          <cell r="S64" t="str">
            <v>Industrie ECRef</v>
          </cell>
          <cell r="T64">
            <v>215980.157747688</v>
          </cell>
          <cell r="U64">
            <v>241198.67860881699</v>
          </cell>
          <cell r="V64">
            <v>249919.95987452299</v>
          </cell>
          <cell r="W64">
            <v>323853.201737786</v>
          </cell>
        </row>
        <row r="65">
          <cell r="S65" t="str">
            <v>Industrie 3ME</v>
          </cell>
          <cell r="T65">
            <v>244783.32701374113</v>
          </cell>
          <cell r="U65">
            <v>260473.96759423116</v>
          </cell>
          <cell r="V65">
            <v>279358.82540693344</v>
          </cell>
          <cell r="W65">
            <v>374882.69677066593</v>
          </cell>
        </row>
        <row r="66">
          <cell r="S66" t="str">
            <v>Construction ECRef</v>
          </cell>
          <cell r="T66">
            <v>90720.938362229004</v>
          </cell>
          <cell r="U66">
            <v>114692.586912556</v>
          </cell>
          <cell r="V66">
            <v>118532.702148422</v>
          </cell>
          <cell r="W66">
            <v>147322.870789687</v>
          </cell>
        </row>
        <row r="67">
          <cell r="S67" t="str">
            <v>Construction 3ME</v>
          </cell>
          <cell r="T67">
            <v>121227.98654807996</v>
          </cell>
          <cell r="U67">
            <v>131858.68006885418</v>
          </cell>
          <cell r="V67">
            <v>134504.89283816071</v>
          </cell>
          <cell r="W67">
            <v>143709.76231030442</v>
          </cell>
        </row>
        <row r="68">
          <cell r="S68" t="str">
            <v>Services Ecref</v>
          </cell>
          <cell r="T68">
            <v>1544431.62068959</v>
          </cell>
          <cell r="U68">
            <v>1755919.7893245199</v>
          </cell>
          <cell r="V68">
            <v>1852620.8452788501</v>
          </cell>
          <cell r="W68">
            <v>2511046.8666440998</v>
          </cell>
        </row>
        <row r="69">
          <cell r="S69" t="str">
            <v>Services 3ME</v>
          </cell>
          <cell r="T69">
            <v>1936854.0140306717</v>
          </cell>
          <cell r="U69">
            <v>2068981.7760874296</v>
          </cell>
          <cell r="V69">
            <v>2220027.8583244286</v>
          </cell>
          <cell r="W69">
            <v>3029573.7423439119</v>
          </cell>
        </row>
        <row r="72">
          <cell r="T72">
            <v>2020</v>
          </cell>
          <cell r="U72">
            <v>2025</v>
          </cell>
          <cell r="V72">
            <v>2030</v>
          </cell>
          <cell r="W72">
            <v>2050</v>
          </cell>
        </row>
        <row r="73">
          <cell r="S73" t="str">
            <v>Agriculture ECRef</v>
          </cell>
          <cell r="T73">
            <v>1.7774358946595601E-2</v>
          </cell>
          <cell r="U73">
            <v>1.6105072116216E-2</v>
          </cell>
          <cell r="V73">
            <v>1.53834387036231E-2</v>
          </cell>
          <cell r="W73">
            <v>1.16632218978386E-2</v>
          </cell>
        </row>
        <row r="74">
          <cell r="S74" t="str">
            <v>Agrocimtire 3ME</v>
          </cell>
          <cell r="T74">
            <v>1.7465876275475609E-2</v>
          </cell>
          <cell r="U74">
            <v>1.7068055492376617E-2</v>
          </cell>
          <cell r="V74">
            <v>1.6791079375709027E-2</v>
          </cell>
          <cell r="W74">
            <v>1.5926361249031559E-2</v>
          </cell>
        </row>
        <row r="75">
          <cell r="S75" t="str">
            <v>Industrie ECRef</v>
          </cell>
          <cell r="T75">
            <v>0.11256251821579401</v>
          </cell>
          <cell r="U75">
            <v>0.110413361150153</v>
          </cell>
          <cell r="V75">
            <v>0.108948673032729</v>
          </cell>
          <cell r="W75">
            <v>0.105995970064653</v>
          </cell>
        </row>
        <row r="76">
          <cell r="S76" t="str">
            <v>Industrie 3ME</v>
          </cell>
          <cell r="T76">
            <v>0.10587552687134863</v>
          </cell>
          <cell r="U76">
            <v>0.10544150590315453</v>
          </cell>
          <cell r="V76">
            <v>0.1056798429305109</v>
          </cell>
          <cell r="W76">
            <v>0.10594883716218216</v>
          </cell>
        </row>
        <row r="77">
          <cell r="S77" t="str">
            <v>Construction ECRef</v>
          </cell>
          <cell r="T77">
            <v>4.7281090001248603E-2</v>
          </cell>
          <cell r="U77">
            <v>5.2502750400882398E-2</v>
          </cell>
          <cell r="V77">
            <v>5.1672465922841901E-2</v>
          </cell>
          <cell r="W77">
            <v>4.8218237517089105E-2</v>
          </cell>
        </row>
        <row r="78">
          <cell r="S78" t="str">
            <v>Construction 3ME</v>
          </cell>
          <cell r="T78">
            <v>4.9252295367409035E-2</v>
          </cell>
          <cell r="U78">
            <v>5.0287087410579731E-2</v>
          </cell>
          <cell r="V78">
            <v>4.8001329658102249E-2</v>
          </cell>
          <cell r="W78">
            <v>3.8370288901444768E-2</v>
          </cell>
        </row>
        <row r="79">
          <cell r="S79" t="str">
            <v>Services Ecref</v>
          </cell>
          <cell r="T79">
            <v>0.80491242459415502</v>
          </cell>
          <cell r="U79">
            <v>0.80380625203931699</v>
          </cell>
          <cell r="V79">
            <v>0.80762089921606006</v>
          </cell>
          <cell r="W79">
            <v>0.82185646792910205</v>
          </cell>
        </row>
        <row r="80">
          <cell r="S80" t="str">
            <v>Services 3ME</v>
          </cell>
          <cell r="T80">
            <v>0.78690167756565221</v>
          </cell>
          <cell r="U80">
            <v>0.78904981735503266</v>
          </cell>
          <cell r="V80">
            <v>0.79227072583762537</v>
          </cell>
          <cell r="W80">
            <v>0.8088916011910483</v>
          </cell>
        </row>
      </sheetData>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insee.fr/fr/statistiques/5225246" TargetMode="External"/><Relationship Id="rId1" Type="http://schemas.openxmlformats.org/officeDocument/2006/relationships/hyperlink" Target="https://www.insee.fr/fr/statistiques/2859843"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insee.fr/fr/statistiques/6453758?sommaire=6453776"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publications.banque-france.fr/projections-macroeconomiques-mars-2023" TargetMode="External"/><Relationship Id="rId1" Type="http://schemas.openxmlformats.org/officeDocument/2006/relationships/hyperlink" Target="https://publications.banque-france.fr/projections-macroeconomiques-septembre-2021"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op.europa.eu/en/publication-detail/-/publication/96c2ca82-e85e-11eb-93a8-01aa75ed71a1/language-en/format-PDF/source-21990397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E75B6"/>
  </sheetPr>
  <dimension ref="A2:AH59"/>
  <sheetViews>
    <sheetView topLeftCell="A4" zoomScale="72" zoomScaleNormal="72" workbookViewId="0">
      <selection activeCell="AG23" sqref="AG23"/>
    </sheetView>
  </sheetViews>
  <sheetFormatPr baseColWidth="10" defaultColWidth="8.88671875" defaultRowHeight="14.4" x14ac:dyDescent="0.3"/>
  <cols>
    <col min="1" max="1" width="27" customWidth="1"/>
    <col min="2" max="2" width="14.109375" customWidth="1"/>
    <col min="3" max="1025" width="10.44140625" customWidth="1"/>
  </cols>
  <sheetData>
    <row r="2" spans="1:34" x14ac:dyDescent="0.3">
      <c r="B2" s="97" t="s">
        <v>0</v>
      </c>
      <c r="C2" s="97"/>
      <c r="D2" s="97"/>
      <c r="E2" s="97"/>
      <c r="F2" s="97"/>
      <c r="G2" s="97"/>
      <c r="H2" s="97"/>
      <c r="I2" s="97"/>
      <c r="J2" s="97"/>
    </row>
    <row r="3" spans="1:34" x14ac:dyDescent="0.3">
      <c r="B3" s="1" t="s">
        <v>1</v>
      </c>
      <c r="C3" s="2">
        <v>2018</v>
      </c>
      <c r="D3" s="2">
        <v>2020</v>
      </c>
      <c r="E3" s="2">
        <v>2025</v>
      </c>
      <c r="F3" s="2">
        <v>2030</v>
      </c>
      <c r="G3" s="2">
        <v>2035</v>
      </c>
      <c r="H3" s="2">
        <v>2040</v>
      </c>
      <c r="I3" s="2">
        <v>2045</v>
      </c>
      <c r="J3" s="3">
        <v>2050</v>
      </c>
    </row>
    <row r="4" spans="1:34" x14ac:dyDescent="0.3">
      <c r="B4" s="1" t="s">
        <v>2</v>
      </c>
      <c r="C4" s="4">
        <f>B20</f>
        <v>66.992000000000004</v>
      </c>
      <c r="D4" s="4">
        <f>D40</f>
        <v>67.441850000000002</v>
      </c>
      <c r="E4" s="4">
        <f>I40</f>
        <v>68</v>
      </c>
      <c r="F4" s="4">
        <f>N40</f>
        <v>68.599999999999994</v>
      </c>
      <c r="G4" s="4">
        <f>S40</f>
        <v>69</v>
      </c>
      <c r="H4" s="4">
        <f>X40</f>
        <v>69.2</v>
      </c>
      <c r="I4" s="4">
        <f>AC40</f>
        <v>69.3</v>
      </c>
      <c r="J4" s="5">
        <f>AH40</f>
        <v>69.2</v>
      </c>
    </row>
    <row r="5" spans="1:34" x14ac:dyDescent="0.3">
      <c r="B5" s="6" t="s">
        <v>3</v>
      </c>
      <c r="C5" s="4">
        <f>B41</f>
        <v>64.880941050502656</v>
      </c>
      <c r="D5" s="4">
        <f>D41</f>
        <v>65.320191375337856</v>
      </c>
      <c r="E5" s="4">
        <f>I41</f>
        <v>65.867326732673263</v>
      </c>
      <c r="F5" s="4">
        <f>N41</f>
        <v>66.451350457818847</v>
      </c>
      <c r="G5" s="4">
        <f>S41</f>
        <v>66.835909090909098</v>
      </c>
      <c r="H5" s="4">
        <f>X41</f>
        <v>67.022387828850242</v>
      </c>
      <c r="I5" s="4">
        <f>AC41</f>
        <v>67.109410500460541</v>
      </c>
      <c r="J5" s="5">
        <f>AH41</f>
        <v>66.999160784749634</v>
      </c>
    </row>
    <row r="6" spans="1:34" x14ac:dyDescent="0.3">
      <c r="B6" s="7" t="s">
        <v>4</v>
      </c>
      <c r="C6" s="8">
        <f>B42</f>
        <v>2.1110589494973531</v>
      </c>
      <c r="D6" s="8">
        <f>D42</f>
        <v>2.1216586246621469</v>
      </c>
      <c r="E6" s="8">
        <f>I42</f>
        <v>2.1326732673267328</v>
      </c>
      <c r="F6" s="8">
        <f>N42</f>
        <v>2.1486495421811433</v>
      </c>
      <c r="G6" s="8">
        <f>S42</f>
        <v>2.1640909090909091</v>
      </c>
      <c r="H6" s="8">
        <f>X42</f>
        <v>2.1776121711497631</v>
      </c>
      <c r="I6" s="8">
        <f>AC42</f>
        <v>2.1905894995394535</v>
      </c>
      <c r="J6" s="9">
        <f>AH42</f>
        <v>2.2008392152503751</v>
      </c>
    </row>
    <row r="8" spans="1:34" ht="35.1" customHeight="1" x14ac:dyDescent="0.3">
      <c r="B8" s="98" t="s">
        <v>5</v>
      </c>
      <c r="C8" s="98"/>
      <c r="D8" s="98"/>
      <c r="E8" s="98"/>
      <c r="F8" s="98"/>
      <c r="G8" s="98"/>
      <c r="H8" s="98"/>
      <c r="I8" s="98"/>
      <c r="J8" s="98"/>
      <c r="K8" s="10"/>
      <c r="L8" s="10"/>
      <c r="M8" s="10"/>
    </row>
    <row r="9" spans="1:34" x14ac:dyDescent="0.3">
      <c r="B9" s="10"/>
      <c r="C9" s="10"/>
      <c r="D9" s="10"/>
      <c r="E9" s="10"/>
      <c r="F9" s="10"/>
      <c r="G9" s="10"/>
      <c r="H9" s="10"/>
      <c r="I9" s="10"/>
      <c r="J9" s="10"/>
      <c r="K9" s="10"/>
      <c r="L9" s="10"/>
      <c r="M9" s="10"/>
    </row>
    <row r="10" spans="1:34" x14ac:dyDescent="0.3">
      <c r="A10" t="s">
        <v>6</v>
      </c>
    </row>
    <row r="11" spans="1:34" x14ac:dyDescent="0.3">
      <c r="A11" t="s">
        <v>7</v>
      </c>
      <c r="B11" t="s">
        <v>8</v>
      </c>
      <c r="G11" s="95" t="s">
        <v>189</v>
      </c>
    </row>
    <row r="12" spans="1:34" x14ac:dyDescent="0.3">
      <c r="A12" t="s">
        <v>9</v>
      </c>
      <c r="B12" s="11" t="s">
        <v>10</v>
      </c>
    </row>
    <row r="13" spans="1:34" x14ac:dyDescent="0.3">
      <c r="B13" t="s">
        <v>11</v>
      </c>
    </row>
    <row r="14" spans="1:34" x14ac:dyDescent="0.3">
      <c r="A14" t="s">
        <v>12</v>
      </c>
      <c r="B14" t="s">
        <v>13</v>
      </c>
    </row>
    <row r="16" spans="1:34" x14ac:dyDescent="0.3">
      <c r="B16" s="12">
        <v>2018</v>
      </c>
      <c r="C16" s="12">
        <v>2019</v>
      </c>
      <c r="D16" s="12">
        <v>2020</v>
      </c>
      <c r="E16" s="12">
        <v>2021</v>
      </c>
      <c r="F16" s="12">
        <v>2022</v>
      </c>
      <c r="G16" s="12">
        <v>2023</v>
      </c>
      <c r="H16" s="12">
        <v>2024</v>
      </c>
      <c r="I16" s="12">
        <v>2025</v>
      </c>
      <c r="J16" s="12">
        <v>2026</v>
      </c>
      <c r="K16" s="12">
        <v>2027</v>
      </c>
      <c r="L16" s="12">
        <v>2028</v>
      </c>
      <c r="M16" s="12">
        <v>2029</v>
      </c>
      <c r="N16" s="12">
        <v>2030</v>
      </c>
      <c r="O16" s="12">
        <v>2031</v>
      </c>
      <c r="P16" s="12">
        <v>2032</v>
      </c>
      <c r="Q16" s="12">
        <v>2033</v>
      </c>
      <c r="R16" s="12">
        <v>2034</v>
      </c>
      <c r="S16" s="12">
        <v>2035</v>
      </c>
      <c r="T16" s="12">
        <v>2036</v>
      </c>
      <c r="U16" s="12">
        <v>2037</v>
      </c>
      <c r="V16" s="12">
        <v>2038</v>
      </c>
      <c r="W16" s="12">
        <v>2039</v>
      </c>
      <c r="X16" s="12">
        <v>2040</v>
      </c>
      <c r="Y16" s="12">
        <v>2041</v>
      </c>
      <c r="Z16" s="12">
        <v>2042</v>
      </c>
      <c r="AA16" s="12">
        <v>2043</v>
      </c>
      <c r="AB16" s="12">
        <v>2044</v>
      </c>
      <c r="AC16" s="12">
        <v>2045</v>
      </c>
      <c r="AD16" s="12">
        <v>2046</v>
      </c>
      <c r="AE16" s="12">
        <v>2047</v>
      </c>
      <c r="AF16" s="12">
        <v>2048</v>
      </c>
      <c r="AG16" s="12">
        <v>2049</v>
      </c>
      <c r="AH16" s="12">
        <v>2050</v>
      </c>
    </row>
    <row r="17" spans="1:34" x14ac:dyDescent="0.3">
      <c r="A17" t="s">
        <v>14</v>
      </c>
      <c r="D17">
        <v>67.819999999999993</v>
      </c>
      <c r="I17">
        <v>69.093000000000004</v>
      </c>
      <c r="N17">
        <v>70.281000000000006</v>
      </c>
      <c r="S17">
        <v>71.417000000000002</v>
      </c>
      <c r="X17">
        <v>72.448999999999998</v>
      </c>
      <c r="AC17">
        <v>73.311999999999998</v>
      </c>
      <c r="AH17">
        <v>74.025000000000006</v>
      </c>
    </row>
    <row r="18" spans="1:34" x14ac:dyDescent="0.3">
      <c r="A18" s="13" t="s">
        <v>15</v>
      </c>
      <c r="B18" s="13"/>
      <c r="C18" s="13">
        <v>67.012883000000002</v>
      </c>
      <c r="D18" s="14">
        <v>67.204763</v>
      </c>
      <c r="E18" s="14">
        <v>67.388433000000006</v>
      </c>
      <c r="F18" s="14">
        <v>67.575000000000003</v>
      </c>
      <c r="G18" s="14">
        <v>67.765465000000006</v>
      </c>
      <c r="H18" s="14">
        <v>67.955439999999996</v>
      </c>
      <c r="I18" s="14">
        <v>68.145742999999996</v>
      </c>
      <c r="J18" s="14">
        <v>68.335445000000007</v>
      </c>
      <c r="K18" s="14">
        <v>68.526661000000004</v>
      </c>
      <c r="L18" s="14">
        <v>68.718934000000004</v>
      </c>
      <c r="M18" s="14">
        <v>68.916612999999998</v>
      </c>
      <c r="N18" s="14">
        <v>69.116879999999995</v>
      </c>
      <c r="O18" s="14">
        <v>69.319056000000003</v>
      </c>
      <c r="P18" s="14">
        <v>69.521761999999995</v>
      </c>
      <c r="Q18" s="14">
        <v>69.722271000000006</v>
      </c>
      <c r="R18" s="14">
        <v>69.91583</v>
      </c>
      <c r="S18" s="14">
        <v>70.104962</v>
      </c>
      <c r="T18" s="14">
        <v>70.288808000000003</v>
      </c>
      <c r="U18" s="14">
        <v>70.465976999999995</v>
      </c>
      <c r="V18" s="14">
        <v>70.633769999999998</v>
      </c>
      <c r="W18" s="14">
        <v>70.788492000000005</v>
      </c>
      <c r="X18" s="14">
        <v>70.926210999999995</v>
      </c>
      <c r="Y18" s="13"/>
      <c r="Z18" s="13"/>
      <c r="AA18" s="13"/>
      <c r="AB18" s="13"/>
      <c r="AC18" s="13"/>
      <c r="AD18" s="13"/>
      <c r="AE18" s="13"/>
      <c r="AF18" s="13"/>
      <c r="AG18" s="13"/>
      <c r="AH18" s="13"/>
    </row>
    <row r="19" spans="1:34" x14ac:dyDescent="0.3">
      <c r="A19" t="s">
        <v>16</v>
      </c>
      <c r="B19" s="15">
        <v>67.240666000000004</v>
      </c>
      <c r="C19" s="15">
        <v>67.483286000000007</v>
      </c>
      <c r="D19" s="15">
        <v>67.707069000000004</v>
      </c>
      <c r="E19" s="15">
        <v>67.911946</v>
      </c>
      <c r="F19" s="15">
        <v>68.111450000000005</v>
      </c>
      <c r="G19" s="15">
        <v>68.305942000000002</v>
      </c>
      <c r="H19" s="15">
        <v>68.495774999999995</v>
      </c>
      <c r="I19" s="15">
        <v>68.681546999999995</v>
      </c>
      <c r="J19" s="15">
        <v>68.863999000000007</v>
      </c>
      <c r="K19" s="15">
        <v>69.043799000000007</v>
      </c>
      <c r="L19" s="15">
        <v>69.221366000000003</v>
      </c>
      <c r="M19" s="15">
        <v>69.396844000000002</v>
      </c>
      <c r="N19" s="15">
        <v>69.570370999999994</v>
      </c>
      <c r="O19" s="15">
        <v>69.742040000000003</v>
      </c>
      <c r="P19" s="15">
        <v>69.911619999999999</v>
      </c>
      <c r="Q19" s="15">
        <v>70.078540000000004</v>
      </c>
      <c r="R19" s="15">
        <v>70.242058</v>
      </c>
      <c r="S19" s="15">
        <v>70.401514000000006</v>
      </c>
      <c r="T19" s="15">
        <v>70.556419000000005</v>
      </c>
      <c r="U19" s="15">
        <v>70.706194999999994</v>
      </c>
      <c r="V19" s="15">
        <v>70.850144</v>
      </c>
      <c r="W19" s="15">
        <v>70.987558000000007</v>
      </c>
      <c r="X19" s="15">
        <v>71.117945000000006</v>
      </c>
      <c r="Y19" s="15">
        <v>71.240915999999999</v>
      </c>
      <c r="Z19" s="15">
        <v>71.355704000000003</v>
      </c>
      <c r="AA19" s="15">
        <v>71.461843000000002</v>
      </c>
      <c r="AB19" s="15">
        <v>71.559078</v>
      </c>
      <c r="AC19" s="15">
        <v>71.647525000000002</v>
      </c>
      <c r="AD19" s="15">
        <v>71.727486999999996</v>
      </c>
      <c r="AE19" s="15">
        <v>71.799098000000001</v>
      </c>
      <c r="AF19" s="15">
        <v>71.862482999999997</v>
      </c>
      <c r="AG19" s="15">
        <v>71.917776000000003</v>
      </c>
      <c r="AH19" s="15">
        <v>71.965277999999998</v>
      </c>
    </row>
    <row r="20" spans="1:34" x14ac:dyDescent="0.3">
      <c r="A20" t="s">
        <v>17</v>
      </c>
      <c r="B20" s="15">
        <v>66.992000000000004</v>
      </c>
      <c r="C20" s="15">
        <v>67.257981999999998</v>
      </c>
      <c r="D20">
        <v>67.441850000000002</v>
      </c>
      <c r="E20" s="15">
        <v>67.635124000000005</v>
      </c>
      <c r="F20" s="15">
        <v>67.842590999999999</v>
      </c>
      <c r="G20" s="15">
        <v>68.042591000000002</v>
      </c>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row>
    <row r="21" spans="1:34" x14ac:dyDescent="0.3">
      <c r="A21" t="s">
        <v>18</v>
      </c>
      <c r="B21">
        <f t="shared" ref="B21:AH21" si="0">B37/1000000</f>
        <v>67.206745999999995</v>
      </c>
      <c r="C21">
        <f t="shared" si="0"/>
        <v>67.428681999999995</v>
      </c>
      <c r="D21">
        <f t="shared" si="0"/>
        <v>67.629662999999994</v>
      </c>
      <c r="E21">
        <f t="shared" si="0"/>
        <v>67.809889999999996</v>
      </c>
      <c r="F21">
        <f t="shared" si="0"/>
        <v>67.983099999999993</v>
      </c>
      <c r="G21">
        <f t="shared" si="0"/>
        <v>68.149870000000007</v>
      </c>
      <c r="H21">
        <f t="shared" si="0"/>
        <v>68.310732999999999</v>
      </c>
      <c r="I21">
        <f t="shared" si="0"/>
        <v>68.466417000000007</v>
      </c>
      <c r="J21">
        <f t="shared" si="0"/>
        <v>68.617774999999995</v>
      </c>
      <c r="K21">
        <f t="shared" si="0"/>
        <v>68.765558999999996</v>
      </c>
      <c r="L21">
        <f t="shared" si="0"/>
        <v>68.910235999999998</v>
      </c>
      <c r="M21">
        <f t="shared" si="0"/>
        <v>69.051948999999993</v>
      </c>
      <c r="N21">
        <f t="shared" si="0"/>
        <v>69.190828999999994</v>
      </c>
      <c r="O21">
        <f t="shared" si="0"/>
        <v>69.326939999999993</v>
      </c>
      <c r="P21">
        <f t="shared" si="0"/>
        <v>69.460024000000004</v>
      </c>
      <c r="Q21">
        <f t="shared" si="0"/>
        <v>69.589449000000002</v>
      </c>
      <c r="R21">
        <f t="shared" si="0"/>
        <v>69.714400999999995</v>
      </c>
      <c r="S21">
        <f t="shared" si="0"/>
        <v>69.834173000000007</v>
      </c>
      <c r="T21">
        <f t="shared" si="0"/>
        <v>69.948241999999993</v>
      </c>
      <c r="U21">
        <f t="shared" si="0"/>
        <v>70.056044</v>
      </c>
      <c r="V21">
        <f t="shared" si="0"/>
        <v>70.156874999999999</v>
      </c>
      <c r="W21">
        <f t="shared" si="0"/>
        <v>70.250091999999995</v>
      </c>
      <c r="X21">
        <f t="shared" si="0"/>
        <v>70.335294000000005</v>
      </c>
      <c r="Y21">
        <f t="shared" si="0"/>
        <v>70.412218999999993</v>
      </c>
      <c r="Z21">
        <f t="shared" si="0"/>
        <v>70.480187000000001</v>
      </c>
      <c r="AA21">
        <f t="shared" si="0"/>
        <v>70.538775999999999</v>
      </c>
      <c r="AB21">
        <f t="shared" si="0"/>
        <v>70.587789000000001</v>
      </c>
      <c r="AC21">
        <f t="shared" si="0"/>
        <v>70.627307000000002</v>
      </c>
      <c r="AD21">
        <f t="shared" si="0"/>
        <v>70.657548000000006</v>
      </c>
      <c r="AE21">
        <f t="shared" si="0"/>
        <v>70.678640000000001</v>
      </c>
      <c r="AF21">
        <f t="shared" si="0"/>
        <v>70.690723000000006</v>
      </c>
      <c r="AG21">
        <f t="shared" si="0"/>
        <v>70.693977000000004</v>
      </c>
      <c r="AH21">
        <f t="shared" si="0"/>
        <v>70.688738000000001</v>
      </c>
    </row>
    <row r="22" spans="1:34" x14ac:dyDescent="0.3">
      <c r="A22" t="s">
        <v>19</v>
      </c>
      <c r="B22" s="16">
        <v>66.98</v>
      </c>
      <c r="C22" s="16">
        <v>67.012883000000002</v>
      </c>
      <c r="D22" s="16">
        <v>67.204763</v>
      </c>
      <c r="E22" s="16">
        <v>67.388433000000006</v>
      </c>
      <c r="F22" s="16">
        <v>67.575000000000003</v>
      </c>
      <c r="G22" s="16">
        <v>67.765465000000006</v>
      </c>
      <c r="H22" s="16">
        <v>67.955439999999996</v>
      </c>
      <c r="I22" s="16">
        <v>68.145742999999996</v>
      </c>
      <c r="J22" s="16">
        <v>68.335445000000007</v>
      </c>
      <c r="K22" s="16">
        <v>68.526661000000004</v>
      </c>
      <c r="L22" s="16">
        <v>68.718934000000004</v>
      </c>
      <c r="M22" s="16">
        <v>68.916612999999998</v>
      </c>
      <c r="N22" s="16">
        <v>69.116879999999995</v>
      </c>
      <c r="O22" s="16">
        <v>69.319056000000003</v>
      </c>
      <c r="P22" s="16">
        <v>69.521761999999995</v>
      </c>
      <c r="Q22" s="16">
        <v>69.722271000000006</v>
      </c>
      <c r="R22" s="16">
        <v>69.91583</v>
      </c>
      <c r="S22" s="16">
        <v>70.104962</v>
      </c>
      <c r="T22" s="16">
        <v>70.288808000000003</v>
      </c>
      <c r="U22" s="16">
        <v>70.465976999999995</v>
      </c>
      <c r="V22" s="16">
        <v>70.633769999999998</v>
      </c>
      <c r="W22" s="16">
        <v>70.788492000000005</v>
      </c>
      <c r="X22" s="16">
        <v>70.926210999999995</v>
      </c>
      <c r="Y22" s="16">
        <v>71.046882993855405</v>
      </c>
      <c r="Z22" s="16">
        <v>71.166557698505301</v>
      </c>
      <c r="AA22" s="16">
        <v>71.269278486663197</v>
      </c>
      <c r="AB22" s="16">
        <v>71.366015539588602</v>
      </c>
      <c r="AC22" s="16">
        <v>71.459760724897706</v>
      </c>
      <c r="AD22" s="16">
        <v>71.533560126098493</v>
      </c>
      <c r="AE22" s="16">
        <v>71.606362238093894</v>
      </c>
      <c r="AF22" s="16">
        <v>71.671186036445903</v>
      </c>
      <c r="AG22" s="16">
        <v>71.726036942743804</v>
      </c>
      <c r="AH22" s="16">
        <v>71.776898692220101</v>
      </c>
    </row>
    <row r="23" spans="1:34" x14ac:dyDescent="0.3">
      <c r="A23" t="s">
        <v>20</v>
      </c>
      <c r="B23">
        <v>67</v>
      </c>
      <c r="C23">
        <v>67.099999999999994</v>
      </c>
      <c r="D23">
        <v>67.3</v>
      </c>
      <c r="E23">
        <v>67.400000000000006</v>
      </c>
      <c r="F23">
        <v>67.5</v>
      </c>
      <c r="G23">
        <v>67.7</v>
      </c>
      <c r="H23">
        <v>67.8</v>
      </c>
      <c r="I23">
        <v>68</v>
      </c>
      <c r="J23">
        <v>68.099999999999994</v>
      </c>
      <c r="K23">
        <v>68.2</v>
      </c>
      <c r="L23">
        <v>68.3</v>
      </c>
      <c r="M23">
        <v>68.400000000000006</v>
      </c>
      <c r="N23">
        <v>68.599999999999994</v>
      </c>
      <c r="O23">
        <v>68.7</v>
      </c>
      <c r="P23">
        <v>68.7</v>
      </c>
      <c r="Q23">
        <v>68.8</v>
      </c>
      <c r="R23">
        <v>68.900000000000006</v>
      </c>
      <c r="S23">
        <v>69</v>
      </c>
      <c r="T23">
        <v>69</v>
      </c>
      <c r="U23">
        <v>69.099999999999994</v>
      </c>
      <c r="V23">
        <v>69.2</v>
      </c>
      <c r="W23">
        <v>69.2</v>
      </c>
      <c r="X23">
        <v>69.2</v>
      </c>
      <c r="Y23">
        <v>69.3</v>
      </c>
      <c r="Z23">
        <v>69.3</v>
      </c>
      <c r="AA23">
        <v>69.3</v>
      </c>
      <c r="AB23">
        <v>69.3</v>
      </c>
      <c r="AC23">
        <v>69.3</v>
      </c>
      <c r="AD23">
        <v>69.3</v>
      </c>
      <c r="AE23">
        <v>69.3</v>
      </c>
      <c r="AF23">
        <v>69.3</v>
      </c>
      <c r="AG23">
        <v>69.2</v>
      </c>
      <c r="AH23">
        <v>69.2</v>
      </c>
    </row>
    <row r="24" spans="1:34" x14ac:dyDescent="0.3">
      <c r="A24" t="s">
        <v>21</v>
      </c>
      <c r="B24" s="17">
        <f t="shared" ref="B24:AH24" si="1">B23/B22</f>
        <v>1.0002985965959987</v>
      </c>
      <c r="C24" s="17">
        <f t="shared" si="1"/>
        <v>1.001300003761963</v>
      </c>
      <c r="D24" s="17">
        <f t="shared" si="1"/>
        <v>1.0014171168195325</v>
      </c>
      <c r="E24" s="17">
        <f t="shared" si="1"/>
        <v>1.0001716466682049</v>
      </c>
      <c r="F24" s="17">
        <f t="shared" si="1"/>
        <v>0.99889012208657046</v>
      </c>
      <c r="G24" s="17">
        <f t="shared" si="1"/>
        <v>0.99903394745391327</v>
      </c>
      <c r="H24" s="17">
        <f t="shared" si="1"/>
        <v>0.99771261873957406</v>
      </c>
      <c r="I24" s="17">
        <f t="shared" si="1"/>
        <v>0.99786130441046039</v>
      </c>
      <c r="J24" s="17">
        <f t="shared" si="1"/>
        <v>0.99655456988682789</v>
      </c>
      <c r="K24" s="17">
        <f t="shared" si="1"/>
        <v>0.99523308161767865</v>
      </c>
      <c r="L24" s="17">
        <f t="shared" si="1"/>
        <v>0.99390365979774942</v>
      </c>
      <c r="M24" s="17">
        <f t="shared" si="1"/>
        <v>0.9925037958554348</v>
      </c>
      <c r="N24" s="17">
        <f t="shared" si="1"/>
        <v>0.99252165317647434</v>
      </c>
      <c r="O24" s="17">
        <f t="shared" si="1"/>
        <v>0.99106946868982171</v>
      </c>
      <c r="P24" s="17">
        <f t="shared" si="1"/>
        <v>0.98817978750308444</v>
      </c>
      <c r="Q24" s="17">
        <f t="shared" si="1"/>
        <v>0.98677221801911741</v>
      </c>
      <c r="R24" s="17">
        <f t="shared" si="1"/>
        <v>0.98547067237848718</v>
      </c>
      <c r="S24" s="17">
        <f t="shared" si="1"/>
        <v>0.98423846232168277</v>
      </c>
      <c r="T24" s="17">
        <f t="shared" si="1"/>
        <v>0.98166410789040548</v>
      </c>
      <c r="U24" s="17">
        <f t="shared" si="1"/>
        <v>0.98061508463864766</v>
      </c>
      <c r="V24" s="17">
        <f t="shared" si="1"/>
        <v>0.97970135248338019</v>
      </c>
      <c r="W24" s="17">
        <f t="shared" si="1"/>
        <v>0.97756002486957905</v>
      </c>
      <c r="X24" s="17">
        <f t="shared" si="1"/>
        <v>0.97566187484624001</v>
      </c>
      <c r="Y24" s="17">
        <f t="shared" si="1"/>
        <v>0.97541225004893617</v>
      </c>
      <c r="Z24" s="17">
        <f t="shared" si="1"/>
        <v>0.97377198281230759</v>
      </c>
      <c r="AA24" s="17">
        <f t="shared" si="1"/>
        <v>0.97236848010139854</v>
      </c>
      <c r="AB24" s="17">
        <f t="shared" si="1"/>
        <v>0.97105042891959503</v>
      </c>
      <c r="AC24" s="17">
        <f t="shared" si="1"/>
        <v>0.96977654692670678</v>
      </c>
      <c r="AD24" s="17">
        <f t="shared" si="1"/>
        <v>0.96877605249674137</v>
      </c>
      <c r="AE24" s="17">
        <f t="shared" si="1"/>
        <v>0.96779109891904358</v>
      </c>
      <c r="AF24" s="17">
        <f t="shared" si="1"/>
        <v>0.96691576953616865</v>
      </c>
      <c r="AG24" s="17">
        <f t="shared" si="1"/>
        <v>0.96478214815130181</v>
      </c>
      <c r="AH24" s="17">
        <f t="shared" si="1"/>
        <v>0.96409849493121935</v>
      </c>
    </row>
    <row r="25" spans="1:34" x14ac:dyDescent="0.3">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row>
    <row r="26" spans="1:34" x14ac:dyDescent="0.3">
      <c r="A26" t="s">
        <v>22</v>
      </c>
      <c r="B26" s="19" t="s">
        <v>23</v>
      </c>
    </row>
    <row r="27" spans="1:34" x14ac:dyDescent="0.3">
      <c r="A27" t="s">
        <v>3</v>
      </c>
      <c r="B27" s="20">
        <v>65125</v>
      </c>
      <c r="C27" s="20">
        <v>65361</v>
      </c>
      <c r="D27" s="20">
        <v>65577</v>
      </c>
      <c r="E27" s="20">
        <v>65777</v>
      </c>
      <c r="F27" s="20">
        <v>65971</v>
      </c>
      <c r="G27" s="20">
        <v>66160</v>
      </c>
      <c r="H27" s="20">
        <v>66345</v>
      </c>
      <c r="I27" s="20">
        <v>66526</v>
      </c>
      <c r="J27" s="20">
        <v>66702</v>
      </c>
      <c r="K27" s="20">
        <v>66881</v>
      </c>
      <c r="L27" s="20">
        <v>67052</v>
      </c>
      <c r="M27" s="20">
        <v>67227</v>
      </c>
      <c r="N27" s="20">
        <v>67390</v>
      </c>
      <c r="O27" s="20">
        <v>67563</v>
      </c>
      <c r="P27" s="20">
        <v>67726</v>
      </c>
      <c r="Q27" s="20">
        <v>67876</v>
      </c>
      <c r="R27" s="20">
        <v>68043</v>
      </c>
      <c r="S27" s="20">
        <v>68192</v>
      </c>
      <c r="T27" s="20">
        <v>68344</v>
      </c>
      <c r="U27" s="20">
        <v>68487</v>
      </c>
      <c r="V27" s="20">
        <v>68627</v>
      </c>
      <c r="W27" s="20">
        <v>68761</v>
      </c>
      <c r="X27" s="20">
        <v>68881</v>
      </c>
      <c r="Y27" s="20">
        <v>68997</v>
      </c>
      <c r="Z27" s="20">
        <v>69111</v>
      </c>
      <c r="AA27" s="20">
        <v>69207</v>
      </c>
      <c r="AB27" s="20">
        <v>69300</v>
      </c>
      <c r="AC27" s="20">
        <v>69389</v>
      </c>
      <c r="AD27" s="20">
        <v>69458</v>
      </c>
      <c r="AE27" s="20">
        <v>69526</v>
      </c>
      <c r="AF27" s="20">
        <v>69586</v>
      </c>
      <c r="AG27" s="20">
        <v>69637</v>
      </c>
      <c r="AH27" s="20">
        <v>69683</v>
      </c>
    </row>
    <row r="28" spans="1:34" x14ac:dyDescent="0.3">
      <c r="A28" s="21" t="s">
        <v>24</v>
      </c>
      <c r="B28" s="22">
        <v>394</v>
      </c>
      <c r="C28" s="22">
        <v>392</v>
      </c>
      <c r="D28" s="22">
        <v>390</v>
      </c>
      <c r="E28" s="22">
        <v>388</v>
      </c>
      <c r="F28" s="22">
        <v>385</v>
      </c>
      <c r="G28" s="22">
        <v>383</v>
      </c>
      <c r="H28" s="22">
        <v>381</v>
      </c>
      <c r="I28" s="22">
        <v>379</v>
      </c>
      <c r="J28" s="22">
        <v>377</v>
      </c>
      <c r="K28" s="22">
        <v>374</v>
      </c>
      <c r="L28" s="22">
        <v>372</v>
      </c>
      <c r="M28" s="22">
        <v>370</v>
      </c>
      <c r="N28" s="22">
        <v>368</v>
      </c>
      <c r="O28" s="22">
        <v>366</v>
      </c>
      <c r="P28" s="22">
        <v>363</v>
      </c>
      <c r="Q28" s="22">
        <v>361</v>
      </c>
      <c r="R28" s="22">
        <v>359</v>
      </c>
      <c r="S28" s="22">
        <v>357</v>
      </c>
      <c r="T28" s="22">
        <v>355</v>
      </c>
      <c r="U28" s="22">
        <v>352</v>
      </c>
      <c r="V28" s="22">
        <v>350</v>
      </c>
      <c r="W28" s="22">
        <v>348</v>
      </c>
      <c r="X28" s="22">
        <v>346</v>
      </c>
      <c r="Y28" s="22">
        <v>343</v>
      </c>
      <c r="Z28" s="22">
        <v>341</v>
      </c>
      <c r="AA28" s="22">
        <v>339</v>
      </c>
      <c r="AB28" s="22">
        <v>336</v>
      </c>
      <c r="AC28" s="22">
        <v>334</v>
      </c>
      <c r="AD28" s="22">
        <v>332</v>
      </c>
      <c r="AE28" s="22">
        <v>329</v>
      </c>
      <c r="AF28" s="22">
        <v>327</v>
      </c>
      <c r="AG28" s="22">
        <v>324</v>
      </c>
      <c r="AH28" s="22">
        <v>322</v>
      </c>
    </row>
    <row r="29" spans="1:34" x14ac:dyDescent="0.3">
      <c r="A29" s="21" t="s">
        <v>25</v>
      </c>
      <c r="B29" s="22">
        <v>372</v>
      </c>
      <c r="C29" s="22">
        <v>369</v>
      </c>
      <c r="D29" s="22">
        <v>366</v>
      </c>
      <c r="E29" s="22">
        <v>363</v>
      </c>
      <c r="F29" s="22">
        <v>360</v>
      </c>
      <c r="G29" s="22">
        <v>357</v>
      </c>
      <c r="H29" s="22">
        <v>354</v>
      </c>
      <c r="I29" s="22">
        <v>351</v>
      </c>
      <c r="J29" s="22">
        <v>348</v>
      </c>
      <c r="K29" s="22">
        <v>345</v>
      </c>
      <c r="L29" s="22">
        <v>341</v>
      </c>
      <c r="M29" s="22">
        <v>338</v>
      </c>
      <c r="N29" s="22">
        <v>335</v>
      </c>
      <c r="O29" s="22">
        <v>332</v>
      </c>
      <c r="P29" s="22">
        <v>329</v>
      </c>
      <c r="Q29" s="22">
        <v>326</v>
      </c>
      <c r="R29" s="22">
        <v>323</v>
      </c>
      <c r="S29" s="22">
        <v>320</v>
      </c>
      <c r="T29" s="22">
        <v>317</v>
      </c>
      <c r="U29" s="22">
        <v>314</v>
      </c>
      <c r="V29" s="22">
        <v>311</v>
      </c>
      <c r="W29" s="22">
        <v>309</v>
      </c>
      <c r="X29" s="22">
        <v>306</v>
      </c>
      <c r="Y29" s="22">
        <v>303</v>
      </c>
      <c r="Z29" s="22">
        <v>300</v>
      </c>
      <c r="AA29" s="22">
        <v>297</v>
      </c>
      <c r="AB29" s="22">
        <v>294</v>
      </c>
      <c r="AC29" s="22">
        <v>290</v>
      </c>
      <c r="AD29" s="22">
        <v>287</v>
      </c>
      <c r="AE29" s="22">
        <v>284</v>
      </c>
      <c r="AF29" s="22">
        <v>281</v>
      </c>
      <c r="AG29" s="22">
        <v>278</v>
      </c>
      <c r="AH29" s="22">
        <v>275</v>
      </c>
    </row>
    <row r="30" spans="1:34" x14ac:dyDescent="0.3">
      <c r="A30" s="21" t="s">
        <v>26</v>
      </c>
      <c r="B30" s="22">
        <v>266</v>
      </c>
      <c r="C30" s="22">
        <v>270</v>
      </c>
      <c r="D30" s="22">
        <v>274</v>
      </c>
      <c r="E30" s="22">
        <v>278</v>
      </c>
      <c r="F30" s="22">
        <v>282</v>
      </c>
      <c r="G30" s="22">
        <v>285</v>
      </c>
      <c r="H30" s="22">
        <v>289</v>
      </c>
      <c r="I30" s="22">
        <v>292</v>
      </c>
      <c r="J30" s="22">
        <v>296</v>
      </c>
      <c r="K30" s="22">
        <v>299</v>
      </c>
      <c r="L30" s="22">
        <v>303</v>
      </c>
      <c r="M30" s="22">
        <v>306</v>
      </c>
      <c r="N30" s="22">
        <v>309</v>
      </c>
      <c r="O30" s="22">
        <v>312</v>
      </c>
      <c r="P30" s="22">
        <v>316</v>
      </c>
      <c r="Q30" s="22">
        <v>319</v>
      </c>
      <c r="R30" s="22">
        <v>322</v>
      </c>
      <c r="S30" s="22">
        <v>325</v>
      </c>
      <c r="T30" s="22">
        <v>328</v>
      </c>
      <c r="U30" s="22">
        <v>331</v>
      </c>
      <c r="V30" s="22">
        <v>334</v>
      </c>
      <c r="W30" s="22">
        <v>337</v>
      </c>
      <c r="X30" s="22">
        <v>340</v>
      </c>
      <c r="Y30" s="22">
        <v>342</v>
      </c>
      <c r="Z30" s="22">
        <v>345</v>
      </c>
      <c r="AA30" s="22">
        <v>348</v>
      </c>
      <c r="AB30" s="22">
        <v>350</v>
      </c>
      <c r="AC30" s="22">
        <v>353</v>
      </c>
      <c r="AD30" s="22">
        <v>355</v>
      </c>
      <c r="AE30" s="22">
        <v>358</v>
      </c>
      <c r="AF30" s="22">
        <v>360</v>
      </c>
      <c r="AG30" s="22">
        <v>362</v>
      </c>
      <c r="AH30" s="22">
        <v>364</v>
      </c>
    </row>
    <row r="31" spans="1:34" x14ac:dyDescent="0.3">
      <c r="A31" s="21" t="s">
        <v>27</v>
      </c>
      <c r="B31" s="22">
        <v>849</v>
      </c>
      <c r="C31" s="22">
        <v>852</v>
      </c>
      <c r="D31" s="22">
        <v>853</v>
      </c>
      <c r="E31" s="22">
        <v>855</v>
      </c>
      <c r="F31" s="22">
        <v>857</v>
      </c>
      <c r="G31" s="22">
        <v>858</v>
      </c>
      <c r="H31" s="22">
        <v>860</v>
      </c>
      <c r="I31" s="22">
        <v>861</v>
      </c>
      <c r="J31" s="22">
        <v>862</v>
      </c>
      <c r="K31" s="22">
        <v>864</v>
      </c>
      <c r="L31" s="22">
        <v>865</v>
      </c>
      <c r="M31" s="22">
        <v>866</v>
      </c>
      <c r="N31" s="22">
        <v>867</v>
      </c>
      <c r="O31" s="22">
        <v>868</v>
      </c>
      <c r="P31" s="22">
        <v>869</v>
      </c>
      <c r="Q31" s="22">
        <v>870</v>
      </c>
      <c r="R31" s="22">
        <v>871</v>
      </c>
      <c r="S31" s="22">
        <v>872</v>
      </c>
      <c r="T31" s="22">
        <v>873</v>
      </c>
      <c r="U31" s="22">
        <v>874</v>
      </c>
      <c r="V31" s="22">
        <v>874</v>
      </c>
      <c r="W31" s="22">
        <v>875</v>
      </c>
      <c r="X31" s="22">
        <v>875</v>
      </c>
      <c r="Y31" s="22">
        <v>876</v>
      </c>
      <c r="Z31" s="22">
        <v>876</v>
      </c>
      <c r="AA31" s="22">
        <v>877</v>
      </c>
      <c r="AB31" s="22">
        <v>877</v>
      </c>
      <c r="AC31" s="22">
        <v>877</v>
      </c>
      <c r="AD31" s="22">
        <v>877</v>
      </c>
      <c r="AE31" s="22">
        <v>877</v>
      </c>
      <c r="AF31" s="22">
        <v>876</v>
      </c>
      <c r="AG31" s="22">
        <v>876</v>
      </c>
      <c r="AH31" s="22">
        <v>875</v>
      </c>
    </row>
    <row r="32" spans="1:34" x14ac:dyDescent="0.3">
      <c r="A32" s="21" t="s">
        <v>28</v>
      </c>
      <c r="B32" s="22">
        <v>238</v>
      </c>
      <c r="C32" s="22">
        <v>242</v>
      </c>
      <c r="D32" s="22">
        <v>247</v>
      </c>
      <c r="E32" s="22">
        <v>251</v>
      </c>
      <c r="F32" s="22">
        <v>256</v>
      </c>
      <c r="G32" s="22">
        <v>261</v>
      </c>
      <c r="H32" s="22">
        <v>266</v>
      </c>
      <c r="I32" s="22">
        <v>271</v>
      </c>
      <c r="J32" s="22">
        <v>276</v>
      </c>
      <c r="K32" s="22">
        <v>282</v>
      </c>
      <c r="L32" s="22">
        <v>288</v>
      </c>
      <c r="M32" s="22">
        <v>294</v>
      </c>
      <c r="N32" s="22">
        <v>300</v>
      </c>
      <c r="O32" s="22">
        <v>306</v>
      </c>
      <c r="P32" s="22">
        <v>313</v>
      </c>
      <c r="Q32" s="22">
        <v>319</v>
      </c>
      <c r="R32" s="22">
        <v>326</v>
      </c>
      <c r="S32" s="22">
        <v>334</v>
      </c>
      <c r="T32" s="22">
        <v>341</v>
      </c>
      <c r="U32" s="22">
        <v>348</v>
      </c>
      <c r="V32" s="22">
        <v>356</v>
      </c>
      <c r="W32" s="22">
        <v>363</v>
      </c>
      <c r="X32" s="22">
        <v>371</v>
      </c>
      <c r="Y32" s="22">
        <v>379</v>
      </c>
      <c r="Z32" s="22">
        <v>387</v>
      </c>
      <c r="AA32" s="22">
        <v>395</v>
      </c>
      <c r="AB32" s="22">
        <v>403</v>
      </c>
      <c r="AC32" s="22">
        <v>411</v>
      </c>
      <c r="AD32" s="22">
        <v>419</v>
      </c>
      <c r="AE32" s="22">
        <v>427</v>
      </c>
      <c r="AF32" s="22">
        <v>436</v>
      </c>
      <c r="AG32" s="22">
        <v>444</v>
      </c>
      <c r="AH32" s="22">
        <v>453</v>
      </c>
    </row>
    <row r="33" spans="1:34" x14ac:dyDescent="0.3">
      <c r="A33" t="s">
        <v>29</v>
      </c>
      <c r="B33" s="23">
        <f t="shared" ref="B33:AH33" si="2">SUM(B28:B32)</f>
        <v>2119</v>
      </c>
      <c r="C33" s="23">
        <f t="shared" si="2"/>
        <v>2125</v>
      </c>
      <c r="D33" s="23">
        <f t="shared" si="2"/>
        <v>2130</v>
      </c>
      <c r="E33" s="23">
        <f t="shared" si="2"/>
        <v>2135</v>
      </c>
      <c r="F33" s="23">
        <f t="shared" si="2"/>
        <v>2140</v>
      </c>
      <c r="G33" s="23">
        <f t="shared" si="2"/>
        <v>2144</v>
      </c>
      <c r="H33" s="23">
        <f t="shared" si="2"/>
        <v>2150</v>
      </c>
      <c r="I33" s="23">
        <f t="shared" si="2"/>
        <v>2154</v>
      </c>
      <c r="J33" s="23">
        <f t="shared" si="2"/>
        <v>2159</v>
      </c>
      <c r="K33" s="23">
        <f t="shared" si="2"/>
        <v>2164</v>
      </c>
      <c r="L33" s="23">
        <f t="shared" si="2"/>
        <v>2169</v>
      </c>
      <c r="M33" s="23">
        <f t="shared" si="2"/>
        <v>2174</v>
      </c>
      <c r="N33" s="23">
        <f t="shared" si="2"/>
        <v>2179</v>
      </c>
      <c r="O33" s="23">
        <f t="shared" si="2"/>
        <v>2184</v>
      </c>
      <c r="P33" s="23">
        <f t="shared" si="2"/>
        <v>2190</v>
      </c>
      <c r="Q33" s="23">
        <f t="shared" si="2"/>
        <v>2195</v>
      </c>
      <c r="R33" s="23">
        <f t="shared" si="2"/>
        <v>2201</v>
      </c>
      <c r="S33" s="23">
        <f t="shared" si="2"/>
        <v>2208</v>
      </c>
      <c r="T33" s="23">
        <f t="shared" si="2"/>
        <v>2214</v>
      </c>
      <c r="U33" s="23">
        <f t="shared" si="2"/>
        <v>2219</v>
      </c>
      <c r="V33" s="23">
        <f t="shared" si="2"/>
        <v>2225</v>
      </c>
      <c r="W33" s="23">
        <f t="shared" si="2"/>
        <v>2232</v>
      </c>
      <c r="X33" s="23">
        <f t="shared" si="2"/>
        <v>2238</v>
      </c>
      <c r="Y33" s="23">
        <f t="shared" si="2"/>
        <v>2243</v>
      </c>
      <c r="Z33" s="23">
        <f t="shared" si="2"/>
        <v>2249</v>
      </c>
      <c r="AA33" s="23">
        <f t="shared" si="2"/>
        <v>2256</v>
      </c>
      <c r="AB33" s="23">
        <f t="shared" si="2"/>
        <v>2260</v>
      </c>
      <c r="AC33" s="23">
        <f t="shared" si="2"/>
        <v>2265</v>
      </c>
      <c r="AD33" s="23">
        <f t="shared" si="2"/>
        <v>2270</v>
      </c>
      <c r="AE33" s="23">
        <f t="shared" si="2"/>
        <v>2275</v>
      </c>
      <c r="AF33" s="23">
        <f t="shared" si="2"/>
        <v>2280</v>
      </c>
      <c r="AG33" s="23">
        <f t="shared" si="2"/>
        <v>2284</v>
      </c>
      <c r="AH33" s="23">
        <f t="shared" si="2"/>
        <v>2289</v>
      </c>
    </row>
    <row r="34" spans="1:34" x14ac:dyDescent="0.3">
      <c r="A34" s="24" t="s">
        <v>30</v>
      </c>
      <c r="B34" s="23">
        <f t="shared" ref="B34:AH34" si="3">B27+B33</f>
        <v>67244</v>
      </c>
      <c r="C34" s="23">
        <f t="shared" si="3"/>
        <v>67486</v>
      </c>
      <c r="D34" s="23">
        <f t="shared" si="3"/>
        <v>67707</v>
      </c>
      <c r="E34" s="23">
        <f t="shared" si="3"/>
        <v>67912</v>
      </c>
      <c r="F34" s="23">
        <f t="shared" si="3"/>
        <v>68111</v>
      </c>
      <c r="G34" s="23">
        <f t="shared" si="3"/>
        <v>68304</v>
      </c>
      <c r="H34" s="23">
        <f t="shared" si="3"/>
        <v>68495</v>
      </c>
      <c r="I34" s="23">
        <f t="shared" si="3"/>
        <v>68680</v>
      </c>
      <c r="J34" s="23">
        <f t="shared" si="3"/>
        <v>68861</v>
      </c>
      <c r="K34" s="23">
        <f t="shared" si="3"/>
        <v>69045</v>
      </c>
      <c r="L34" s="23">
        <f t="shared" si="3"/>
        <v>69221</v>
      </c>
      <c r="M34" s="23">
        <f t="shared" si="3"/>
        <v>69401</v>
      </c>
      <c r="N34" s="23">
        <f t="shared" si="3"/>
        <v>69569</v>
      </c>
      <c r="O34" s="23">
        <f t="shared" si="3"/>
        <v>69747</v>
      </c>
      <c r="P34" s="23">
        <f t="shared" si="3"/>
        <v>69916</v>
      </c>
      <c r="Q34" s="23">
        <f t="shared" si="3"/>
        <v>70071</v>
      </c>
      <c r="R34" s="23">
        <f t="shared" si="3"/>
        <v>70244</v>
      </c>
      <c r="S34" s="23">
        <f t="shared" si="3"/>
        <v>70400</v>
      </c>
      <c r="T34" s="23">
        <f t="shared" si="3"/>
        <v>70558</v>
      </c>
      <c r="U34" s="23">
        <f t="shared" si="3"/>
        <v>70706</v>
      </c>
      <c r="V34" s="23">
        <f t="shared" si="3"/>
        <v>70852</v>
      </c>
      <c r="W34" s="23">
        <f t="shared" si="3"/>
        <v>70993</v>
      </c>
      <c r="X34" s="23">
        <f t="shared" si="3"/>
        <v>71119</v>
      </c>
      <c r="Y34" s="23">
        <f t="shared" si="3"/>
        <v>71240</v>
      </c>
      <c r="Z34" s="23">
        <f t="shared" si="3"/>
        <v>71360</v>
      </c>
      <c r="AA34" s="23">
        <f t="shared" si="3"/>
        <v>71463</v>
      </c>
      <c r="AB34" s="23">
        <f t="shared" si="3"/>
        <v>71560</v>
      </c>
      <c r="AC34" s="23">
        <f t="shared" si="3"/>
        <v>71654</v>
      </c>
      <c r="AD34" s="23">
        <f t="shared" si="3"/>
        <v>71728</v>
      </c>
      <c r="AE34" s="23">
        <f t="shared" si="3"/>
        <v>71801</v>
      </c>
      <c r="AF34" s="23">
        <f t="shared" si="3"/>
        <v>71866</v>
      </c>
      <c r="AG34" s="23">
        <f t="shared" si="3"/>
        <v>71921</v>
      </c>
      <c r="AH34" s="23">
        <f t="shared" si="3"/>
        <v>71972</v>
      </c>
    </row>
    <row r="35" spans="1:34" x14ac:dyDescent="0.3">
      <c r="A35" s="21" t="s">
        <v>31</v>
      </c>
      <c r="B35" s="25">
        <f t="shared" ref="B35:AH35" si="4">B33/B34</f>
        <v>3.1512105169234431E-2</v>
      </c>
      <c r="C35" s="25">
        <f t="shared" si="4"/>
        <v>3.1488012328482945E-2</v>
      </c>
      <c r="D35" s="25">
        <f t="shared" si="4"/>
        <v>3.14590810403651E-2</v>
      </c>
      <c r="E35" s="25">
        <f t="shared" si="4"/>
        <v>3.143774296147956E-2</v>
      </c>
      <c r="F35" s="25">
        <f t="shared" si="4"/>
        <v>3.1419300847146572E-2</v>
      </c>
      <c r="G35" s="25">
        <f t="shared" si="4"/>
        <v>3.1389084094635748E-2</v>
      </c>
      <c r="H35" s="25">
        <f t="shared" si="4"/>
        <v>3.138915249288269E-2</v>
      </c>
      <c r="I35" s="25">
        <f t="shared" si="4"/>
        <v>3.13628421665696E-2</v>
      </c>
      <c r="J35" s="25">
        <f t="shared" si="4"/>
        <v>3.1353015494982643E-2</v>
      </c>
      <c r="K35" s="25">
        <f t="shared" si="4"/>
        <v>3.1341878485045986E-2</v>
      </c>
      <c r="L35" s="25">
        <f t="shared" si="4"/>
        <v>3.1334421635052949E-2</v>
      </c>
      <c r="M35" s="25">
        <f t="shared" si="4"/>
        <v>3.1325197043270268E-2</v>
      </c>
      <c r="N35" s="25">
        <f t="shared" si="4"/>
        <v>3.1321421897684311E-2</v>
      </c>
      <c r="O35" s="25">
        <f t="shared" si="4"/>
        <v>3.1313174760204739E-2</v>
      </c>
      <c r="P35" s="25">
        <f t="shared" si="4"/>
        <v>3.1323302248412378E-2</v>
      </c>
      <c r="Q35" s="25">
        <f t="shared" si="4"/>
        <v>3.1325369981875524E-2</v>
      </c>
      <c r="R35" s="25">
        <f t="shared" si="4"/>
        <v>3.1333637036615229E-2</v>
      </c>
      <c r="S35" s="25">
        <f t="shared" si="4"/>
        <v>3.1363636363636364E-2</v>
      </c>
      <c r="T35" s="25">
        <f t="shared" si="4"/>
        <v>3.1378440431985032E-2</v>
      </c>
      <c r="U35" s="25">
        <f t="shared" si="4"/>
        <v>3.1383475235482135E-2</v>
      </c>
      <c r="V35" s="25">
        <f t="shared" si="4"/>
        <v>3.14034889629086E-2</v>
      </c>
      <c r="W35" s="25">
        <f t="shared" si="4"/>
        <v>3.1439719408955812E-2</v>
      </c>
      <c r="X35" s="25">
        <f t="shared" si="4"/>
        <v>3.1468383976152647E-2</v>
      </c>
      <c r="Y35" s="25">
        <f t="shared" si="4"/>
        <v>3.1485120718697364E-2</v>
      </c>
      <c r="Z35" s="25">
        <f t="shared" si="4"/>
        <v>3.1516255605381169E-2</v>
      </c>
      <c r="AA35" s="25">
        <f t="shared" si="4"/>
        <v>3.1568783846186138E-2</v>
      </c>
      <c r="AB35" s="25">
        <f t="shared" si="4"/>
        <v>3.1581889323644495E-2</v>
      </c>
      <c r="AC35" s="25">
        <f t="shared" si="4"/>
        <v>3.1610238088592403E-2</v>
      </c>
      <c r="AD35" s="25">
        <f t="shared" si="4"/>
        <v>3.1647334374302921E-2</v>
      </c>
      <c r="AE35" s="25">
        <f t="shared" si="4"/>
        <v>3.168479547638612E-2</v>
      </c>
      <c r="AF35" s="25">
        <f t="shared" si="4"/>
        <v>3.1725711741296299E-2</v>
      </c>
      <c r="AG35" s="25">
        <f t="shared" si="4"/>
        <v>3.1757066781607599E-2</v>
      </c>
      <c r="AH35" s="25">
        <f t="shared" si="4"/>
        <v>3.1804034902462065E-2</v>
      </c>
    </row>
    <row r="37" spans="1:34" x14ac:dyDescent="0.3">
      <c r="A37" t="s">
        <v>32</v>
      </c>
      <c r="B37" s="18">
        <v>67206746</v>
      </c>
      <c r="C37" s="18">
        <v>67428682</v>
      </c>
      <c r="D37" s="18">
        <v>67629663</v>
      </c>
      <c r="E37" s="18">
        <v>67809890</v>
      </c>
      <c r="F37" s="18">
        <v>67983100</v>
      </c>
      <c r="G37" s="18">
        <v>68149870</v>
      </c>
      <c r="H37" s="18">
        <v>68310733</v>
      </c>
      <c r="I37" s="18">
        <v>68466417</v>
      </c>
      <c r="J37" s="18">
        <v>68617775</v>
      </c>
      <c r="K37" s="18">
        <v>68765559</v>
      </c>
      <c r="L37" s="18">
        <v>68910236</v>
      </c>
      <c r="M37" s="18">
        <v>69051949</v>
      </c>
      <c r="N37" s="18">
        <v>69190829</v>
      </c>
      <c r="O37" s="18">
        <v>69326940</v>
      </c>
      <c r="P37" s="18">
        <v>69460024</v>
      </c>
      <c r="Q37" s="18">
        <v>69589449</v>
      </c>
      <c r="R37" s="18">
        <v>69714401</v>
      </c>
      <c r="S37" s="18">
        <v>69834173</v>
      </c>
      <c r="T37" s="18">
        <v>69948242</v>
      </c>
      <c r="U37" s="18">
        <v>70056044</v>
      </c>
      <c r="V37" s="18">
        <v>70156875</v>
      </c>
      <c r="W37" s="18">
        <v>70250092</v>
      </c>
      <c r="X37" s="18">
        <v>70335294</v>
      </c>
      <c r="Y37" s="18">
        <v>70412219</v>
      </c>
      <c r="Z37" s="18">
        <v>70480187</v>
      </c>
      <c r="AA37" s="18">
        <v>70538776</v>
      </c>
      <c r="AB37" s="18">
        <v>70587789</v>
      </c>
      <c r="AC37" s="18">
        <v>70627307</v>
      </c>
      <c r="AD37" s="18">
        <v>70657548</v>
      </c>
      <c r="AE37" s="18">
        <v>70678640</v>
      </c>
      <c r="AF37" s="18">
        <v>70690723</v>
      </c>
      <c r="AG37" s="18">
        <v>70693977</v>
      </c>
      <c r="AH37" s="18">
        <v>70688738</v>
      </c>
    </row>
    <row r="38" spans="1:34" x14ac:dyDescent="0.3">
      <c r="A38" t="s">
        <v>33</v>
      </c>
      <c r="D38" s="26">
        <v>67.320216000000002</v>
      </c>
      <c r="E38" s="26">
        <v>67.439599000000001</v>
      </c>
      <c r="F38" s="27">
        <v>67.588901250000006</v>
      </c>
      <c r="G38" s="27">
        <v>67.738203499999997</v>
      </c>
      <c r="H38" s="27">
        <v>67.887505750000003</v>
      </c>
      <c r="I38" s="28">
        <v>68.036807999999994</v>
      </c>
      <c r="J38" s="28">
        <v>68.189108000000004</v>
      </c>
      <c r="K38" s="28">
        <v>68.335925000000003</v>
      </c>
      <c r="L38" s="28">
        <v>68.477953999999997</v>
      </c>
      <c r="M38" s="28">
        <v>68.615684000000002</v>
      </c>
      <c r="N38" s="28">
        <v>68.749399999999994</v>
      </c>
      <c r="O38" s="28">
        <v>68.879193999999998</v>
      </c>
      <c r="P38" s="28">
        <v>69.004981000000001</v>
      </c>
      <c r="Q38" s="28">
        <v>69.126434000000003</v>
      </c>
      <c r="R38" s="28">
        <v>69.243088999999998</v>
      </c>
      <c r="S38" s="28">
        <v>69.354320999999999</v>
      </c>
      <c r="T38" s="28">
        <v>69.459440000000001</v>
      </c>
      <c r="U38" s="28">
        <v>69.557590000000005</v>
      </c>
      <c r="V38" s="28">
        <v>69.647993</v>
      </c>
      <c r="W38" s="28">
        <v>69.729805999999996</v>
      </c>
      <c r="X38" s="28">
        <v>69.802408999999997</v>
      </c>
      <c r="Y38" s="28">
        <v>69.865297999999996</v>
      </c>
      <c r="Z38" s="28">
        <v>69.918087</v>
      </c>
      <c r="AA38" s="28">
        <v>69.960555999999997</v>
      </c>
      <c r="AB38" s="28">
        <v>69.992966999999993</v>
      </c>
      <c r="AC38" s="28">
        <v>70.015780000000007</v>
      </c>
      <c r="AD38" s="28">
        <v>70.029606999999999</v>
      </c>
      <c r="AE38" s="28">
        <v>70.035050999999996</v>
      </c>
      <c r="AF38" s="28">
        <v>70.033175</v>
      </c>
      <c r="AG38" s="28">
        <v>70.024900000000002</v>
      </c>
      <c r="AH38" s="28">
        <v>70.010902999999999</v>
      </c>
    </row>
    <row r="39" spans="1:34" x14ac:dyDescent="0.3">
      <c r="D39" s="26"/>
      <c r="E39" s="26"/>
      <c r="F39" s="27"/>
      <c r="G39" s="27"/>
      <c r="H39" s="27"/>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row>
    <row r="40" spans="1:34" x14ac:dyDescent="0.3">
      <c r="A40" s="12" t="s">
        <v>34</v>
      </c>
      <c r="B40" s="29">
        <f>B20</f>
        <v>66.992000000000004</v>
      </c>
      <c r="C40" s="13">
        <f>C20</f>
        <v>67.257981999999998</v>
      </c>
      <c r="D40" s="13">
        <f>D20</f>
        <v>67.441850000000002</v>
      </c>
      <c r="E40" s="13">
        <f t="shared" ref="E40:AH40" si="5">E23</f>
        <v>67.400000000000006</v>
      </c>
      <c r="F40" s="13">
        <f t="shared" si="5"/>
        <v>67.5</v>
      </c>
      <c r="G40" s="13">
        <f t="shared" si="5"/>
        <v>67.7</v>
      </c>
      <c r="H40" s="13">
        <f t="shared" si="5"/>
        <v>67.8</v>
      </c>
      <c r="I40" s="13">
        <f t="shared" si="5"/>
        <v>68</v>
      </c>
      <c r="J40" s="13">
        <f t="shared" si="5"/>
        <v>68.099999999999994</v>
      </c>
      <c r="K40" s="13">
        <f t="shared" si="5"/>
        <v>68.2</v>
      </c>
      <c r="L40" s="13">
        <f t="shared" si="5"/>
        <v>68.3</v>
      </c>
      <c r="M40" s="13">
        <f t="shared" si="5"/>
        <v>68.400000000000006</v>
      </c>
      <c r="N40" s="13">
        <f t="shared" si="5"/>
        <v>68.599999999999994</v>
      </c>
      <c r="O40" s="13">
        <f t="shared" si="5"/>
        <v>68.7</v>
      </c>
      <c r="P40" s="13">
        <f t="shared" si="5"/>
        <v>68.7</v>
      </c>
      <c r="Q40" s="13">
        <f t="shared" si="5"/>
        <v>68.8</v>
      </c>
      <c r="R40" s="13">
        <f t="shared" si="5"/>
        <v>68.900000000000006</v>
      </c>
      <c r="S40" s="13">
        <f t="shared" si="5"/>
        <v>69</v>
      </c>
      <c r="T40" s="13">
        <f t="shared" si="5"/>
        <v>69</v>
      </c>
      <c r="U40" s="13">
        <f t="shared" si="5"/>
        <v>69.099999999999994</v>
      </c>
      <c r="V40" s="13">
        <f t="shared" si="5"/>
        <v>69.2</v>
      </c>
      <c r="W40" s="13">
        <f t="shared" si="5"/>
        <v>69.2</v>
      </c>
      <c r="X40" s="13">
        <f t="shared" si="5"/>
        <v>69.2</v>
      </c>
      <c r="Y40" s="13">
        <f t="shared" si="5"/>
        <v>69.3</v>
      </c>
      <c r="Z40" s="13">
        <f t="shared" si="5"/>
        <v>69.3</v>
      </c>
      <c r="AA40" s="13">
        <f t="shared" si="5"/>
        <v>69.3</v>
      </c>
      <c r="AB40" s="13">
        <f t="shared" si="5"/>
        <v>69.3</v>
      </c>
      <c r="AC40" s="13">
        <f t="shared" si="5"/>
        <v>69.3</v>
      </c>
      <c r="AD40" s="13">
        <f t="shared" si="5"/>
        <v>69.3</v>
      </c>
      <c r="AE40" s="13">
        <f t="shared" si="5"/>
        <v>69.3</v>
      </c>
      <c r="AF40" s="13">
        <f t="shared" si="5"/>
        <v>69.3</v>
      </c>
      <c r="AG40" s="13">
        <f t="shared" si="5"/>
        <v>69.2</v>
      </c>
      <c r="AH40" s="13">
        <f t="shared" si="5"/>
        <v>69.2</v>
      </c>
    </row>
    <row r="41" spans="1:34" x14ac:dyDescent="0.3">
      <c r="A41" s="30" t="s">
        <v>35</v>
      </c>
      <c r="B41" s="29">
        <f t="shared" ref="B41:AH41" si="6">B40-B42</f>
        <v>64.880941050502656</v>
      </c>
      <c r="C41" s="31">
        <f t="shared" si="6"/>
        <v>65.140161833595116</v>
      </c>
      <c r="D41" s="31">
        <f t="shared" si="6"/>
        <v>65.320191375337856</v>
      </c>
      <c r="E41" s="31">
        <f t="shared" si="6"/>
        <v>65.281096124396285</v>
      </c>
      <c r="F41" s="31">
        <f t="shared" si="6"/>
        <v>65.3791971928176</v>
      </c>
      <c r="G41" s="31">
        <f t="shared" si="6"/>
        <v>65.574959006793165</v>
      </c>
      <c r="H41" s="31">
        <f t="shared" si="6"/>
        <v>65.671815460982558</v>
      </c>
      <c r="I41" s="31">
        <f t="shared" si="6"/>
        <v>65.867326732673263</v>
      </c>
      <c r="J41" s="31">
        <f t="shared" si="6"/>
        <v>65.964859644791673</v>
      </c>
      <c r="K41" s="31">
        <f t="shared" si="6"/>
        <v>66.062483887319871</v>
      </c>
      <c r="L41" s="31">
        <f t="shared" si="6"/>
        <v>66.159859002325874</v>
      </c>
      <c r="M41" s="31">
        <f t="shared" si="6"/>
        <v>66.257356522240315</v>
      </c>
      <c r="N41" s="31">
        <f t="shared" si="6"/>
        <v>66.451350457818847</v>
      </c>
      <c r="O41" s="31">
        <f t="shared" si="6"/>
        <v>66.548784893973931</v>
      </c>
      <c r="P41" s="31">
        <f t="shared" si="6"/>
        <v>66.54808913553407</v>
      </c>
      <c r="Q41" s="31">
        <f t="shared" si="6"/>
        <v>66.644814545246959</v>
      </c>
      <c r="R41" s="31">
        <f t="shared" si="6"/>
        <v>66.741112408177216</v>
      </c>
      <c r="S41" s="31">
        <f t="shared" si="6"/>
        <v>66.835909090909098</v>
      </c>
      <c r="T41" s="31">
        <f t="shared" si="6"/>
        <v>66.834887610193036</v>
      </c>
      <c r="U41" s="31">
        <f t="shared" si="6"/>
        <v>66.931401861228181</v>
      </c>
      <c r="V41" s="31">
        <f t="shared" si="6"/>
        <v>67.026878563766729</v>
      </c>
      <c r="W41" s="31">
        <f t="shared" si="6"/>
        <v>67.024371416900266</v>
      </c>
      <c r="X41" s="31">
        <f t="shared" si="6"/>
        <v>67.022387828850242</v>
      </c>
      <c r="Y41" s="31">
        <f t="shared" si="6"/>
        <v>67.11808113419427</v>
      </c>
      <c r="Z41" s="31">
        <f t="shared" si="6"/>
        <v>67.115923486547075</v>
      </c>
      <c r="AA41" s="31">
        <f t="shared" si="6"/>
        <v>67.112283279459291</v>
      </c>
      <c r="AB41" s="31">
        <f t="shared" si="6"/>
        <v>67.111375069871428</v>
      </c>
      <c r="AC41" s="31">
        <f t="shared" si="6"/>
        <v>67.109410500460541</v>
      </c>
      <c r="AD41" s="31">
        <f t="shared" si="6"/>
        <v>67.106839727860802</v>
      </c>
      <c r="AE41" s="31">
        <f t="shared" si="6"/>
        <v>67.104243673486437</v>
      </c>
      <c r="AF41" s="31">
        <f t="shared" si="6"/>
        <v>67.101408176328164</v>
      </c>
      <c r="AG41" s="31">
        <f t="shared" si="6"/>
        <v>67.00241097871276</v>
      </c>
      <c r="AH41" s="31">
        <f t="shared" si="6"/>
        <v>66.999160784749634</v>
      </c>
    </row>
    <row r="42" spans="1:34" x14ac:dyDescent="0.3">
      <c r="A42" s="30" t="s">
        <v>36</v>
      </c>
      <c r="B42" s="32">
        <f t="shared" ref="B42:AH42" si="7">B35*B40</f>
        <v>2.1110589494973531</v>
      </c>
      <c r="C42" s="33">
        <f t="shared" si="7"/>
        <v>2.1178201664048841</v>
      </c>
      <c r="D42" s="33">
        <f t="shared" si="7"/>
        <v>2.1216586246621469</v>
      </c>
      <c r="E42" s="33">
        <f t="shared" si="7"/>
        <v>2.1189038756037224</v>
      </c>
      <c r="F42" s="33">
        <f t="shared" si="7"/>
        <v>2.1208028071823937</v>
      </c>
      <c r="G42" s="33">
        <f t="shared" si="7"/>
        <v>2.1250409932068401</v>
      </c>
      <c r="H42" s="33">
        <f t="shared" si="7"/>
        <v>2.1281845390174463</v>
      </c>
      <c r="I42" s="33">
        <f t="shared" si="7"/>
        <v>2.1326732673267328</v>
      </c>
      <c r="J42" s="33">
        <f t="shared" si="7"/>
        <v>2.1351403552083177</v>
      </c>
      <c r="K42" s="33">
        <f t="shared" si="7"/>
        <v>2.1375161126801365</v>
      </c>
      <c r="L42" s="33">
        <f t="shared" si="7"/>
        <v>2.1401409976741164</v>
      </c>
      <c r="M42" s="33">
        <f t="shared" si="7"/>
        <v>2.1426434777596866</v>
      </c>
      <c r="N42" s="33">
        <f t="shared" si="7"/>
        <v>2.1486495421811433</v>
      </c>
      <c r="O42" s="33">
        <f t="shared" si="7"/>
        <v>2.1512151060260658</v>
      </c>
      <c r="P42" s="33">
        <f t="shared" si="7"/>
        <v>2.1519108644659304</v>
      </c>
      <c r="Q42" s="33">
        <f t="shared" si="7"/>
        <v>2.155185454753036</v>
      </c>
      <c r="R42" s="33">
        <f t="shared" si="7"/>
        <v>2.1588875918227894</v>
      </c>
      <c r="S42" s="33">
        <f t="shared" si="7"/>
        <v>2.1640909090909091</v>
      </c>
      <c r="T42" s="33">
        <f t="shared" si="7"/>
        <v>2.1651123898069673</v>
      </c>
      <c r="U42" s="33">
        <f t="shared" si="7"/>
        <v>2.1685981387718152</v>
      </c>
      <c r="V42" s="33">
        <f t="shared" si="7"/>
        <v>2.1731214362332754</v>
      </c>
      <c r="W42" s="33">
        <f t="shared" si="7"/>
        <v>2.1756285830997424</v>
      </c>
      <c r="X42" s="33">
        <f t="shared" si="7"/>
        <v>2.1776121711497631</v>
      </c>
      <c r="Y42" s="33">
        <f t="shared" si="7"/>
        <v>2.1819188658057271</v>
      </c>
      <c r="Z42" s="33">
        <f t="shared" si="7"/>
        <v>2.184076513452915</v>
      </c>
      <c r="AA42" s="33">
        <f t="shared" si="7"/>
        <v>2.1877167205406991</v>
      </c>
      <c r="AB42" s="33">
        <f t="shared" si="7"/>
        <v>2.1886249301285634</v>
      </c>
      <c r="AC42" s="33">
        <f t="shared" si="7"/>
        <v>2.1905894995394535</v>
      </c>
      <c r="AD42" s="33">
        <f t="shared" si="7"/>
        <v>2.1931602721391923</v>
      </c>
      <c r="AE42" s="33">
        <f t="shared" si="7"/>
        <v>2.1957563265135578</v>
      </c>
      <c r="AF42" s="33">
        <f t="shared" si="7"/>
        <v>2.1985918236718334</v>
      </c>
      <c r="AG42" s="33">
        <f t="shared" si="7"/>
        <v>2.197589021287246</v>
      </c>
      <c r="AH42" s="33">
        <f t="shared" si="7"/>
        <v>2.2008392152503751</v>
      </c>
    </row>
    <row r="43" spans="1:34" x14ac:dyDescent="0.3">
      <c r="A43" s="21" t="s">
        <v>24</v>
      </c>
      <c r="B43" s="17">
        <f t="shared" ref="B43:AH43" si="8">B28/B$33*B$42</f>
        <v>0.39252346677770505</v>
      </c>
      <c r="C43" s="17">
        <f t="shared" si="8"/>
        <v>0.39067553187327742</v>
      </c>
      <c r="D43" s="17">
        <f t="shared" si="8"/>
        <v>0.38847270592405508</v>
      </c>
      <c r="E43" s="17">
        <f t="shared" si="8"/>
        <v>0.38507480268582872</v>
      </c>
      <c r="F43" s="17">
        <f t="shared" si="8"/>
        <v>0.38154629942300072</v>
      </c>
      <c r="G43" s="17">
        <f t="shared" si="8"/>
        <v>0.37961319981260255</v>
      </c>
      <c r="H43" s="17">
        <f t="shared" si="8"/>
        <v>0.37713409737937076</v>
      </c>
      <c r="I43" s="17">
        <f t="shared" si="8"/>
        <v>0.37524752475247525</v>
      </c>
      <c r="J43" s="17">
        <f t="shared" si="8"/>
        <v>0.37283367944119306</v>
      </c>
      <c r="K43" s="17">
        <f t="shared" si="8"/>
        <v>0.36942284017669641</v>
      </c>
      <c r="L43" s="17">
        <f t="shared" si="8"/>
        <v>0.36705046156513199</v>
      </c>
      <c r="M43" s="17">
        <f t="shared" si="8"/>
        <v>0.36466333338136342</v>
      </c>
      <c r="N43" s="17">
        <f t="shared" si="8"/>
        <v>0.36287426871163869</v>
      </c>
      <c r="O43" s="17">
        <f t="shared" si="8"/>
        <v>0.36050582820766486</v>
      </c>
      <c r="P43" s="17">
        <f t="shared" si="8"/>
        <v>0.35668659534298303</v>
      </c>
      <c r="Q43" s="17">
        <f t="shared" si="8"/>
        <v>0.35445191305961099</v>
      </c>
      <c r="R43" s="17">
        <f t="shared" si="8"/>
        <v>0.35213114287341274</v>
      </c>
      <c r="S43" s="17">
        <f t="shared" si="8"/>
        <v>0.34990056818181819</v>
      </c>
      <c r="T43" s="17">
        <f t="shared" si="8"/>
        <v>0.34716120071430595</v>
      </c>
      <c r="U43" s="17">
        <f t="shared" si="8"/>
        <v>0.34400475207195985</v>
      </c>
      <c r="V43" s="17">
        <f t="shared" si="8"/>
        <v>0.34183932704793096</v>
      </c>
      <c r="W43" s="17">
        <f t="shared" si="8"/>
        <v>0.33921090811770177</v>
      </c>
      <c r="X43" s="17">
        <f t="shared" si="8"/>
        <v>0.33666390134844421</v>
      </c>
      <c r="Y43" s="17">
        <f t="shared" si="8"/>
        <v>0.33365946097697924</v>
      </c>
      <c r="Z43" s="17">
        <f t="shared" si="8"/>
        <v>0.33115610986547089</v>
      </c>
      <c r="AA43" s="17">
        <f t="shared" si="8"/>
        <v>0.32873934763444018</v>
      </c>
      <c r="AB43" s="17">
        <f t="shared" si="8"/>
        <v>0.32538848518725544</v>
      </c>
      <c r="AC43" s="17">
        <f t="shared" si="8"/>
        <v>0.32302732575990173</v>
      </c>
      <c r="AD43" s="17">
        <f t="shared" si="8"/>
        <v>0.32076176667410217</v>
      </c>
      <c r="AE43" s="17">
        <f t="shared" si="8"/>
        <v>0.31754014568042221</v>
      </c>
      <c r="AF43" s="17">
        <f t="shared" si="8"/>
        <v>0.31532435365819717</v>
      </c>
      <c r="AG43" s="17">
        <f t="shared" si="8"/>
        <v>0.31174205030519603</v>
      </c>
      <c r="AH43" s="17">
        <f t="shared" si="8"/>
        <v>0.30959817706886011</v>
      </c>
    </row>
    <row r="44" spans="1:34" x14ac:dyDescent="0.3">
      <c r="A44" s="21" t="s">
        <v>25</v>
      </c>
      <c r="B44" s="17">
        <f t="shared" ref="B44:AH44" si="9">B29/B$33*B$42</f>
        <v>0.37060591279519367</v>
      </c>
      <c r="C44" s="17">
        <f t="shared" si="9"/>
        <v>0.36775324301336576</v>
      </c>
      <c r="D44" s="17">
        <f t="shared" si="9"/>
        <v>0.36456669325180552</v>
      </c>
      <c r="E44" s="17">
        <f t="shared" si="9"/>
        <v>0.36026328189421608</v>
      </c>
      <c r="F44" s="17">
        <f t="shared" si="9"/>
        <v>0.35677056569423443</v>
      </c>
      <c r="G44" s="17">
        <f t="shared" si="9"/>
        <v>0.35384311314125089</v>
      </c>
      <c r="H44" s="17">
        <f t="shared" si="9"/>
        <v>0.3504080589824074</v>
      </c>
      <c r="I44" s="17">
        <f t="shared" si="9"/>
        <v>0.34752475247524756</v>
      </c>
      <c r="J44" s="17">
        <f t="shared" si="9"/>
        <v>0.34415416563802431</v>
      </c>
      <c r="K44" s="17">
        <f t="shared" si="9"/>
        <v>0.3407777536389312</v>
      </c>
      <c r="L44" s="17">
        <f t="shared" si="9"/>
        <v>0.33646292310137099</v>
      </c>
      <c r="M44" s="17">
        <f t="shared" si="9"/>
        <v>0.33312488292675901</v>
      </c>
      <c r="N44" s="17">
        <f t="shared" si="9"/>
        <v>0.33033391309347543</v>
      </c>
      <c r="O44" s="17">
        <f t="shared" si="9"/>
        <v>0.32701621575121509</v>
      </c>
      <c r="P44" s="17">
        <f t="shared" si="9"/>
        <v>0.32327793352022427</v>
      </c>
      <c r="Q44" s="17">
        <f t="shared" si="9"/>
        <v>0.3200867691341639</v>
      </c>
      <c r="R44" s="17">
        <f t="shared" si="9"/>
        <v>0.31681994191674739</v>
      </c>
      <c r="S44" s="17">
        <f t="shared" si="9"/>
        <v>0.31363636363636366</v>
      </c>
      <c r="T44" s="17">
        <f t="shared" si="9"/>
        <v>0.31000028345474645</v>
      </c>
      <c r="U44" s="17">
        <f t="shared" si="9"/>
        <v>0.30686787542782784</v>
      </c>
      <c r="V44" s="17">
        <f t="shared" si="9"/>
        <v>0.30374865917687577</v>
      </c>
      <c r="W44" s="17">
        <f t="shared" si="9"/>
        <v>0.30119589255278689</v>
      </c>
      <c r="X44" s="17">
        <f t="shared" si="9"/>
        <v>0.29774321911162982</v>
      </c>
      <c r="Y44" s="17">
        <f t="shared" si="9"/>
        <v>0.29474873666479506</v>
      </c>
      <c r="Z44" s="17">
        <f t="shared" si="9"/>
        <v>0.29133968609865474</v>
      </c>
      <c r="AA44" s="17">
        <f t="shared" si="9"/>
        <v>0.28801057890096965</v>
      </c>
      <c r="AB44" s="17">
        <f t="shared" si="9"/>
        <v>0.2847149245388485</v>
      </c>
      <c r="AC44" s="17">
        <f t="shared" si="9"/>
        <v>0.28047282775560328</v>
      </c>
      <c r="AD44" s="17">
        <f t="shared" si="9"/>
        <v>0.2772850211911666</v>
      </c>
      <c r="AE44" s="17">
        <f t="shared" si="9"/>
        <v>0.27410760295817599</v>
      </c>
      <c r="AF44" s="17">
        <f t="shared" si="9"/>
        <v>0.27096679932095841</v>
      </c>
      <c r="AG44" s="17">
        <f t="shared" si="9"/>
        <v>0.26748237649643364</v>
      </c>
      <c r="AH44" s="17">
        <f t="shared" si="9"/>
        <v>0.26440838103706998</v>
      </c>
    </row>
    <row r="45" spans="1:34" x14ac:dyDescent="0.3">
      <c r="A45" s="21" t="s">
        <v>26</v>
      </c>
      <c r="B45" s="17">
        <f t="shared" ref="B45:AH45" si="10">B30/B$33*B$42</f>
        <v>0.26500315269763847</v>
      </c>
      <c r="C45" s="17">
        <f t="shared" si="10"/>
        <v>0.26908773879026759</v>
      </c>
      <c r="D45" s="17">
        <f t="shared" si="10"/>
        <v>0.27292697800818233</v>
      </c>
      <c r="E45" s="17">
        <f t="shared" si="10"/>
        <v>0.27590411120273295</v>
      </c>
      <c r="F45" s="17">
        <f t="shared" si="10"/>
        <v>0.27947027646048367</v>
      </c>
      <c r="G45" s="17">
        <f t="shared" si="10"/>
        <v>0.28247979620520031</v>
      </c>
      <c r="H45" s="17">
        <f t="shared" si="10"/>
        <v>0.28606759617490324</v>
      </c>
      <c r="I45" s="17">
        <f t="shared" si="10"/>
        <v>0.28910891089108914</v>
      </c>
      <c r="J45" s="17">
        <f t="shared" si="10"/>
        <v>0.29272883054268739</v>
      </c>
      <c r="K45" s="17">
        <f t="shared" si="10"/>
        <v>0.29534071982040705</v>
      </c>
      <c r="L45" s="17">
        <f t="shared" si="10"/>
        <v>0.29896852111353495</v>
      </c>
      <c r="M45" s="17">
        <f t="shared" si="10"/>
        <v>0.30158643247215461</v>
      </c>
      <c r="N45" s="17">
        <f t="shared" si="10"/>
        <v>0.3046960571518923</v>
      </c>
      <c r="O45" s="17">
        <f t="shared" si="10"/>
        <v>0.30731644371800937</v>
      </c>
      <c r="P45" s="17">
        <f t="shared" si="10"/>
        <v>0.31050403341152238</v>
      </c>
      <c r="Q45" s="17">
        <f t="shared" si="10"/>
        <v>0.31321374034907451</v>
      </c>
      <c r="R45" s="17">
        <f t="shared" si="10"/>
        <v>0.31583907522350668</v>
      </c>
      <c r="S45" s="17">
        <f t="shared" si="10"/>
        <v>0.31853693181818177</v>
      </c>
      <c r="T45" s="17">
        <f t="shared" si="10"/>
        <v>0.32075739108251367</v>
      </c>
      <c r="U45" s="17">
        <f t="shared" si="10"/>
        <v>0.32348174129493956</v>
      </c>
      <c r="V45" s="17">
        <f t="shared" si="10"/>
        <v>0.32621238638288269</v>
      </c>
      <c r="W45" s="17">
        <f t="shared" si="10"/>
        <v>0.32848872424041808</v>
      </c>
      <c r="X45" s="17">
        <f t="shared" si="10"/>
        <v>0.33082579901292203</v>
      </c>
      <c r="Y45" s="17">
        <f t="shared" si="10"/>
        <v>0.33268669286917463</v>
      </c>
      <c r="Z45" s="17">
        <f t="shared" si="10"/>
        <v>0.33504063901345293</v>
      </c>
      <c r="AA45" s="17">
        <f t="shared" si="10"/>
        <v>0.33746694093446955</v>
      </c>
      <c r="AB45" s="17">
        <f t="shared" si="10"/>
        <v>0.33894633873672442</v>
      </c>
      <c r="AC45" s="17">
        <f t="shared" si="10"/>
        <v>0.34140313171630338</v>
      </c>
      <c r="AD45" s="17">
        <f t="shared" si="10"/>
        <v>0.34298321436538026</v>
      </c>
      <c r="AE45" s="17">
        <f t="shared" si="10"/>
        <v>0.34553000654586974</v>
      </c>
      <c r="AF45" s="17">
        <f t="shared" si="10"/>
        <v>0.34714607742186843</v>
      </c>
      <c r="AG45" s="17">
        <f t="shared" si="10"/>
        <v>0.3483043895385215</v>
      </c>
      <c r="AH45" s="17">
        <f t="shared" si="10"/>
        <v>0.34998054799088535</v>
      </c>
    </row>
    <row r="46" spans="1:34" x14ac:dyDescent="0.3">
      <c r="A46" s="21" t="s">
        <v>27</v>
      </c>
      <c r="B46" s="17">
        <f t="shared" ref="B46:AH46" si="11">B31/B$33*B$42</f>
        <v>0.84581833323419198</v>
      </c>
      <c r="C46" s="17">
        <f t="shared" si="11"/>
        <v>0.84912130907151118</v>
      </c>
      <c r="D46" s="17">
        <f t="shared" si="11"/>
        <v>0.84965953372620251</v>
      </c>
      <c r="E46" s="17">
        <f t="shared" si="11"/>
        <v>0.84855401107315342</v>
      </c>
      <c r="F46" s="17">
        <f t="shared" si="11"/>
        <v>0.8493121522221081</v>
      </c>
      <c r="G46" s="17">
        <f t="shared" si="11"/>
        <v>0.85041286015460305</v>
      </c>
      <c r="H46" s="17">
        <f t="shared" si="11"/>
        <v>0.85127381560697857</v>
      </c>
      <c r="I46" s="17">
        <f t="shared" si="11"/>
        <v>0.85247524752475257</v>
      </c>
      <c r="J46" s="17">
        <f t="shared" si="11"/>
        <v>0.85247382408039363</v>
      </c>
      <c r="K46" s="17">
        <f t="shared" si="11"/>
        <v>0.85342602650445376</v>
      </c>
      <c r="L46" s="17">
        <f t="shared" si="11"/>
        <v>0.85349099261784733</v>
      </c>
      <c r="M46" s="17">
        <f t="shared" si="11"/>
        <v>0.85350931542773167</v>
      </c>
      <c r="N46" s="17">
        <f t="shared" si="11"/>
        <v>0.85492388851356182</v>
      </c>
      <c r="O46" s="17">
        <f t="shared" si="11"/>
        <v>0.85497010624112868</v>
      </c>
      <c r="P46" s="17">
        <f t="shared" si="11"/>
        <v>0.85388609188168652</v>
      </c>
      <c r="Q46" s="17">
        <f t="shared" si="11"/>
        <v>0.85421929186111223</v>
      </c>
      <c r="R46" s="17">
        <f t="shared" si="11"/>
        <v>0.85433488981265315</v>
      </c>
      <c r="S46" s="17">
        <f t="shared" si="11"/>
        <v>0.85465909090909087</v>
      </c>
      <c r="T46" s="17">
        <f t="shared" si="11"/>
        <v>0.85372317809461717</v>
      </c>
      <c r="U46" s="17">
        <f t="shared" si="11"/>
        <v>0.8541481628150368</v>
      </c>
      <c r="V46" s="17">
        <f t="shared" si="11"/>
        <v>0.85362163382826195</v>
      </c>
      <c r="W46" s="17">
        <f t="shared" si="11"/>
        <v>0.85290099023847432</v>
      </c>
      <c r="X46" s="17">
        <f t="shared" si="11"/>
        <v>0.8513899239303141</v>
      </c>
      <c r="Y46" s="17">
        <f t="shared" si="11"/>
        <v>0.85214486243683318</v>
      </c>
      <c r="Z46" s="17">
        <f t="shared" si="11"/>
        <v>0.8507118834080718</v>
      </c>
      <c r="AA46" s="17">
        <f t="shared" si="11"/>
        <v>0.85045548045841901</v>
      </c>
      <c r="AB46" s="17">
        <f t="shared" si="11"/>
        <v>0.84930268306316381</v>
      </c>
      <c r="AC46" s="17">
        <f t="shared" si="11"/>
        <v>0.84818851704022102</v>
      </c>
      <c r="AD46" s="17">
        <f t="shared" si="11"/>
        <v>0.8473134619674324</v>
      </c>
      <c r="AE46" s="17">
        <f t="shared" si="11"/>
        <v>0.84645199927577586</v>
      </c>
      <c r="AF46" s="17">
        <f t="shared" si="11"/>
        <v>0.84472212172654648</v>
      </c>
      <c r="AG46" s="17">
        <f t="shared" si="11"/>
        <v>0.84285813601034476</v>
      </c>
      <c r="AH46" s="17">
        <f t="shared" si="11"/>
        <v>0.84129939420885902</v>
      </c>
    </row>
    <row r="47" spans="1:34" x14ac:dyDescent="0.3">
      <c r="A47" s="21" t="s">
        <v>28</v>
      </c>
      <c r="B47" s="17">
        <f t="shared" ref="B47:AH47" si="12">B32/B$33*B$42</f>
        <v>0.2371080839926239</v>
      </c>
      <c r="C47" s="17">
        <f t="shared" si="12"/>
        <v>0.2411823436564621</v>
      </c>
      <c r="D47" s="17">
        <f t="shared" si="12"/>
        <v>0.24603271375190156</v>
      </c>
      <c r="E47" s="17">
        <f t="shared" si="12"/>
        <v>0.24910766874779125</v>
      </c>
      <c r="F47" s="17">
        <f t="shared" si="12"/>
        <v>0.25370351338256675</v>
      </c>
      <c r="G47" s="17">
        <f t="shared" si="12"/>
        <v>0.25869202389318341</v>
      </c>
      <c r="H47" s="17">
        <f t="shared" si="12"/>
        <v>0.2633009708737864</v>
      </c>
      <c r="I47" s="17">
        <f t="shared" si="12"/>
        <v>0.26831683168316833</v>
      </c>
      <c r="J47" s="17">
        <f t="shared" si="12"/>
        <v>0.2729498555060193</v>
      </c>
      <c r="K47" s="17">
        <f t="shared" si="12"/>
        <v>0.2785487725396481</v>
      </c>
      <c r="L47" s="17">
        <f t="shared" si="12"/>
        <v>0.28416809927623121</v>
      </c>
      <c r="M47" s="17">
        <f t="shared" si="12"/>
        <v>0.28975951355167795</v>
      </c>
      <c r="N47" s="17">
        <f t="shared" si="12"/>
        <v>0.29582141471057505</v>
      </c>
      <c r="O47" s="17">
        <f t="shared" si="12"/>
        <v>0.3014065121080477</v>
      </c>
      <c r="P47" s="17">
        <f t="shared" si="12"/>
        <v>0.30755621030951424</v>
      </c>
      <c r="Q47" s="17">
        <f t="shared" si="12"/>
        <v>0.31321374034907451</v>
      </c>
      <c r="R47" s="17">
        <f t="shared" si="12"/>
        <v>0.31976254199646947</v>
      </c>
      <c r="S47" s="17">
        <f t="shared" si="12"/>
        <v>0.32735795454545458</v>
      </c>
      <c r="T47" s="17">
        <f t="shared" si="12"/>
        <v>0.333470336460784</v>
      </c>
      <c r="U47" s="17">
        <f t="shared" si="12"/>
        <v>0.34009560716205123</v>
      </c>
      <c r="V47" s="17">
        <f t="shared" si="12"/>
        <v>0.34769942979732404</v>
      </c>
      <c r="W47" s="17">
        <f t="shared" si="12"/>
        <v>0.35383206795036132</v>
      </c>
      <c r="X47" s="17">
        <f t="shared" si="12"/>
        <v>0.36098932774645315</v>
      </c>
      <c r="Y47" s="17">
        <f t="shared" si="12"/>
        <v>0.36867911285794497</v>
      </c>
      <c r="Z47" s="17">
        <f t="shared" si="12"/>
        <v>0.37582819506726461</v>
      </c>
      <c r="AA47" s="17">
        <f t="shared" si="12"/>
        <v>0.38304437261240082</v>
      </c>
      <c r="AB47" s="17">
        <f t="shared" si="12"/>
        <v>0.39027249860257124</v>
      </c>
      <c r="AC47" s="17">
        <f t="shared" si="12"/>
        <v>0.39749769726742401</v>
      </c>
      <c r="AD47" s="17">
        <f t="shared" si="12"/>
        <v>0.4048168079411108</v>
      </c>
      <c r="AE47" s="17">
        <f t="shared" si="12"/>
        <v>0.41212657205331393</v>
      </c>
      <c r="AF47" s="17">
        <f t="shared" si="12"/>
        <v>0.42043247154426289</v>
      </c>
      <c r="AG47" s="17">
        <f t="shared" si="12"/>
        <v>0.42720206893675006</v>
      </c>
      <c r="AH47" s="17">
        <f t="shared" si="12"/>
        <v>0.43555271494470071</v>
      </c>
    </row>
    <row r="50" spans="1:34" x14ac:dyDescent="0.3">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row>
    <row r="51" spans="1:34" x14ac:dyDescent="0.3">
      <c r="B51" t="s">
        <v>17</v>
      </c>
    </row>
    <row r="52" spans="1:34" x14ac:dyDescent="0.3">
      <c r="A52" s="21" t="s">
        <v>24</v>
      </c>
      <c r="B52">
        <v>0.3876</v>
      </c>
    </row>
    <row r="53" spans="1:34" x14ac:dyDescent="0.3">
      <c r="A53" s="21" t="s">
        <v>25</v>
      </c>
      <c r="B53">
        <v>0.36880000000000002</v>
      </c>
    </row>
    <row r="54" spans="1:34" x14ac:dyDescent="0.3">
      <c r="A54" s="21" t="s">
        <v>26</v>
      </c>
      <c r="B54">
        <v>0.28349999999999997</v>
      </c>
    </row>
    <row r="55" spans="1:34" x14ac:dyDescent="0.3">
      <c r="A55" s="21" t="s">
        <v>27</v>
      </c>
      <c r="B55">
        <v>0.85599999999999998</v>
      </c>
    </row>
    <row r="56" spans="1:34" x14ac:dyDescent="0.3">
      <c r="A56" s="21" t="s">
        <v>28</v>
      </c>
      <c r="B56">
        <v>0.26040000000000002</v>
      </c>
    </row>
    <row r="58" spans="1:34" x14ac:dyDescent="0.3">
      <c r="A58" s="21" t="s">
        <v>37</v>
      </c>
      <c r="B58">
        <f>SUM(B52:B56)</f>
        <v>2.1562999999999999</v>
      </c>
    </row>
    <row r="59" spans="1:34" x14ac:dyDescent="0.3">
      <c r="A59" s="21" t="s">
        <v>38</v>
      </c>
      <c r="B59">
        <v>64.73</v>
      </c>
    </row>
  </sheetData>
  <mergeCells count="2">
    <mergeCell ref="B2:J2"/>
    <mergeCell ref="B8:J8"/>
  </mergeCells>
  <hyperlinks>
    <hyperlink ref="B12" r:id="rId1"/>
    <hyperlink ref="G11" r:id="rId2" location="tableau-figure1"/>
  </hyperlinks>
  <pageMargins left="0.7" right="0.7" top="0.75" bottom="0.75" header="0.51180555555555496" footer="0.51180555555555496"/>
  <pageSetup paperSize="9" firstPageNumber="0" orientation="portrait" horizontalDpi="300" verticalDpi="30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DD7EE"/>
  </sheetPr>
  <dimension ref="B3:V22"/>
  <sheetViews>
    <sheetView zoomScale="72" zoomScaleNormal="72" workbookViewId="0">
      <selection activeCell="N22" sqref="N22"/>
    </sheetView>
  </sheetViews>
  <sheetFormatPr baseColWidth="10" defaultColWidth="8.88671875" defaultRowHeight="14.4" x14ac:dyDescent="0.3"/>
  <cols>
    <col min="1" max="1023" width="10.44140625" customWidth="1"/>
    <col min="1024" max="1025" width="11.5546875" customWidth="1"/>
  </cols>
  <sheetData>
    <row r="3" spans="2:22" ht="36" customHeight="1" x14ac:dyDescent="0.3">
      <c r="B3" s="98" t="s">
        <v>39</v>
      </c>
      <c r="C3" s="98"/>
      <c r="D3" s="98"/>
      <c r="E3" s="98"/>
      <c r="F3" s="98"/>
      <c r="G3" s="98"/>
      <c r="H3" s="98"/>
      <c r="I3" s="98"/>
    </row>
    <row r="5" spans="2:22" x14ac:dyDescent="0.3">
      <c r="C5" t="s">
        <v>40</v>
      </c>
      <c r="D5" s="34">
        <v>2018</v>
      </c>
      <c r="E5" s="34">
        <v>2020</v>
      </c>
      <c r="F5" s="34">
        <f t="shared" ref="F5:K5" si="0">E5+5</f>
        <v>2025</v>
      </c>
      <c r="G5" s="34">
        <f t="shared" si="0"/>
        <v>2030</v>
      </c>
      <c r="H5" s="34">
        <f t="shared" si="0"/>
        <v>2035</v>
      </c>
      <c r="I5" s="34">
        <f t="shared" si="0"/>
        <v>2040</v>
      </c>
      <c r="J5" s="34">
        <f t="shared" si="0"/>
        <v>2045</v>
      </c>
      <c r="K5" s="34">
        <f t="shared" si="0"/>
        <v>2050</v>
      </c>
    </row>
    <row r="6" spans="2:22" ht="14.4" customHeight="1" x14ac:dyDescent="0.3">
      <c r="B6" s="101" t="s">
        <v>41</v>
      </c>
      <c r="C6" s="35" t="s">
        <v>42</v>
      </c>
      <c r="D6" s="35">
        <v>29.9</v>
      </c>
      <c r="E6" s="35">
        <v>30</v>
      </c>
      <c r="F6" s="35">
        <v>30.2</v>
      </c>
      <c r="G6" s="35">
        <v>30.5</v>
      </c>
      <c r="H6" s="35">
        <v>31</v>
      </c>
      <c r="I6" s="35">
        <v>31.1</v>
      </c>
      <c r="J6" s="35">
        <v>31.2</v>
      </c>
      <c r="K6" s="35">
        <v>31.3</v>
      </c>
      <c r="S6" s="12" t="s">
        <v>43</v>
      </c>
    </row>
    <row r="7" spans="2:22" x14ac:dyDescent="0.3">
      <c r="B7" s="101"/>
      <c r="C7" s="35" t="s">
        <v>44</v>
      </c>
      <c r="D7" s="36">
        <f>'1. Population'!B20</f>
        <v>66.992000000000004</v>
      </c>
      <c r="E7" s="36">
        <f>'1. Population'!D17</f>
        <v>67.819999999999993</v>
      </c>
      <c r="F7" s="36">
        <f>'1. Population'!I17</f>
        <v>69.093000000000004</v>
      </c>
      <c r="G7" s="36">
        <f>'1. Population'!N17</f>
        <v>70.281000000000006</v>
      </c>
      <c r="H7" s="36">
        <f>'1. Population'!S17</f>
        <v>71.417000000000002</v>
      </c>
      <c r="I7" s="36">
        <f>'1. Population'!X17</f>
        <v>72.448999999999998</v>
      </c>
      <c r="J7" s="36">
        <f>'1. Population'!AC17</f>
        <v>73.311999999999998</v>
      </c>
      <c r="K7" s="36">
        <f>'1. Population'!AH17</f>
        <v>74.025000000000006</v>
      </c>
      <c r="S7" s="37" t="s">
        <v>45</v>
      </c>
      <c r="T7" t="s">
        <v>46</v>
      </c>
      <c r="U7">
        <v>27.122</v>
      </c>
      <c r="V7" t="s">
        <v>47</v>
      </c>
    </row>
    <row r="8" spans="2:22" x14ac:dyDescent="0.3">
      <c r="B8" s="101"/>
      <c r="C8" s="35" t="s">
        <v>48</v>
      </c>
      <c r="D8" s="38">
        <f t="shared" ref="D8:K8" si="1">D6/D7</f>
        <v>0.44632194888941956</v>
      </c>
      <c r="E8" s="38">
        <f t="shared" si="1"/>
        <v>0.44234739015039815</v>
      </c>
      <c r="F8" s="38">
        <f t="shared" si="1"/>
        <v>0.43709203537261371</v>
      </c>
      <c r="G8" s="38">
        <f t="shared" si="1"/>
        <v>0.43397219732217807</v>
      </c>
      <c r="H8" s="38">
        <f t="shared" si="1"/>
        <v>0.43407031939174145</v>
      </c>
      <c r="I8" s="38">
        <f t="shared" si="1"/>
        <v>0.42926748471338461</v>
      </c>
      <c r="J8" s="38">
        <f t="shared" si="1"/>
        <v>0.42557835006547362</v>
      </c>
      <c r="K8" s="38">
        <f t="shared" si="1"/>
        <v>0.42283012495778449</v>
      </c>
      <c r="S8" t="s">
        <v>49</v>
      </c>
      <c r="T8" t="s">
        <v>50</v>
      </c>
      <c r="U8" s="39">
        <f>U7*(1-'1. Population'!B35)*1.091</f>
        <v>28.657655593807625</v>
      </c>
      <c r="V8" t="s">
        <v>51</v>
      </c>
    </row>
    <row r="9" spans="2:22" ht="14.4" customHeight="1" x14ac:dyDescent="0.3">
      <c r="B9" s="100" t="s">
        <v>52</v>
      </c>
      <c r="C9" s="40" t="s">
        <v>42</v>
      </c>
      <c r="D9" s="40">
        <v>29.9</v>
      </c>
      <c r="E9" s="40">
        <v>30</v>
      </c>
      <c r="F9" s="40">
        <v>30.2</v>
      </c>
      <c r="G9" s="40">
        <v>30.5</v>
      </c>
      <c r="H9" s="40">
        <v>31</v>
      </c>
      <c r="I9" s="40">
        <v>31</v>
      </c>
      <c r="J9" s="40">
        <v>31</v>
      </c>
      <c r="K9" s="40">
        <v>30.8</v>
      </c>
      <c r="M9" t="s">
        <v>53</v>
      </c>
      <c r="S9" t="s">
        <v>54</v>
      </c>
    </row>
    <row r="10" spans="2:22" x14ac:dyDescent="0.3">
      <c r="B10" s="100"/>
      <c r="C10" s="40" t="s">
        <v>44</v>
      </c>
      <c r="D10" s="41">
        <f>'1. Population'!B19</f>
        <v>67.240666000000004</v>
      </c>
      <c r="E10" s="41">
        <f>'1. Population'!D19</f>
        <v>67.707069000000004</v>
      </c>
      <c r="F10" s="41">
        <f>'1. Population'!I19</f>
        <v>68.681546999999995</v>
      </c>
      <c r="G10" s="41">
        <f>'1. Population'!N19</f>
        <v>69.570370999999994</v>
      </c>
      <c r="H10" s="41">
        <f>'1. Population'!S19</f>
        <v>70.401514000000006</v>
      </c>
      <c r="I10" s="41">
        <f>'1. Population'!X19</f>
        <v>71.117945000000006</v>
      </c>
      <c r="J10" s="41">
        <f>'1. Population'!AC19</f>
        <v>71.647525000000002</v>
      </c>
      <c r="K10" s="41">
        <f>'1. Population'!AH19</f>
        <v>71.965277999999998</v>
      </c>
      <c r="M10" t="s">
        <v>55</v>
      </c>
      <c r="N10" t="s">
        <v>56</v>
      </c>
      <c r="T10" t="s">
        <v>57</v>
      </c>
      <c r="U10">
        <v>20.64</v>
      </c>
      <c r="V10" t="s">
        <v>47</v>
      </c>
    </row>
    <row r="11" spans="2:22" x14ac:dyDescent="0.3">
      <c r="B11" s="100"/>
      <c r="C11" s="40" t="s">
        <v>48</v>
      </c>
      <c r="D11" s="42">
        <f t="shared" ref="D11:K11" si="2">D9/D10</f>
        <v>0.44467138383192095</v>
      </c>
      <c r="E11" s="42">
        <f t="shared" si="2"/>
        <v>0.44308519690905535</v>
      </c>
      <c r="F11" s="42">
        <f t="shared" si="2"/>
        <v>0.43971053826146345</v>
      </c>
      <c r="G11" s="42">
        <f t="shared" si="2"/>
        <v>0.43840502158598527</v>
      </c>
      <c r="H11" s="42">
        <f t="shared" si="2"/>
        <v>0.4403314394630774</v>
      </c>
      <c r="I11" s="42">
        <f t="shared" si="2"/>
        <v>0.43589560975081604</v>
      </c>
      <c r="J11" s="42">
        <f t="shared" si="2"/>
        <v>0.4326737036624782</v>
      </c>
      <c r="K11" s="42">
        <f t="shared" si="2"/>
        <v>0.42798417314527709</v>
      </c>
      <c r="T11" t="s">
        <v>57</v>
      </c>
      <c r="U11" s="14">
        <f>U10*(1-'1. Population'!B35)</f>
        <v>19.989590149307002</v>
      </c>
      <c r="V11" t="s">
        <v>51</v>
      </c>
    </row>
    <row r="12" spans="2:22" x14ac:dyDescent="0.3">
      <c r="B12" s="100" t="s">
        <v>191</v>
      </c>
      <c r="C12" s="40" t="s">
        <v>42</v>
      </c>
      <c r="D12" s="96">
        <v>29.92</v>
      </c>
      <c r="E12" s="96">
        <v>29.599</v>
      </c>
      <c r="F12" s="96">
        <v>30.09</v>
      </c>
      <c r="G12" s="96">
        <v>30.193999999999999</v>
      </c>
      <c r="H12" s="96">
        <v>30.390999999999998</v>
      </c>
      <c r="I12" s="96">
        <v>30.460999999999999</v>
      </c>
      <c r="J12" s="96">
        <v>30.251000000000001</v>
      </c>
      <c r="K12" s="96">
        <v>29.934000000000001</v>
      </c>
      <c r="U12" s="14"/>
    </row>
    <row r="13" spans="2:22" x14ac:dyDescent="0.3">
      <c r="B13" s="100"/>
      <c r="C13" s="40" t="s">
        <v>44</v>
      </c>
      <c r="D13" s="96">
        <v>67</v>
      </c>
      <c r="E13" s="96">
        <v>67.3</v>
      </c>
      <c r="F13" s="96">
        <v>68</v>
      </c>
      <c r="G13" s="96">
        <v>68.599999999999994</v>
      </c>
      <c r="H13" s="96">
        <v>69</v>
      </c>
      <c r="I13" s="96">
        <v>69.2</v>
      </c>
      <c r="J13" s="96">
        <v>69.3</v>
      </c>
      <c r="K13" s="96">
        <v>69.2</v>
      </c>
      <c r="U13" s="14"/>
    </row>
    <row r="14" spans="2:22" x14ac:dyDescent="0.3">
      <c r="B14" s="100"/>
      <c r="C14" s="40" t="s">
        <v>48</v>
      </c>
      <c r="D14" s="42">
        <f>D12/D13</f>
        <v>0.44656716417910453</v>
      </c>
      <c r="E14" s="42">
        <f t="shared" ref="E14:K14" si="3">E12/E13</f>
        <v>0.4398068350668648</v>
      </c>
      <c r="F14" s="42">
        <f t="shared" si="3"/>
        <v>0.4425</v>
      </c>
      <c r="G14" s="42">
        <f t="shared" si="3"/>
        <v>0.44014577259475218</v>
      </c>
      <c r="H14" s="42">
        <f t="shared" si="3"/>
        <v>0.44044927536231882</v>
      </c>
      <c r="I14" s="42">
        <f t="shared" si="3"/>
        <v>0.44018786127167625</v>
      </c>
      <c r="J14" s="42">
        <f t="shared" si="3"/>
        <v>0.43652236652236653</v>
      </c>
      <c r="K14" s="42">
        <f t="shared" si="3"/>
        <v>0.43257225433526009</v>
      </c>
      <c r="U14" s="14"/>
    </row>
    <row r="15" spans="2:22" ht="13.65" customHeight="1" x14ac:dyDescent="0.3">
      <c r="B15" s="102" t="s">
        <v>34</v>
      </c>
      <c r="C15" s="34" t="s">
        <v>58</v>
      </c>
      <c r="D15" s="44">
        <f>'1. Population'!B41</f>
        <v>64.880941050502656</v>
      </c>
      <c r="E15" s="45">
        <f>'1. Population'!D41</f>
        <v>65.320191375337856</v>
      </c>
      <c r="F15" s="45">
        <f>'1. Population'!I41</f>
        <v>65.867326732673263</v>
      </c>
      <c r="G15" s="45">
        <f>'1. Population'!N41</f>
        <v>66.451350457818847</v>
      </c>
      <c r="H15" s="45">
        <f>'1. Population'!S41</f>
        <v>66.835909090909098</v>
      </c>
      <c r="I15" s="45">
        <f>'1. Population'!X41</f>
        <v>67.022387828850242</v>
      </c>
      <c r="J15" s="45">
        <f>'1. Population'!AC41</f>
        <v>67.109410500460541</v>
      </c>
      <c r="K15" s="45">
        <f>'1. Population'!AH41</f>
        <v>66.999160784749634</v>
      </c>
      <c r="T15" t="s">
        <v>59</v>
      </c>
      <c r="U15" s="46">
        <f>U11/U8</f>
        <v>0.69753054585617857</v>
      </c>
      <c r="V15" t="s">
        <v>51</v>
      </c>
    </row>
    <row r="16" spans="2:22" x14ac:dyDescent="0.3">
      <c r="B16" s="102"/>
      <c r="C16" s="47" t="s">
        <v>60</v>
      </c>
      <c r="D16" s="48">
        <f>D15*D14</f>
        <v>28.973697854194622</v>
      </c>
      <c r="E16" s="48">
        <f t="shared" ref="E16:K16" si="4">E15*E14</f>
        <v>28.728266634749261</v>
      </c>
      <c r="F16" s="48">
        <f t="shared" si="4"/>
        <v>29.146292079207917</v>
      </c>
      <c r="G16" s="48">
        <f t="shared" si="4"/>
        <v>29.248280987221317</v>
      </c>
      <c r="H16" s="48">
        <f t="shared" si="4"/>
        <v>29.43782772727273</v>
      </c>
      <c r="I16" s="48">
        <f t="shared" si="4"/>
        <v>29.502441555702415</v>
      </c>
      <c r="J16" s="48">
        <f t="shared" si="4"/>
        <v>29.294758687581989</v>
      </c>
      <c r="K16" s="48">
        <f t="shared" si="4"/>
        <v>28.981978019229704</v>
      </c>
      <c r="M16" t="s">
        <v>61</v>
      </c>
    </row>
    <row r="18" spans="2:14" ht="13.65" customHeight="1" x14ac:dyDescent="0.3">
      <c r="B18" s="103" t="s">
        <v>62</v>
      </c>
      <c r="C18" s="34" t="s">
        <v>63</v>
      </c>
      <c r="D18" s="45">
        <f>U11</f>
        <v>19.989590149307002</v>
      </c>
      <c r="E18" s="45" t="e">
        <f>E16*#REF!/#REF!*$U15</f>
        <v>#REF!</v>
      </c>
      <c r="F18" s="45" t="e">
        <f>F16*#REF!/#REF!*$U15</f>
        <v>#REF!</v>
      </c>
      <c r="G18" s="45" t="e">
        <f>G16*#REF!/#REF!*$U15</f>
        <v>#REF!</v>
      </c>
      <c r="H18" s="45" t="e">
        <f>H16*#REF!/#REF!*$U15</f>
        <v>#REF!</v>
      </c>
      <c r="I18" s="45" t="e">
        <f>I16*#REF!/#REF!*$U15</f>
        <v>#REF!</v>
      </c>
      <c r="J18" s="45" t="e">
        <f>J16*#REF!/#REF!*$U15</f>
        <v>#REF!</v>
      </c>
      <c r="K18" s="45" t="e">
        <f>K16*#REF!/#REF!*$U15</f>
        <v>#REF!</v>
      </c>
      <c r="M18" t="s">
        <v>64</v>
      </c>
    </row>
    <row r="19" spans="2:14" x14ac:dyDescent="0.3">
      <c r="B19" s="103"/>
      <c r="C19" s="34" t="s">
        <v>65</v>
      </c>
      <c r="D19" s="45">
        <f>U11</f>
        <v>19.989590149307002</v>
      </c>
      <c r="E19" s="45" t="e">
        <f>E16*#REF!/#REF!*$U15</f>
        <v>#REF!</v>
      </c>
      <c r="F19" s="45" t="e">
        <f>F16*#REF!/#REF!*$U15</f>
        <v>#REF!</v>
      </c>
      <c r="G19" s="45" t="e">
        <f>G16*#REF!/#REF!*$U15</f>
        <v>#REF!</v>
      </c>
      <c r="H19" s="45" t="e">
        <f>H16*#REF!/#REF!*$U15</f>
        <v>#REF!</v>
      </c>
      <c r="I19" s="45" t="e">
        <f>I16*#REF!/#REF!*$U15</f>
        <v>#REF!</v>
      </c>
      <c r="J19" s="45" t="e">
        <f>J16*#REF!/#REF!*$U15</f>
        <v>#REF!</v>
      </c>
      <c r="K19" s="45" t="e">
        <f>K16*#REF!/#REF!*$U15</f>
        <v>#REF!</v>
      </c>
      <c r="M19" t="s">
        <v>64</v>
      </c>
    </row>
    <row r="20" spans="2:14" x14ac:dyDescent="0.3">
      <c r="D20" t="s">
        <v>66</v>
      </c>
    </row>
    <row r="21" spans="2:14" ht="13.8" customHeight="1" x14ac:dyDescent="0.3">
      <c r="B21" s="99" t="s">
        <v>67</v>
      </c>
      <c r="C21" s="34" t="s">
        <v>63</v>
      </c>
      <c r="E21" s="46"/>
      <c r="F21" s="46" t="e">
        <f t="shared" ref="F21:K22" si="5">(F18/E18)^(1/5)-1</f>
        <v>#REF!</v>
      </c>
      <c r="G21" s="46" t="e">
        <f t="shared" si="5"/>
        <v>#REF!</v>
      </c>
      <c r="H21" s="46" t="e">
        <f t="shared" si="5"/>
        <v>#REF!</v>
      </c>
      <c r="I21" s="46" t="e">
        <f t="shared" si="5"/>
        <v>#REF!</v>
      </c>
      <c r="J21" s="46" t="e">
        <f t="shared" si="5"/>
        <v>#REF!</v>
      </c>
      <c r="K21" s="46" t="e">
        <f t="shared" si="5"/>
        <v>#REF!</v>
      </c>
      <c r="N21" t="s">
        <v>192</v>
      </c>
    </row>
    <row r="22" spans="2:14" x14ac:dyDescent="0.3">
      <c r="B22" s="99"/>
      <c r="C22" s="34" t="s">
        <v>65</v>
      </c>
      <c r="E22" s="46"/>
      <c r="F22" s="46" t="e">
        <f t="shared" si="5"/>
        <v>#REF!</v>
      </c>
      <c r="G22" s="46" t="e">
        <f t="shared" si="5"/>
        <v>#REF!</v>
      </c>
      <c r="H22" s="46" t="e">
        <f t="shared" si="5"/>
        <v>#REF!</v>
      </c>
      <c r="I22" s="46" t="e">
        <f t="shared" si="5"/>
        <v>#REF!</v>
      </c>
      <c r="J22" s="46" t="e">
        <f t="shared" si="5"/>
        <v>#REF!</v>
      </c>
      <c r="K22" s="46" t="e">
        <f t="shared" si="5"/>
        <v>#REF!</v>
      </c>
      <c r="N22" s="95" t="s">
        <v>190</v>
      </c>
    </row>
  </sheetData>
  <mergeCells count="7">
    <mergeCell ref="B21:B22"/>
    <mergeCell ref="B12:B14"/>
    <mergeCell ref="B3:I3"/>
    <mergeCell ref="B6:B8"/>
    <mergeCell ref="B9:B11"/>
    <mergeCell ref="B15:B16"/>
    <mergeCell ref="B18:B19"/>
  </mergeCells>
  <hyperlinks>
    <hyperlink ref="N22" r:id="rId1" location="onglet-2"/>
  </hyperlink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AD47"/>
  </sheetPr>
  <dimension ref="A2:AJ38"/>
  <sheetViews>
    <sheetView zoomScale="72" zoomScaleNormal="72" workbookViewId="0">
      <selection activeCell="A12" sqref="A12"/>
    </sheetView>
  </sheetViews>
  <sheetFormatPr baseColWidth="10" defaultColWidth="8.88671875" defaultRowHeight="14.4" x14ac:dyDescent="0.3"/>
  <cols>
    <col min="1" max="1" width="22.109375" customWidth="1"/>
    <col min="2" max="2" width="14.44140625" customWidth="1"/>
    <col min="3" max="9" width="10.44140625" customWidth="1"/>
    <col min="10" max="10" width="12.6640625" customWidth="1"/>
    <col min="11" max="1025" width="10.44140625" customWidth="1"/>
  </cols>
  <sheetData>
    <row r="2" spans="1:34" x14ac:dyDescent="0.3">
      <c r="B2" s="97" t="s">
        <v>68</v>
      </c>
      <c r="C2" s="97"/>
      <c r="D2" s="97"/>
      <c r="E2" s="97"/>
      <c r="F2" s="97"/>
      <c r="G2" s="97"/>
      <c r="H2" s="97"/>
      <c r="I2" s="97"/>
      <c r="J2" s="97"/>
    </row>
    <row r="3" spans="1:34" x14ac:dyDescent="0.3">
      <c r="B3" s="1" t="s">
        <v>69</v>
      </c>
      <c r="C3" s="2">
        <v>2019</v>
      </c>
      <c r="D3" s="2">
        <v>2020</v>
      </c>
      <c r="E3" s="2">
        <v>2025</v>
      </c>
      <c r="F3" s="2">
        <v>2030</v>
      </c>
      <c r="G3" s="2">
        <v>2035</v>
      </c>
      <c r="H3" s="2">
        <v>2040</v>
      </c>
      <c r="I3" s="2">
        <v>2045</v>
      </c>
      <c r="J3" s="3">
        <v>2050</v>
      </c>
    </row>
    <row r="4" spans="1:34" x14ac:dyDescent="0.3">
      <c r="B4" s="49" t="s">
        <v>70</v>
      </c>
      <c r="C4" s="8">
        <f>C31</f>
        <v>1.8</v>
      </c>
      <c r="D4" s="8">
        <f>D31</f>
        <v>-8</v>
      </c>
      <c r="E4" s="8">
        <f>I31</f>
        <v>0.88911028620158183</v>
      </c>
      <c r="F4" s="8">
        <f>N31</f>
        <v>1.0596022998227892</v>
      </c>
      <c r="G4" s="8">
        <f>S31</f>
        <v>1.200001473826996</v>
      </c>
      <c r="H4" s="8">
        <f>X31</f>
        <v>1.4332382002272377</v>
      </c>
      <c r="I4" s="8">
        <f>AC31</f>
        <v>1.4964298836985941</v>
      </c>
      <c r="J4" s="9">
        <f>AH31</f>
        <v>1.5568770458147063</v>
      </c>
    </row>
    <row r="6" spans="1:34" ht="104.7" customHeight="1" x14ac:dyDescent="0.3">
      <c r="B6" s="98" t="s">
        <v>71</v>
      </c>
      <c r="C6" s="98"/>
      <c r="D6" s="98"/>
      <c r="E6" s="98"/>
      <c r="F6" s="98"/>
      <c r="G6" s="98"/>
      <c r="H6" s="98"/>
      <c r="I6" s="98"/>
      <c r="J6" s="98"/>
    </row>
    <row r="9" spans="1:34" x14ac:dyDescent="0.3">
      <c r="A9" t="s">
        <v>72</v>
      </c>
    </row>
    <row r="10" spans="1:34" x14ac:dyDescent="0.3">
      <c r="A10" t="s">
        <v>73</v>
      </c>
      <c r="B10" s="11" t="s">
        <v>74</v>
      </c>
    </row>
    <row r="11" spans="1:34" x14ac:dyDescent="0.3">
      <c r="A11" t="s">
        <v>188</v>
      </c>
      <c r="B11" s="95" t="s">
        <v>187</v>
      </c>
    </row>
    <row r="14" spans="1:34" x14ac:dyDescent="0.3">
      <c r="D14" s="14"/>
      <c r="E14" s="14"/>
      <c r="F14" s="14"/>
      <c r="G14" s="14"/>
      <c r="H14" s="14"/>
      <c r="I14" s="14"/>
      <c r="J14" s="14"/>
      <c r="K14" s="14"/>
      <c r="L14" s="14"/>
      <c r="M14" s="14"/>
      <c r="N14" s="14"/>
      <c r="O14" s="14"/>
      <c r="P14" s="14"/>
      <c r="Q14" s="14"/>
      <c r="R14" s="14"/>
      <c r="S14" s="14"/>
      <c r="T14" s="14"/>
      <c r="U14" s="14"/>
      <c r="V14" s="14"/>
      <c r="W14" s="14"/>
      <c r="X14" s="14"/>
    </row>
    <row r="15" spans="1:34" x14ac:dyDescent="0.3">
      <c r="A15" s="50" t="s">
        <v>75</v>
      </c>
      <c r="B15" s="51">
        <v>2018</v>
      </c>
      <c r="C15" s="51">
        <v>2019</v>
      </c>
      <c r="D15" s="52">
        <v>2020</v>
      </c>
      <c r="E15" s="52">
        <v>2021</v>
      </c>
      <c r="F15" s="52">
        <v>2022</v>
      </c>
      <c r="G15" s="52">
        <v>2023</v>
      </c>
      <c r="H15" s="52">
        <v>2024</v>
      </c>
      <c r="I15" s="52">
        <v>2025</v>
      </c>
      <c r="J15" s="52">
        <v>2026</v>
      </c>
      <c r="K15" s="52">
        <v>2027</v>
      </c>
      <c r="L15" s="52">
        <v>2028</v>
      </c>
      <c r="M15" s="52">
        <v>2029</v>
      </c>
      <c r="N15" s="52">
        <v>2030</v>
      </c>
      <c r="O15" s="52">
        <v>2031</v>
      </c>
      <c r="P15" s="52">
        <v>2032</v>
      </c>
      <c r="Q15" s="52">
        <v>2033</v>
      </c>
      <c r="R15" s="52">
        <v>2034</v>
      </c>
      <c r="S15" s="52">
        <v>2035</v>
      </c>
      <c r="T15" s="52">
        <v>2036</v>
      </c>
      <c r="U15" s="52">
        <v>2037</v>
      </c>
      <c r="V15" s="52">
        <v>2038</v>
      </c>
      <c r="W15" s="52">
        <v>2039</v>
      </c>
      <c r="X15" s="52">
        <v>2040</v>
      </c>
      <c r="Y15" s="52">
        <v>2041</v>
      </c>
      <c r="Z15" s="52">
        <v>2042</v>
      </c>
      <c r="AA15" s="52">
        <v>2043</v>
      </c>
      <c r="AB15" s="52">
        <v>2044</v>
      </c>
      <c r="AC15" s="52">
        <v>2045</v>
      </c>
      <c r="AD15" s="52">
        <v>2046</v>
      </c>
      <c r="AE15" s="52">
        <v>2047</v>
      </c>
      <c r="AF15" s="52">
        <v>2048</v>
      </c>
      <c r="AG15" s="52">
        <v>2049</v>
      </c>
      <c r="AH15" s="52">
        <v>2050</v>
      </c>
    </row>
    <row r="16" spans="1:34" x14ac:dyDescent="0.3">
      <c r="A16" t="s">
        <v>14</v>
      </c>
      <c r="B16">
        <v>1.6</v>
      </c>
      <c r="C16">
        <v>1.6</v>
      </c>
      <c r="D16">
        <v>1.3</v>
      </c>
      <c r="E16">
        <v>1.3</v>
      </c>
      <c r="F16">
        <v>1.3</v>
      </c>
      <c r="G16">
        <v>1.3</v>
      </c>
      <c r="H16">
        <v>1.3</v>
      </c>
      <c r="I16">
        <v>1.4</v>
      </c>
      <c r="J16">
        <v>1.4</v>
      </c>
      <c r="K16">
        <v>1.4</v>
      </c>
      <c r="L16">
        <v>1.4</v>
      </c>
      <c r="M16">
        <v>1.4</v>
      </c>
      <c r="N16">
        <v>1.7</v>
      </c>
      <c r="O16">
        <v>1.7</v>
      </c>
      <c r="P16">
        <v>1.7</v>
      </c>
      <c r="Q16">
        <v>1.7</v>
      </c>
      <c r="R16">
        <v>1.7</v>
      </c>
      <c r="S16">
        <v>1.7</v>
      </c>
      <c r="T16">
        <v>1.7</v>
      </c>
      <c r="U16">
        <v>1.7</v>
      </c>
      <c r="V16">
        <v>1.7</v>
      </c>
      <c r="W16">
        <v>1.7</v>
      </c>
      <c r="X16">
        <v>1.7</v>
      </c>
      <c r="Y16">
        <v>1.7</v>
      </c>
      <c r="Z16">
        <v>1.7</v>
      </c>
      <c r="AA16">
        <v>1.7</v>
      </c>
      <c r="AB16">
        <v>1.7</v>
      </c>
      <c r="AC16">
        <v>1.7</v>
      </c>
      <c r="AD16">
        <v>1.7</v>
      </c>
      <c r="AE16">
        <v>1.7</v>
      </c>
      <c r="AF16">
        <v>1.7</v>
      </c>
      <c r="AG16">
        <v>1.7</v>
      </c>
      <c r="AH16">
        <v>1.7</v>
      </c>
    </row>
    <row r="17" spans="1:36" x14ac:dyDescent="0.3">
      <c r="A17" s="12" t="s">
        <v>76</v>
      </c>
      <c r="B17" s="14"/>
      <c r="C17" s="14">
        <v>1.3153940340714401</v>
      </c>
      <c r="D17" s="14">
        <v>-8.2482808890021904</v>
      </c>
      <c r="E17" s="14">
        <v>7.4011071807767301</v>
      </c>
      <c r="F17" s="14">
        <v>1.7713128835044101</v>
      </c>
      <c r="G17" s="14">
        <v>1.64107184704625</v>
      </c>
      <c r="H17" s="14">
        <v>1.5897546636926001</v>
      </c>
      <c r="I17" s="14">
        <v>0.87416589753490703</v>
      </c>
      <c r="J17" s="14">
        <v>0.92807348762686803</v>
      </c>
      <c r="K17" s="14">
        <v>0.96113683804743799</v>
      </c>
      <c r="L17" s="14">
        <v>0.99967148959665397</v>
      </c>
      <c r="M17" s="14">
        <v>0.99813958218690801</v>
      </c>
      <c r="N17" s="14">
        <v>1.0577978519932401</v>
      </c>
      <c r="O17" s="14">
        <v>1.11745612179957</v>
      </c>
      <c r="P17" s="14">
        <v>1.1771143916058999</v>
      </c>
      <c r="Q17" s="14">
        <v>1.2239656520037301</v>
      </c>
      <c r="R17" s="14">
        <v>1.2741068022386299</v>
      </c>
      <c r="S17" s="14">
        <v>1.32537743784484</v>
      </c>
      <c r="T17" s="14">
        <v>1.39274895418422</v>
      </c>
      <c r="U17" s="14">
        <v>1.4527970330678199</v>
      </c>
      <c r="V17" s="14">
        <v>1.5121100659592599</v>
      </c>
      <c r="W17" s="14">
        <v>1.5684925802694301</v>
      </c>
      <c r="X17" s="14">
        <v>1.62778818442522</v>
      </c>
      <c r="Y17" s="14">
        <f t="shared" ref="Y17:AH17" si="0">X17</f>
        <v>1.62778818442522</v>
      </c>
      <c r="Z17" s="14">
        <f t="shared" si="0"/>
        <v>1.62778818442522</v>
      </c>
      <c r="AA17" s="14">
        <f t="shared" si="0"/>
        <v>1.62778818442522</v>
      </c>
      <c r="AB17" s="14">
        <f t="shared" si="0"/>
        <v>1.62778818442522</v>
      </c>
      <c r="AC17" s="14">
        <f t="shared" si="0"/>
        <v>1.62778818442522</v>
      </c>
      <c r="AD17" s="14">
        <f t="shared" si="0"/>
        <v>1.62778818442522</v>
      </c>
      <c r="AE17" s="14">
        <f t="shared" si="0"/>
        <v>1.62778818442522</v>
      </c>
      <c r="AF17" s="14">
        <f t="shared" si="0"/>
        <v>1.62778818442522</v>
      </c>
      <c r="AG17" s="14">
        <f t="shared" si="0"/>
        <v>1.62778818442522</v>
      </c>
      <c r="AH17" s="14">
        <f t="shared" si="0"/>
        <v>1.62778818442522</v>
      </c>
    </row>
    <row r="18" spans="1:36" x14ac:dyDescent="0.3">
      <c r="A18" s="53" t="s">
        <v>77</v>
      </c>
      <c r="B18" s="14"/>
      <c r="C18" s="33">
        <f>('1. Population'!C22-'1. Population'!B22)/'1. Population'!B22*100</f>
        <v>4.9093759331140963E-2</v>
      </c>
      <c r="D18" s="33">
        <f>('1. Population'!D22-'1. Population'!C22)/'1. Population'!C22*100</f>
        <v>0.28633300256608507</v>
      </c>
      <c r="E18" s="33">
        <f>('1. Population'!E22-'1. Population'!D22)/'1. Population'!D22*100</f>
        <v>0.2732990814951709</v>
      </c>
      <c r="F18" s="33">
        <f>('1. Population'!F22-'1. Population'!E22)/'1. Population'!E22*100</f>
        <v>0.27685315074769073</v>
      </c>
      <c r="G18" s="33">
        <f>('1. Population'!G22-'1. Population'!F22)/'1. Population'!F22*100</f>
        <v>0.28185719570847678</v>
      </c>
      <c r="H18" s="33">
        <f>('1. Population'!H22-'1. Population'!G22)/'1. Population'!G22*100</f>
        <v>0.28034191162119193</v>
      </c>
      <c r="I18" s="33">
        <f>('1. Population'!I22-'1. Population'!H22)/'1. Population'!H22*100</f>
        <v>0.28004086207079248</v>
      </c>
      <c r="J18" s="33">
        <f>('1. Population'!J22-'1. Population'!I22)/'1. Population'!I22*100</f>
        <v>0.27837688995482979</v>
      </c>
      <c r="K18" s="33">
        <f>('1. Population'!K22-'1. Population'!J22)/'1. Population'!J22*100</f>
        <v>0.27981964557338751</v>
      </c>
      <c r="L18" s="33">
        <f>('1. Population'!L22-'1. Population'!K22)/'1. Population'!K22*100</f>
        <v>0.28058130542797077</v>
      </c>
      <c r="M18" s="33">
        <f>('1. Population'!M22-'1. Population'!L22)/'1. Population'!L22*100</f>
        <v>0.28766307696215676</v>
      </c>
      <c r="N18" s="33">
        <f>('1. Population'!N22-'1. Population'!M22)/'1. Population'!M22*100</f>
        <v>0.2905932129891477</v>
      </c>
      <c r="O18" s="33">
        <f>('1. Population'!O22-'1. Population'!N22)/'1. Population'!N22*100</f>
        <v>0.29251320372101375</v>
      </c>
      <c r="P18" s="33">
        <f>('1. Population'!P22-'1. Population'!O22)/'1. Population'!O22*100</f>
        <v>0.29242464005856061</v>
      </c>
      <c r="Q18" s="33">
        <f>('1. Population'!Q22-'1. Population'!P22)/'1. Population'!P22*100</f>
        <v>0.28841185009092685</v>
      </c>
      <c r="R18" s="33">
        <f>('1. Population'!R22-'1. Population'!Q22)/'1. Population'!Q22*100</f>
        <v>0.2776143077726102</v>
      </c>
      <c r="S18" s="33">
        <f>('1. Population'!S22-'1. Population'!R22)/'1. Population'!R22*100</f>
        <v>0.27051384500477321</v>
      </c>
      <c r="T18" s="33">
        <f>('1. Population'!T22-'1. Population'!S22)/'1. Population'!S22*100</f>
        <v>0.26224391933912267</v>
      </c>
      <c r="U18" s="33">
        <f>('1. Population'!U22-'1. Population'!T22)/'1. Population'!T22*100</f>
        <v>0.25205862076931529</v>
      </c>
      <c r="V18" s="33">
        <f>('1. Population'!V22-'1. Population'!U22)/'1. Population'!U22*100</f>
        <v>0.23811917061762047</v>
      </c>
      <c r="W18" s="33">
        <f>('1. Population'!W22-'1. Population'!V22)/'1. Population'!V22*100</f>
        <v>0.21904819748401749</v>
      </c>
      <c r="X18" s="33">
        <f>('1. Population'!X22-'1. Population'!W22)/'1. Population'!W22*100</f>
        <v>0.19454998419798225</v>
      </c>
      <c r="Y18" s="33">
        <f>('1. Population'!Y22-'1. Population'!X22)/'1. Population'!X22*100</f>
        <v>0.17013737538497606</v>
      </c>
      <c r="Z18" s="33">
        <f>('1. Population'!Z22-'1. Population'!Y22)/'1. Population'!Y22*100</f>
        <v>0.16844469399205853</v>
      </c>
      <c r="AA18" s="33">
        <f>('1. Population'!AA22-'1. Population'!Z22)/'1. Population'!Z22*100</f>
        <v>0.14433856502244932</v>
      </c>
      <c r="AB18" s="33">
        <f>('1. Population'!AB22-'1. Population'!AA22)/'1. Population'!AA22*100</f>
        <v>0.13573457593443733</v>
      </c>
      <c r="AC18" s="33">
        <f>('1. Population'!AC22-'1. Population'!AB22)/'1. Population'!AB22*100</f>
        <v>0.13135830072662588</v>
      </c>
      <c r="AD18" s="33">
        <f>('1. Population'!AD22-'1. Population'!AC22)/'1. Population'!AC22*100</f>
        <v>0.10327406704438427</v>
      </c>
      <c r="AE18" s="33">
        <f>('1. Population'!AE22-'1. Population'!AD22)/'1. Population'!AD22*100</f>
        <v>0.10177336604953827</v>
      </c>
      <c r="AF18" s="33">
        <f>('1. Population'!AF22-'1. Population'!AE22)/'1. Population'!AE22*100</f>
        <v>9.0527987075320782E-2</v>
      </c>
      <c r="AG18" s="33">
        <f>('1. Population'!AG22-'1. Population'!AF22)/'1. Population'!AF22*100</f>
        <v>7.6531322182959632E-2</v>
      </c>
      <c r="AH18" s="33">
        <f>('1. Population'!AH22-'1. Population'!AG22)/'1. Population'!AG22*100</f>
        <v>7.0911138610513652E-2</v>
      </c>
    </row>
    <row r="19" spans="1:36" x14ac:dyDescent="0.3">
      <c r="A19" s="53" t="s">
        <v>78</v>
      </c>
      <c r="B19" s="14"/>
      <c r="C19" s="14">
        <f t="shared" ref="C19:AH19" si="1">C17-C18</f>
        <v>1.2663002747402992</v>
      </c>
      <c r="D19" s="14">
        <f t="shared" si="1"/>
        <v>-8.5346138915682754</v>
      </c>
      <c r="E19" s="14">
        <f t="shared" si="1"/>
        <v>7.1278080992815589</v>
      </c>
      <c r="F19" s="14">
        <f t="shared" si="1"/>
        <v>1.4944597327567193</v>
      </c>
      <c r="G19" s="14">
        <f t="shared" si="1"/>
        <v>1.3592146513377732</v>
      </c>
      <c r="H19" s="14">
        <f t="shared" si="1"/>
        <v>1.3094127520714083</v>
      </c>
      <c r="I19" s="14">
        <f t="shared" si="1"/>
        <v>0.59412503546411455</v>
      </c>
      <c r="J19" s="14">
        <f t="shared" si="1"/>
        <v>0.64969659767203825</v>
      </c>
      <c r="K19" s="14">
        <f t="shared" si="1"/>
        <v>0.68131719247405043</v>
      </c>
      <c r="L19" s="14">
        <f t="shared" si="1"/>
        <v>0.7190901841686832</v>
      </c>
      <c r="M19" s="14">
        <f t="shared" si="1"/>
        <v>0.71047650522475125</v>
      </c>
      <c r="N19" s="14">
        <f t="shared" si="1"/>
        <v>0.7672046390040923</v>
      </c>
      <c r="O19" s="14">
        <f t="shared" si="1"/>
        <v>0.82494291807855624</v>
      </c>
      <c r="P19" s="14">
        <f t="shared" si="1"/>
        <v>0.88468975154733931</v>
      </c>
      <c r="Q19" s="14">
        <f t="shared" si="1"/>
        <v>0.93555380191280324</v>
      </c>
      <c r="R19" s="14">
        <f t="shared" si="1"/>
        <v>0.99649249446601973</v>
      </c>
      <c r="S19" s="14">
        <f t="shared" si="1"/>
        <v>1.0548635928400667</v>
      </c>
      <c r="T19" s="14">
        <f t="shared" si="1"/>
        <v>1.1305050348450973</v>
      </c>
      <c r="U19" s="14">
        <f t="shared" si="1"/>
        <v>1.2007384122985045</v>
      </c>
      <c r="V19" s="14">
        <f t="shared" si="1"/>
        <v>1.2739908953416395</v>
      </c>
      <c r="W19" s="14">
        <f t="shared" si="1"/>
        <v>1.3494443827854126</v>
      </c>
      <c r="X19" s="14">
        <f t="shared" si="1"/>
        <v>1.4332382002272377</v>
      </c>
      <c r="Y19" s="14">
        <f t="shared" si="1"/>
        <v>1.457650809040244</v>
      </c>
      <c r="Z19" s="14">
        <f t="shared" si="1"/>
        <v>1.4593434904331615</v>
      </c>
      <c r="AA19" s="14">
        <f t="shared" si="1"/>
        <v>1.4834496194027706</v>
      </c>
      <c r="AB19" s="14">
        <f t="shared" si="1"/>
        <v>1.4920536084907827</v>
      </c>
      <c r="AC19" s="14">
        <f t="shared" si="1"/>
        <v>1.4964298836985941</v>
      </c>
      <c r="AD19" s="14">
        <f t="shared" si="1"/>
        <v>1.5245141173808356</v>
      </c>
      <c r="AE19" s="14">
        <f t="shared" si="1"/>
        <v>1.5260148183756816</v>
      </c>
      <c r="AF19" s="14">
        <f t="shared" si="1"/>
        <v>1.5372601973498992</v>
      </c>
      <c r="AG19" s="14">
        <f t="shared" si="1"/>
        <v>1.5512568622422604</v>
      </c>
      <c r="AH19" s="14">
        <f t="shared" si="1"/>
        <v>1.5568770458147063</v>
      </c>
    </row>
    <row r="20" spans="1:36" x14ac:dyDescent="0.3">
      <c r="A20" t="s">
        <v>79</v>
      </c>
      <c r="C20">
        <v>1.8</v>
      </c>
      <c r="D20">
        <v>-8</v>
      </c>
      <c r="E20" s="54">
        <v>6.3</v>
      </c>
      <c r="F20" s="54">
        <v>3.7</v>
      </c>
      <c r="G20" s="54">
        <v>1.9</v>
      </c>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row>
    <row r="21" spans="1:36" x14ac:dyDescent="0.3">
      <c r="A21" t="s">
        <v>80</v>
      </c>
      <c r="C21">
        <v>1.8</v>
      </c>
      <c r="D21">
        <v>-8</v>
      </c>
      <c r="E21" s="54">
        <v>6</v>
      </c>
      <c r="F21" s="54">
        <v>4</v>
      </c>
      <c r="G21">
        <v>1.6</v>
      </c>
      <c r="H21" s="14">
        <v>1.4</v>
      </c>
      <c r="I21" s="14">
        <v>1.4</v>
      </c>
      <c r="J21" s="14">
        <v>1.4</v>
      </c>
      <c r="K21" s="14">
        <v>1.4</v>
      </c>
      <c r="L21" s="14"/>
      <c r="M21" s="14"/>
      <c r="N21" s="14"/>
      <c r="O21" s="14"/>
      <c r="P21" s="14"/>
      <c r="Q21" s="14"/>
      <c r="R21" s="14"/>
      <c r="S21" s="14"/>
      <c r="T21" s="14"/>
      <c r="U21" s="14"/>
      <c r="V21" s="14"/>
      <c r="W21" s="14"/>
      <c r="X21" s="14"/>
      <c r="Y21" s="14"/>
      <c r="Z21" s="14"/>
      <c r="AA21" s="14"/>
      <c r="AB21" s="14"/>
      <c r="AC21" s="14"/>
      <c r="AD21" s="14"/>
      <c r="AE21" s="14"/>
      <c r="AF21" s="14"/>
      <c r="AG21" s="14"/>
      <c r="AH21" s="14"/>
    </row>
    <row r="22" spans="1:36" x14ac:dyDescent="0.3">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row>
    <row r="23" spans="1:36" x14ac:dyDescent="0.3">
      <c r="A23" t="s">
        <v>81</v>
      </c>
      <c r="B23">
        <v>2018</v>
      </c>
      <c r="C23">
        <v>2019</v>
      </c>
      <c r="D23">
        <v>2020</v>
      </c>
      <c r="E23">
        <v>2021</v>
      </c>
      <c r="F23">
        <v>2022</v>
      </c>
      <c r="G23">
        <v>2023</v>
      </c>
      <c r="H23">
        <v>2024</v>
      </c>
      <c r="I23">
        <v>2025</v>
      </c>
      <c r="J23">
        <v>2026</v>
      </c>
      <c r="K23">
        <v>2027</v>
      </c>
      <c r="L23">
        <v>2028</v>
      </c>
      <c r="M23">
        <v>2029</v>
      </c>
      <c r="N23">
        <v>2030</v>
      </c>
      <c r="O23">
        <v>2031</v>
      </c>
      <c r="P23">
        <v>2032</v>
      </c>
      <c r="Q23">
        <v>2033</v>
      </c>
      <c r="R23">
        <v>2034</v>
      </c>
      <c r="S23">
        <v>2035</v>
      </c>
      <c r="T23">
        <v>2036</v>
      </c>
      <c r="U23">
        <v>2037</v>
      </c>
      <c r="V23">
        <v>2038</v>
      </c>
      <c r="W23">
        <v>2039</v>
      </c>
      <c r="X23">
        <v>2040</v>
      </c>
      <c r="Y23">
        <v>2041</v>
      </c>
      <c r="Z23">
        <v>2042</v>
      </c>
      <c r="AA23">
        <v>2043</v>
      </c>
      <c r="AB23">
        <v>2044</v>
      </c>
      <c r="AC23">
        <v>2045</v>
      </c>
      <c r="AD23">
        <v>2046</v>
      </c>
      <c r="AE23">
        <v>2047</v>
      </c>
      <c r="AF23">
        <v>2048</v>
      </c>
      <c r="AG23">
        <v>2049</v>
      </c>
      <c r="AH23">
        <v>2050</v>
      </c>
    </row>
    <row r="24" spans="1:36" x14ac:dyDescent="0.3">
      <c r="A24" t="s">
        <v>82</v>
      </c>
      <c r="B24">
        <v>100</v>
      </c>
      <c r="C24" s="16">
        <f t="shared" ref="C24:AH24" si="2">B24*(1+(C16/100))</f>
        <v>101.6</v>
      </c>
      <c r="D24" s="16">
        <f t="shared" si="2"/>
        <v>102.92079999999999</v>
      </c>
      <c r="E24" s="16">
        <f t="shared" si="2"/>
        <v>104.25877039999997</v>
      </c>
      <c r="F24" s="16">
        <f t="shared" si="2"/>
        <v>105.61413441519997</v>
      </c>
      <c r="G24" s="16">
        <f t="shared" si="2"/>
        <v>106.98711816259755</v>
      </c>
      <c r="H24" s="16">
        <f t="shared" si="2"/>
        <v>108.37795069871132</v>
      </c>
      <c r="I24" s="16">
        <f t="shared" si="2"/>
        <v>109.89524200849327</v>
      </c>
      <c r="J24" s="16">
        <f t="shared" si="2"/>
        <v>111.43377539661218</v>
      </c>
      <c r="K24" s="16">
        <f t="shared" si="2"/>
        <v>112.99384825216475</v>
      </c>
      <c r="L24" s="16">
        <f t="shared" si="2"/>
        <v>114.57576212769506</v>
      </c>
      <c r="M24" s="16">
        <f t="shared" si="2"/>
        <v>116.17982279748279</v>
      </c>
      <c r="N24" s="16">
        <f t="shared" si="2"/>
        <v>118.15487978503998</v>
      </c>
      <c r="O24" s="16">
        <f t="shared" si="2"/>
        <v>120.16351274138565</v>
      </c>
      <c r="P24" s="16">
        <f t="shared" si="2"/>
        <v>122.20629245798919</v>
      </c>
      <c r="Q24" s="16">
        <f t="shared" si="2"/>
        <v>124.283799429775</v>
      </c>
      <c r="R24" s="16">
        <f t="shared" si="2"/>
        <v>126.39662402008116</v>
      </c>
      <c r="S24" s="16">
        <f t="shared" si="2"/>
        <v>128.54536662842253</v>
      </c>
      <c r="T24" s="16">
        <f t="shared" si="2"/>
        <v>130.73063786110569</v>
      </c>
      <c r="U24" s="16">
        <f t="shared" si="2"/>
        <v>132.95305870474448</v>
      </c>
      <c r="V24" s="16">
        <f t="shared" si="2"/>
        <v>135.21326070272511</v>
      </c>
      <c r="W24" s="16">
        <f t="shared" si="2"/>
        <v>137.51188613467141</v>
      </c>
      <c r="X24" s="16">
        <f t="shared" si="2"/>
        <v>139.84958819896082</v>
      </c>
      <c r="Y24" s="16">
        <f t="shared" si="2"/>
        <v>142.22703119834313</v>
      </c>
      <c r="Z24" s="16">
        <f t="shared" si="2"/>
        <v>144.64489072871496</v>
      </c>
      <c r="AA24" s="16">
        <f t="shared" si="2"/>
        <v>147.1038538711031</v>
      </c>
      <c r="AB24" s="16">
        <f t="shared" si="2"/>
        <v>149.60461938691185</v>
      </c>
      <c r="AC24" s="16">
        <f t="shared" si="2"/>
        <v>152.14789791648934</v>
      </c>
      <c r="AD24" s="16">
        <f t="shared" si="2"/>
        <v>154.73441218106964</v>
      </c>
      <c r="AE24" s="16">
        <f t="shared" si="2"/>
        <v>157.36489718814781</v>
      </c>
      <c r="AF24" s="16">
        <f t="shared" si="2"/>
        <v>160.04010044034629</v>
      </c>
      <c r="AG24" s="16">
        <f t="shared" si="2"/>
        <v>162.76078214783217</v>
      </c>
      <c r="AH24" s="16">
        <f t="shared" si="2"/>
        <v>165.52771544434532</v>
      </c>
    </row>
    <row r="25" spans="1:36" x14ac:dyDescent="0.3">
      <c r="A25" t="s">
        <v>19</v>
      </c>
      <c r="B25">
        <v>100</v>
      </c>
      <c r="C25" s="16">
        <f t="shared" ref="C25:AH25" si="3">B25*(1+(C17/100))</f>
        <v>101.31539403407143</v>
      </c>
      <c r="D25" s="16">
        <f t="shared" si="3"/>
        <v>92.958615750341849</v>
      </c>
      <c r="E25" s="16">
        <f t="shared" si="3"/>
        <v>99.838582535791048</v>
      </c>
      <c r="F25" s="16">
        <f t="shared" si="3"/>
        <v>101.6070362109557</v>
      </c>
      <c r="G25" s="16">
        <f t="shared" si="3"/>
        <v>103.27448067683179</v>
      </c>
      <c r="H25" s="16">
        <f t="shared" si="3"/>
        <v>104.91629154979603</v>
      </c>
      <c r="I25" s="16">
        <f t="shared" si="3"/>
        <v>105.83343399148264</v>
      </c>
      <c r="J25" s="16">
        <f t="shared" si="3"/>
        <v>106.81564603340267</v>
      </c>
      <c r="K25" s="16">
        <f t="shared" si="3"/>
        <v>107.84229055622806</v>
      </c>
      <c r="L25" s="16">
        <f t="shared" si="3"/>
        <v>108.92035918864666</v>
      </c>
      <c r="M25" s="16">
        <f t="shared" si="3"/>
        <v>110.00753640676869</v>
      </c>
      <c r="N25" s="16">
        <f t="shared" si="3"/>
        <v>111.17119376391018</v>
      </c>
      <c r="O25" s="16">
        <f t="shared" si="3"/>
        <v>112.41348307430265</v>
      </c>
      <c r="P25" s="16">
        <f t="shared" si="3"/>
        <v>113.73671836167573</v>
      </c>
      <c r="Q25" s="16">
        <f t="shared" si="3"/>
        <v>115.12881672813886</v>
      </c>
      <c r="R25" s="16">
        <f t="shared" si="3"/>
        <v>116.59568081340892</v>
      </c>
      <c r="S25" s="16">
        <f t="shared" si="3"/>
        <v>118.14101366041143</v>
      </c>
      <c r="T25" s="16">
        <f t="shared" si="3"/>
        <v>119.78642139262945</v>
      </c>
      <c r="U25" s="16">
        <f t="shared" si="3"/>
        <v>121.52667496863968</v>
      </c>
      <c r="V25" s="16">
        <f t="shared" si="3"/>
        <v>123.36429205366608</v>
      </c>
      <c r="W25" s="16">
        <f t="shared" si="3"/>
        <v>125.29925182122975</v>
      </c>
      <c r="X25" s="16">
        <f t="shared" si="3"/>
        <v>127.33885823754892</v>
      </c>
      <c r="Y25" s="16">
        <f t="shared" si="3"/>
        <v>129.4116651261217</v>
      </c>
      <c r="Z25" s="16">
        <f t="shared" si="3"/>
        <v>131.51821292031264</v>
      </c>
      <c r="AA25" s="16">
        <f t="shared" si="3"/>
        <v>133.65905085059669</v>
      </c>
      <c r="AB25" s="16">
        <f t="shared" si="3"/>
        <v>135.83473708775759</v>
      </c>
      <c r="AC25" s="16">
        <f t="shared" si="3"/>
        <v>138.04583888841717</v>
      </c>
      <c r="AD25" s="16">
        <f t="shared" si="3"/>
        <v>140.29293274293349</v>
      </c>
      <c r="AE25" s="16">
        <f t="shared" si="3"/>
        <v>142.57660452570659</v>
      </c>
      <c r="AF25" s="16">
        <f t="shared" si="3"/>
        <v>144.8974496479307</v>
      </c>
      <c r="AG25" s="16">
        <f t="shared" si="3"/>
        <v>147.2560732128332</v>
      </c>
      <c r="AH25" s="16">
        <f t="shared" si="3"/>
        <v>149.65309017344023</v>
      </c>
    </row>
    <row r="26" spans="1:36" x14ac:dyDescent="0.3">
      <c r="A26" t="s">
        <v>79</v>
      </c>
      <c r="B26">
        <v>100</v>
      </c>
      <c r="C26" s="16">
        <f t="shared" ref="C26:G27" si="4">B26*(1+(C20/100))</f>
        <v>101.8</v>
      </c>
      <c r="D26" s="16">
        <f t="shared" si="4"/>
        <v>93.656000000000006</v>
      </c>
      <c r="E26" s="16">
        <f t="shared" si="4"/>
        <v>99.556328000000008</v>
      </c>
      <c r="F26" s="16">
        <f t="shared" si="4"/>
        <v>103.239912136</v>
      </c>
      <c r="G26" s="16">
        <f t="shared" si="4"/>
        <v>105.20147046658398</v>
      </c>
    </row>
    <row r="27" spans="1:36" x14ac:dyDescent="0.3">
      <c r="A27" t="s">
        <v>83</v>
      </c>
      <c r="B27">
        <v>100</v>
      </c>
      <c r="C27" s="16">
        <f t="shared" si="4"/>
        <v>101.8</v>
      </c>
      <c r="D27" s="16">
        <f t="shared" si="4"/>
        <v>93.656000000000006</v>
      </c>
      <c r="E27" s="16">
        <f t="shared" si="4"/>
        <v>99.275360000000006</v>
      </c>
      <c r="F27" s="16">
        <f t="shared" si="4"/>
        <v>103.24637440000001</v>
      </c>
      <c r="G27" s="16">
        <f t="shared" si="4"/>
        <v>104.89831639040001</v>
      </c>
      <c r="H27" s="16">
        <f>G27*(1+(H21/100))</f>
        <v>106.36689281986561</v>
      </c>
      <c r="I27" s="16">
        <f>H27*(1+(I21/100))</f>
        <v>107.85602931934373</v>
      </c>
      <c r="J27" s="16">
        <f>I27*(1+(J21/100))</f>
        <v>109.36601372981454</v>
      </c>
      <c r="K27" s="16">
        <f>J27*(1+(K21/100))</f>
        <v>110.89713792203194</v>
      </c>
    </row>
    <row r="28" spans="1:36" x14ac:dyDescent="0.3">
      <c r="A28" t="s">
        <v>84</v>
      </c>
      <c r="C28">
        <v>1.32</v>
      </c>
      <c r="D28">
        <v>-7.8552557111647197</v>
      </c>
      <c r="E28">
        <v>7.0300515993791901</v>
      </c>
      <c r="F28">
        <v>3.6115816398834202</v>
      </c>
      <c r="G28">
        <v>2.1349186298996301</v>
      </c>
      <c r="H28">
        <v>1.5045422637172701</v>
      </c>
      <c r="I28">
        <v>0.87416589753490703</v>
      </c>
      <c r="J28">
        <v>0.92807348762686803</v>
      </c>
      <c r="K28">
        <v>0.96113683804743799</v>
      </c>
      <c r="L28">
        <v>0.99967148959665397</v>
      </c>
      <c r="M28">
        <v>0.99813958218690801</v>
      </c>
      <c r="N28">
        <v>1.0243705082819099</v>
      </c>
      <c r="O28">
        <v>1.0684127924770499</v>
      </c>
      <c r="P28">
        <v>1.09814780466638</v>
      </c>
      <c r="Q28">
        <v>1.1484115066271401</v>
      </c>
      <c r="R28">
        <v>1.2217664516087501</v>
      </c>
      <c r="S28">
        <v>1.3026130066986801</v>
      </c>
      <c r="T28">
        <v>1.4031808849771199</v>
      </c>
      <c r="U28">
        <v>1.5206029883899299</v>
      </c>
      <c r="V28">
        <v>1.5494173970615499</v>
      </c>
      <c r="W28">
        <v>1.5808487645103599</v>
      </c>
      <c r="X28">
        <v>1.5930929895493899</v>
      </c>
      <c r="Y28">
        <v>1.6171745434976801</v>
      </c>
      <c r="Z28">
        <v>1.6360630293735401</v>
      </c>
      <c r="AA28">
        <v>1.6085767851071699</v>
      </c>
      <c r="AB28">
        <v>1.5702556275942401</v>
      </c>
      <c r="AC28">
        <v>1.53528779448321</v>
      </c>
      <c r="AD28">
        <v>1.50999270732682</v>
      </c>
      <c r="AE28">
        <v>1.4904936775200801</v>
      </c>
      <c r="AF28">
        <v>1.4835524724196001</v>
      </c>
      <c r="AG28">
        <v>1.4716669845711501</v>
      </c>
      <c r="AH28">
        <v>1.4623377426303199</v>
      </c>
    </row>
    <row r="29" spans="1:36" x14ac:dyDescent="0.3">
      <c r="B29">
        <v>100</v>
      </c>
      <c r="C29" s="16">
        <f t="shared" ref="C29:AH29" si="5">B29*(1+(C28/100))</f>
        <v>101.32000000000001</v>
      </c>
      <c r="D29" s="16">
        <f t="shared" si="5"/>
        <v>93.361054913447916</v>
      </c>
      <c r="E29" s="16">
        <f t="shared" si="5"/>
        <v>99.924385247588049</v>
      </c>
      <c r="F29" s="16">
        <f t="shared" si="5"/>
        <v>103.53323599895631</v>
      </c>
      <c r="G29" s="16">
        <f t="shared" si="5"/>
        <v>105.74358634243598</v>
      </c>
      <c r="H29" s="16">
        <f t="shared" si="5"/>
        <v>107.33454329012829</v>
      </c>
      <c r="I29" s="16">
        <f t="shared" si="5"/>
        <v>108.27282526384543</v>
      </c>
      <c r="J29" s="16">
        <f t="shared" si="5"/>
        <v>109.27767664942375</v>
      </c>
      <c r="K29" s="16">
        <f t="shared" si="5"/>
        <v>110.32798465546372</v>
      </c>
      <c r="L29" s="16">
        <f t="shared" si="5"/>
        <v>111.43090206311096</v>
      </c>
      <c r="M29" s="16">
        <f t="shared" si="5"/>
        <v>112.54313800339079</v>
      </c>
      <c r="N29" s="16">
        <f t="shared" si="5"/>
        <v>113.69599671819253</v>
      </c>
      <c r="O29" s="16">
        <f t="shared" si="5"/>
        <v>114.91073929166399</v>
      </c>
      <c r="P29" s="16">
        <f t="shared" si="5"/>
        <v>116.17262905252129</v>
      </c>
      <c r="Q29" s="16">
        <f t="shared" si="5"/>
        <v>117.50676889211171</v>
      </c>
      <c r="R29" s="16">
        <f t="shared" si="5"/>
        <v>118.94242717280494</v>
      </c>
      <c r="S29" s="16">
        <f t="shared" si="5"/>
        <v>120.491786699641</v>
      </c>
      <c r="T29" s="16">
        <f t="shared" si="5"/>
        <v>122.18250441857778</v>
      </c>
      <c r="U29" s="16">
        <f t="shared" si="5"/>
        <v>124.04041523205635</v>
      </c>
      <c r="V29" s="16">
        <f t="shared" si="5"/>
        <v>125.96231900504922</v>
      </c>
      <c r="W29" s="16">
        <f t="shared" si="5"/>
        <v>127.95359276878915</v>
      </c>
      <c r="X29" s="16">
        <f t="shared" si="5"/>
        <v>129.99201248506532</v>
      </c>
      <c r="Y29" s="16">
        <f t="shared" si="5"/>
        <v>132.09421021955413</v>
      </c>
      <c r="Z29" s="16">
        <f t="shared" si="5"/>
        <v>134.25535475689921</v>
      </c>
      <c r="AA29" s="16">
        <f t="shared" si="5"/>
        <v>136.41495522628196</v>
      </c>
      <c r="AB29" s="16">
        <f t="shared" si="5"/>
        <v>138.55701873760282</v>
      </c>
      <c r="AC29" s="16">
        <f t="shared" si="5"/>
        <v>140.68426773468107</v>
      </c>
      <c r="AD29" s="16">
        <f t="shared" si="5"/>
        <v>142.80858991783089</v>
      </c>
      <c r="AE29" s="16">
        <f t="shared" si="5"/>
        <v>144.93714292151174</v>
      </c>
      <c r="AF29" s="16">
        <f t="shared" si="5"/>
        <v>147.08736148877816</v>
      </c>
      <c r="AG29" s="16">
        <f t="shared" si="5"/>
        <v>149.25199762628532</v>
      </c>
      <c r="AH29" s="16">
        <f t="shared" si="5"/>
        <v>151.43456591920418</v>
      </c>
    </row>
    <row r="31" spans="1:36" x14ac:dyDescent="0.3">
      <c r="A31" s="12" t="s">
        <v>34</v>
      </c>
      <c r="C31" s="14">
        <f>C20</f>
        <v>1.8</v>
      </c>
      <c r="D31" s="14">
        <f>D20</f>
        <v>-8</v>
      </c>
      <c r="E31" s="14">
        <f t="shared" ref="E31:AH31" si="6">E32+E33</f>
        <v>7.2763965093855836</v>
      </c>
      <c r="F31" s="14">
        <f t="shared" si="6"/>
        <v>1.6428276852789661</v>
      </c>
      <c r="G31" s="14">
        <f t="shared" si="6"/>
        <v>1.6555109476340737</v>
      </c>
      <c r="H31" s="14">
        <f t="shared" si="6"/>
        <v>1.4571232395160085</v>
      </c>
      <c r="I31" s="14">
        <f t="shared" si="6"/>
        <v>0.88911028620158183</v>
      </c>
      <c r="J31" s="14">
        <f t="shared" si="6"/>
        <v>0.7967554212014416</v>
      </c>
      <c r="K31" s="14">
        <f t="shared" si="6"/>
        <v>0.82816007059447405</v>
      </c>
      <c r="L31" s="14">
        <f t="shared" si="6"/>
        <v>0.86571775015107955</v>
      </c>
      <c r="M31" s="14">
        <f t="shared" si="6"/>
        <v>0.85688938955858518</v>
      </c>
      <c r="N31" s="14">
        <f t="shared" si="6"/>
        <v>1.0596022998227892</v>
      </c>
      <c r="O31" s="14">
        <f t="shared" si="6"/>
        <v>0.9707155128307553</v>
      </c>
      <c r="P31" s="14">
        <f t="shared" si="6"/>
        <v>0.88468975154733931</v>
      </c>
      <c r="Q31" s="14">
        <f t="shared" si="6"/>
        <v>1.0811142094819362</v>
      </c>
      <c r="R31" s="14">
        <f t="shared" si="6"/>
        <v>1.1418413316753344</v>
      </c>
      <c r="S31" s="14">
        <f t="shared" si="6"/>
        <v>1.200001473826996</v>
      </c>
      <c r="T31" s="14">
        <f t="shared" si="6"/>
        <v>1.1305050348450973</v>
      </c>
      <c r="U31" s="14">
        <f t="shared" si="6"/>
        <v>1.3456659485303804</v>
      </c>
      <c r="V31" s="14">
        <f t="shared" si="6"/>
        <v>1.4187086956310875</v>
      </c>
      <c r="W31" s="14">
        <f t="shared" si="6"/>
        <v>1.3494443827854126</v>
      </c>
      <c r="X31" s="14">
        <f t="shared" si="6"/>
        <v>1.4332382002272377</v>
      </c>
      <c r="Y31" s="14">
        <f t="shared" si="6"/>
        <v>1.602159479560467</v>
      </c>
      <c r="Z31" s="14">
        <f t="shared" si="6"/>
        <v>1.4593434904331615</v>
      </c>
      <c r="AA31" s="14">
        <f t="shared" si="6"/>
        <v>1.4834496194027706</v>
      </c>
      <c r="AB31" s="14">
        <f t="shared" si="6"/>
        <v>1.4920536084907827</v>
      </c>
      <c r="AC31" s="14">
        <f t="shared" si="6"/>
        <v>1.4964298836985941</v>
      </c>
      <c r="AD31" s="14">
        <f t="shared" si="6"/>
        <v>1.5245141173808356</v>
      </c>
      <c r="AE31" s="14">
        <f t="shared" si="6"/>
        <v>1.5260148183756816</v>
      </c>
      <c r="AF31" s="14">
        <f t="shared" si="6"/>
        <v>1.5372601973498992</v>
      </c>
      <c r="AG31" s="14">
        <f t="shared" si="6"/>
        <v>1.4069567179421243</v>
      </c>
      <c r="AH31" s="14">
        <f t="shared" si="6"/>
        <v>1.5568770458147063</v>
      </c>
      <c r="AJ31" s="19"/>
    </row>
    <row r="32" spans="1:36" x14ac:dyDescent="0.3">
      <c r="A32" s="53" t="s">
        <v>77</v>
      </c>
      <c r="C32" s="14"/>
      <c r="D32" s="14"/>
      <c r="E32" s="14">
        <f>('1. Population'!E23-'1. Population'!D23)/'1. Population'!D23*100</f>
        <v>0.14858841010402457</v>
      </c>
      <c r="F32" s="14">
        <f>('1. Population'!F23-'1. Population'!E23)/'1. Population'!E23*100</f>
        <v>0.14836795252224674</v>
      </c>
      <c r="G32" s="14">
        <f>('1. Population'!G23-'1. Population'!F23)/'1. Population'!F23*100</f>
        <v>0.2962962962963005</v>
      </c>
      <c r="H32" s="14">
        <f>('1. Population'!H23-'1. Population'!G23)/'1. Population'!G23*100</f>
        <v>0.14771048744460016</v>
      </c>
      <c r="I32" s="14">
        <f>('1. Population'!I23-'1. Population'!H23)/'1. Population'!H23*100</f>
        <v>0.29498525073746734</v>
      </c>
      <c r="J32" s="14">
        <f>('1. Population'!J23-'1. Population'!I23)/'1. Population'!I23*100</f>
        <v>0.14705882352940342</v>
      </c>
      <c r="K32" s="14">
        <f>('1. Population'!K23-'1. Population'!J23)/'1. Population'!J23*100</f>
        <v>0.14684287812042368</v>
      </c>
      <c r="L32" s="14">
        <f>('1. Population'!L23-'1. Population'!K23)/'1. Population'!K23*100</f>
        <v>0.14662756598239635</v>
      </c>
      <c r="M32" s="14">
        <f>('1. Population'!M23-'1. Population'!L23)/'1. Population'!L23*100</f>
        <v>0.14641288433383387</v>
      </c>
      <c r="N32" s="14">
        <f>('1. Population'!N23-'1. Population'!M23)/'1. Population'!M23*100</f>
        <v>0.29239766081869684</v>
      </c>
      <c r="O32" s="14">
        <f>('1. Population'!O23-'1. Population'!N23)/'1. Population'!N23*100</f>
        <v>0.14577259475219903</v>
      </c>
      <c r="P32" s="14">
        <f>('1. Population'!P23-'1. Population'!O23)/'1. Population'!O23*100</f>
        <v>0</v>
      </c>
      <c r="Q32" s="14">
        <f>('1. Population'!Q23-'1. Population'!P23)/'1. Population'!P23*100</f>
        <v>0.14556040756913291</v>
      </c>
      <c r="R32" s="14">
        <f>('1. Population'!R23-'1. Population'!Q23)/'1. Population'!Q23*100</f>
        <v>0.14534883720931474</v>
      </c>
      <c r="S32" s="14">
        <f>('1. Population'!S23-'1. Population'!R23)/'1. Population'!R23*100</f>
        <v>0.14513788098692934</v>
      </c>
      <c r="T32" s="14">
        <f>('1. Population'!T23-'1. Population'!S23)/'1. Population'!S23*100</f>
        <v>0</v>
      </c>
      <c r="U32" s="14">
        <f>('1. Population'!U23-'1. Population'!T23)/'1. Population'!T23*100</f>
        <v>0.14492753623187582</v>
      </c>
      <c r="V32" s="14">
        <f>('1. Population'!V23-'1. Population'!U23)/'1. Population'!U23*100</f>
        <v>0.14471780028944795</v>
      </c>
      <c r="W32" s="14">
        <f>('1. Population'!W23-'1. Population'!V23)/'1. Population'!V23*100</f>
        <v>0</v>
      </c>
      <c r="X32" s="14">
        <f>('1. Population'!X23-'1. Population'!W23)/'1. Population'!W23*100</f>
        <v>0</v>
      </c>
      <c r="Y32" s="14">
        <f>('1. Population'!Y23-'1. Population'!X23)/'1. Population'!X23*100</f>
        <v>0.14450867052022298</v>
      </c>
      <c r="Z32" s="14">
        <f>('1. Population'!Z23-'1. Population'!Y23)/'1. Population'!Y23*100</f>
        <v>0</v>
      </c>
      <c r="AA32" s="14">
        <f>('1. Population'!AA23-'1. Population'!Z23)/'1. Population'!Z23*100</f>
        <v>0</v>
      </c>
      <c r="AB32" s="14">
        <f>('1. Population'!AB23-'1. Population'!AA23)/'1. Population'!AA23*100</f>
        <v>0</v>
      </c>
      <c r="AC32" s="14">
        <f>('1. Population'!AC23-'1. Population'!AB23)/'1. Population'!AB23*100</f>
        <v>0</v>
      </c>
      <c r="AD32" s="14">
        <f>('1. Population'!AD23-'1. Population'!AC23)/'1. Population'!AC23*100</f>
        <v>0</v>
      </c>
      <c r="AE32" s="14">
        <f>('1. Population'!AE23-'1. Population'!AD23)/'1. Population'!AD23*100</f>
        <v>0</v>
      </c>
      <c r="AF32" s="14">
        <f>('1. Population'!AF23-'1. Population'!AE23)/'1. Population'!AE23*100</f>
        <v>0</v>
      </c>
      <c r="AG32" s="14">
        <f>('1. Population'!AG23-'1. Population'!AF23)/'1. Population'!AF23*100</f>
        <v>-0.1443001443001361</v>
      </c>
      <c r="AH32" s="14">
        <f>('1. Population'!AH23-'1. Population'!AG23)/'1. Population'!AG23*100</f>
        <v>0</v>
      </c>
    </row>
    <row r="33" spans="1:34" x14ac:dyDescent="0.3">
      <c r="A33" s="53" t="s">
        <v>78</v>
      </c>
      <c r="C33" s="14"/>
      <c r="D33" s="14"/>
      <c r="E33" s="14">
        <f t="shared" ref="E33:AH33" si="7">E19</f>
        <v>7.1278080992815589</v>
      </c>
      <c r="F33" s="14">
        <f t="shared" si="7"/>
        <v>1.4944597327567193</v>
      </c>
      <c r="G33" s="14">
        <f t="shared" si="7"/>
        <v>1.3592146513377732</v>
      </c>
      <c r="H33" s="14">
        <f t="shared" si="7"/>
        <v>1.3094127520714083</v>
      </c>
      <c r="I33" s="14">
        <f t="shared" si="7"/>
        <v>0.59412503546411455</v>
      </c>
      <c r="J33" s="14">
        <f t="shared" si="7"/>
        <v>0.64969659767203825</v>
      </c>
      <c r="K33" s="14">
        <f t="shared" si="7"/>
        <v>0.68131719247405043</v>
      </c>
      <c r="L33" s="14">
        <f t="shared" si="7"/>
        <v>0.7190901841686832</v>
      </c>
      <c r="M33" s="14">
        <f t="shared" si="7"/>
        <v>0.71047650522475125</v>
      </c>
      <c r="N33" s="14">
        <f t="shared" si="7"/>
        <v>0.7672046390040923</v>
      </c>
      <c r="O33" s="14">
        <f t="shared" si="7"/>
        <v>0.82494291807855624</v>
      </c>
      <c r="P33" s="14">
        <f t="shared" si="7"/>
        <v>0.88468975154733931</v>
      </c>
      <c r="Q33" s="14">
        <f t="shared" si="7"/>
        <v>0.93555380191280324</v>
      </c>
      <c r="R33" s="14">
        <f t="shared" si="7"/>
        <v>0.99649249446601973</v>
      </c>
      <c r="S33" s="14">
        <f t="shared" si="7"/>
        <v>1.0548635928400667</v>
      </c>
      <c r="T33" s="14">
        <f t="shared" si="7"/>
        <v>1.1305050348450973</v>
      </c>
      <c r="U33" s="14">
        <f t="shared" si="7"/>
        <v>1.2007384122985045</v>
      </c>
      <c r="V33" s="14">
        <f t="shared" si="7"/>
        <v>1.2739908953416395</v>
      </c>
      <c r="W33" s="14">
        <f t="shared" si="7"/>
        <v>1.3494443827854126</v>
      </c>
      <c r="X33" s="14">
        <f t="shared" si="7"/>
        <v>1.4332382002272377</v>
      </c>
      <c r="Y33" s="14">
        <f t="shared" si="7"/>
        <v>1.457650809040244</v>
      </c>
      <c r="Z33" s="14">
        <f t="shared" si="7"/>
        <v>1.4593434904331615</v>
      </c>
      <c r="AA33" s="14">
        <f t="shared" si="7"/>
        <v>1.4834496194027706</v>
      </c>
      <c r="AB33" s="14">
        <f t="shared" si="7"/>
        <v>1.4920536084907827</v>
      </c>
      <c r="AC33" s="14">
        <f t="shared" si="7"/>
        <v>1.4964298836985941</v>
      </c>
      <c r="AD33" s="14">
        <f t="shared" si="7"/>
        <v>1.5245141173808356</v>
      </c>
      <c r="AE33" s="14">
        <f t="shared" si="7"/>
        <v>1.5260148183756816</v>
      </c>
      <c r="AF33" s="14">
        <f t="shared" si="7"/>
        <v>1.5372601973498992</v>
      </c>
      <c r="AG33" s="14">
        <f t="shared" si="7"/>
        <v>1.5512568622422604</v>
      </c>
      <c r="AH33" s="14">
        <f t="shared" si="7"/>
        <v>1.5568770458147063</v>
      </c>
    </row>
    <row r="34" spans="1:34" x14ac:dyDescent="0.3">
      <c r="A34" t="s">
        <v>81</v>
      </c>
      <c r="B34">
        <v>100</v>
      </c>
      <c r="C34" s="16">
        <f>B34*(1+C31/100)</f>
        <v>101.8</v>
      </c>
      <c r="D34" s="16">
        <f>C34*(1+D31/100)</f>
        <v>93.656000000000006</v>
      </c>
      <c r="E34" s="16">
        <f t="shared" ref="E34:AH34" si="8">D34*(1+E33/100)</f>
        <v>100.33161995346313</v>
      </c>
      <c r="F34" s="16">
        <f t="shared" si="8"/>
        <v>101.83103561289015</v>
      </c>
      <c r="G34" s="16">
        <f t="shared" si="8"/>
        <v>103.21513796854953</v>
      </c>
      <c r="H34" s="16">
        <f t="shared" si="8"/>
        <v>104.56665014717782</v>
      </c>
      <c r="I34" s="16">
        <f t="shared" si="8"/>
        <v>105.18790679444839</v>
      </c>
      <c r="J34" s="16">
        <f t="shared" si="8"/>
        <v>105.87130904605436</v>
      </c>
      <c r="K34" s="16">
        <f t="shared" si="8"/>
        <v>106.59262847648246</v>
      </c>
      <c r="L34" s="16">
        <f t="shared" si="8"/>
        <v>107.35912560490425</v>
      </c>
      <c r="M34" s="16">
        <f t="shared" si="8"/>
        <v>108.12188696854183</v>
      </c>
      <c r="N34" s="16">
        <f t="shared" si="8"/>
        <v>108.95140310114323</v>
      </c>
      <c r="O34" s="16">
        <f t="shared" si="8"/>
        <v>109.85018998517333</v>
      </c>
      <c r="P34" s="16">
        <f t="shared" si="8"/>
        <v>110.82202335802744</v>
      </c>
      <c r="Q34" s="16">
        <f t="shared" si="8"/>
        <v>111.85882301091017</v>
      </c>
      <c r="R34" s="16">
        <f t="shared" si="8"/>
        <v>112.97348778661193</v>
      </c>
      <c r="S34" s="16">
        <f t="shared" si="8"/>
        <v>114.16520397883451</v>
      </c>
      <c r="T34" s="16">
        <f t="shared" si="8"/>
        <v>115.4558473578564</v>
      </c>
      <c r="U34" s="16">
        <f t="shared" si="8"/>
        <v>116.84217006632691</v>
      </c>
      <c r="V34" s="16">
        <f t="shared" si="8"/>
        <v>118.33072867489152</v>
      </c>
      <c r="W34" s="16">
        <f t="shared" si="8"/>
        <v>119.9275360461039</v>
      </c>
      <c r="X34" s="16">
        <f t="shared" si="8"/>
        <v>121.64638330530794</v>
      </c>
      <c r="Y34" s="16">
        <f t="shared" si="8"/>
        <v>123.41956279572594</v>
      </c>
      <c r="Z34" s="16">
        <f t="shared" si="8"/>
        <v>125.22067815130642</v>
      </c>
      <c r="AA34" s="16">
        <f t="shared" si="8"/>
        <v>127.07826382475554</v>
      </c>
      <c r="AB34" s="16">
        <f t="shared" si="8"/>
        <v>128.97433964576024</v>
      </c>
      <c r="AC34" s="16">
        <f t="shared" si="8"/>
        <v>130.90435020652234</v>
      </c>
      <c r="AD34" s="16">
        <f t="shared" si="8"/>
        <v>132.90000550568641</v>
      </c>
      <c r="AE34" s="16">
        <f t="shared" si="8"/>
        <v>134.92807928332527</v>
      </c>
      <c r="AF34" s="16">
        <f t="shared" si="8"/>
        <v>137.00227494119656</v>
      </c>
      <c r="AG34" s="16">
        <f t="shared" si="8"/>
        <v>139.12753213264989</v>
      </c>
      <c r="AH34" s="16">
        <f t="shared" si="8"/>
        <v>141.2935767448316</v>
      </c>
    </row>
    <row r="35" spans="1:34" x14ac:dyDescent="0.3">
      <c r="D35" s="16"/>
      <c r="E35" s="16"/>
      <c r="F35" s="16"/>
      <c r="G35" s="16"/>
    </row>
    <row r="36" spans="1:34" x14ac:dyDescent="0.3">
      <c r="A36" s="12" t="s">
        <v>85</v>
      </c>
    </row>
    <row r="37" spans="1:34" x14ac:dyDescent="0.3">
      <c r="A37" t="s">
        <v>86</v>
      </c>
      <c r="B37">
        <v>2863726.0764961899</v>
      </c>
      <c r="C37">
        <v>2906391.9485202902</v>
      </c>
      <c r="D37">
        <v>2669280.2573897</v>
      </c>
      <c r="E37">
        <v>2823768.0962066599</v>
      </c>
      <c r="F37">
        <v>2935513.4370345101</v>
      </c>
      <c r="G37">
        <v>2992562</v>
      </c>
      <c r="H37">
        <v>3034071</v>
      </c>
      <c r="I37">
        <v>3071890</v>
      </c>
      <c r="J37">
        <v>3109641</v>
      </c>
      <c r="K37">
        <v>3148105</v>
      </c>
      <c r="L37">
        <v>3187267</v>
      </c>
      <c r="M37">
        <v>3226815</v>
      </c>
      <c r="N37">
        <v>3266564</v>
      </c>
      <c r="O37">
        <v>3306480</v>
      </c>
      <c r="P37">
        <v>3346445</v>
      </c>
      <c r="Q37">
        <v>3386504</v>
      </c>
      <c r="R37">
        <v>3426783</v>
      </c>
      <c r="S37">
        <v>3467468</v>
      </c>
      <c r="T37">
        <v>3508727</v>
      </c>
      <c r="U37">
        <v>3550510</v>
      </c>
      <c r="V37">
        <v>3592766</v>
      </c>
      <c r="W37">
        <v>3635469</v>
      </c>
      <c r="X37">
        <v>3678671</v>
      </c>
      <c r="Y37">
        <v>3722469</v>
      </c>
      <c r="Z37">
        <v>3766844</v>
      </c>
      <c r="AA37">
        <v>3811787</v>
      </c>
      <c r="AB37">
        <v>3857318</v>
      </c>
      <c r="AC37">
        <v>3903525</v>
      </c>
      <c r="AD37">
        <v>3950559</v>
      </c>
      <c r="AE37">
        <v>3998416</v>
      </c>
      <c r="AF37">
        <v>4047162</v>
      </c>
      <c r="AG37">
        <v>4096935</v>
      </c>
      <c r="AH37">
        <v>4147962</v>
      </c>
    </row>
    <row r="38" spans="1:34" x14ac:dyDescent="0.3">
      <c r="A38" t="s">
        <v>81</v>
      </c>
      <c r="B38" s="16">
        <v>100</v>
      </c>
      <c r="C38" s="16">
        <f t="shared" ref="C38:AH38" si="9">C37/$B37*100</f>
        <v>101.48987266534593</v>
      </c>
      <c r="D38" s="16">
        <f t="shared" si="9"/>
        <v>93.21004125700469</v>
      </c>
      <c r="E38" s="16">
        <f t="shared" si="9"/>
        <v>98.604685670969644</v>
      </c>
      <c r="F38" s="16">
        <f t="shared" si="9"/>
        <v>102.50678167606564</v>
      </c>
      <c r="G38" s="16">
        <f t="shared" si="9"/>
        <v>104.49889130672172</v>
      </c>
      <c r="H38" s="16">
        <f t="shared" si="9"/>
        <v>105.94836653204729</v>
      </c>
      <c r="I38" s="16">
        <f t="shared" si="9"/>
        <v>107.26898865126448</v>
      </c>
      <c r="J38" s="16">
        <f t="shared" si="9"/>
        <v>108.58723624169706</v>
      </c>
      <c r="K38" s="16">
        <f t="shared" si="9"/>
        <v>109.93038146482752</v>
      </c>
      <c r="L38" s="16">
        <f t="shared" si="9"/>
        <v>111.29790052754163</v>
      </c>
      <c r="M38" s="16">
        <f t="shared" si="9"/>
        <v>112.67889853306272</v>
      </c>
      <c r="N38" s="16">
        <f t="shared" si="9"/>
        <v>114.06691536631493</v>
      </c>
      <c r="O38" s="16">
        <f t="shared" si="9"/>
        <v>115.4607637629059</v>
      </c>
      <c r="P38" s="16">
        <f t="shared" si="9"/>
        <v>116.85632321700348</v>
      </c>
      <c r="Q38" s="16">
        <f t="shared" si="9"/>
        <v>118.25516510795042</v>
      </c>
      <c r="R38" s="16">
        <f t="shared" si="9"/>
        <v>119.66168929790652</v>
      </c>
      <c r="S38" s="16">
        <f t="shared" si="9"/>
        <v>121.08239082148866</v>
      </c>
      <c r="T38" s="16">
        <f t="shared" si="9"/>
        <v>122.52313616157653</v>
      </c>
      <c r="U38" s="16">
        <f t="shared" si="9"/>
        <v>123.98217934112262</v>
      </c>
      <c r="V38" s="16">
        <f t="shared" si="9"/>
        <v>125.4577394635384</v>
      </c>
      <c r="W38" s="16">
        <f t="shared" si="9"/>
        <v>126.94890862075916</v>
      </c>
      <c r="X38" s="16">
        <f t="shared" si="9"/>
        <v>128.45750262891437</v>
      </c>
      <c r="Y38" s="16">
        <f t="shared" si="9"/>
        <v>129.98690868347626</v>
      </c>
      <c r="Z38" s="16">
        <f t="shared" si="9"/>
        <v>131.53646331316673</v>
      </c>
      <c r="AA38" s="16">
        <f t="shared" si="9"/>
        <v>133.10585224211724</v>
      </c>
      <c r="AB38" s="16">
        <f t="shared" si="9"/>
        <v>134.69577386114682</v>
      </c>
      <c r="AC38" s="16">
        <f t="shared" si="9"/>
        <v>136.30930108985908</v>
      </c>
      <c r="AD38" s="16">
        <f t="shared" si="9"/>
        <v>137.95170677893768</v>
      </c>
      <c r="AE38" s="16">
        <f t="shared" si="9"/>
        <v>139.62285125021873</v>
      </c>
      <c r="AF38" s="16">
        <f t="shared" si="9"/>
        <v>141.32503919340502</v>
      </c>
      <c r="AG38" s="16">
        <f t="shared" si="9"/>
        <v>143.06308950514776</v>
      </c>
      <c r="AH38" s="16">
        <f t="shared" si="9"/>
        <v>144.84492892124274</v>
      </c>
    </row>
  </sheetData>
  <mergeCells count="2">
    <mergeCell ref="B2:J2"/>
    <mergeCell ref="B6:J6"/>
  </mergeCells>
  <hyperlinks>
    <hyperlink ref="B10" r:id="rId1"/>
    <hyperlink ref="B11" r:id="rId2"/>
  </hyperlinks>
  <pageMargins left="0.7" right="0.7" top="0.75" bottom="0.75" header="0.51180555555555496" footer="0.51180555555555496"/>
  <pageSetup paperSize="9" firstPageNumber="0" orientation="portrait" horizontalDpi="300" verticalDpi="30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5E0B4"/>
  </sheetPr>
  <dimension ref="A2:BH101"/>
  <sheetViews>
    <sheetView tabSelected="1" topLeftCell="A55" zoomScale="65" zoomScaleNormal="65" workbookViewId="0">
      <selection activeCell="S91" sqref="S91"/>
    </sheetView>
  </sheetViews>
  <sheetFormatPr baseColWidth="10" defaultColWidth="8.88671875" defaultRowHeight="14.4" x14ac:dyDescent="0.3"/>
  <cols>
    <col min="1" max="3" width="10.44140625" customWidth="1"/>
    <col min="4" max="4" width="20.6640625" customWidth="1"/>
    <col min="5" max="29" width="10.44140625" customWidth="1"/>
    <col min="30" max="30" width="31.21875" customWidth="1"/>
    <col min="31" max="1000" width="10.44140625" customWidth="1"/>
    <col min="1001" max="1025" width="11.5546875" customWidth="1"/>
  </cols>
  <sheetData>
    <row r="2" spans="1:60" ht="115.8" customHeight="1" x14ac:dyDescent="0.3">
      <c r="B2" s="98" t="s">
        <v>248</v>
      </c>
      <c r="C2" s="98"/>
      <c r="D2" s="98"/>
      <c r="E2" s="98"/>
      <c r="F2" s="98"/>
      <c r="G2" s="98"/>
      <c r="H2" s="98"/>
      <c r="I2" s="98"/>
      <c r="AD2" s="161" t="s">
        <v>246</v>
      </c>
    </row>
    <row r="3" spans="1:60" x14ac:dyDescent="0.3">
      <c r="Y3" s="12"/>
      <c r="AD3" s="109" t="s">
        <v>193</v>
      </c>
      <c r="AE3" s="110">
        <v>2021</v>
      </c>
      <c r="AF3" s="111">
        <v>2022</v>
      </c>
      <c r="AG3" s="111">
        <v>2023</v>
      </c>
      <c r="AH3" s="111">
        <v>2024</v>
      </c>
      <c r="AI3" s="112">
        <v>2025</v>
      </c>
      <c r="AJ3" s="110">
        <v>2026</v>
      </c>
      <c r="AK3" s="111">
        <v>2027</v>
      </c>
      <c r="AL3" s="111">
        <v>2028</v>
      </c>
      <c r="AM3" s="111">
        <v>2029</v>
      </c>
      <c r="AN3" s="112">
        <v>2030</v>
      </c>
      <c r="AO3" s="110">
        <v>2031</v>
      </c>
      <c r="AP3" s="111">
        <v>2032</v>
      </c>
      <c r="AQ3" s="111">
        <v>2033</v>
      </c>
      <c r="AR3" s="111">
        <v>2034</v>
      </c>
      <c r="AS3" s="112">
        <v>2035</v>
      </c>
      <c r="AT3" s="110">
        <v>2036</v>
      </c>
      <c r="AU3" s="111">
        <v>2037</v>
      </c>
      <c r="AV3" s="111">
        <v>2038</v>
      </c>
      <c r="AW3" s="111">
        <v>2039</v>
      </c>
      <c r="AX3" s="112">
        <v>2040</v>
      </c>
      <c r="AY3" s="110">
        <v>2041</v>
      </c>
      <c r="AZ3" s="111">
        <v>2042</v>
      </c>
      <c r="BA3" s="111">
        <v>2043</v>
      </c>
      <c r="BB3" s="111">
        <v>2044</v>
      </c>
      <c r="BC3" s="112">
        <v>2045</v>
      </c>
      <c r="BD3" s="110">
        <v>2046</v>
      </c>
      <c r="BE3" s="111">
        <v>2047</v>
      </c>
      <c r="BF3" s="111">
        <v>2048</v>
      </c>
      <c r="BG3" s="111">
        <v>2049</v>
      </c>
      <c r="BH3" s="112">
        <v>2050</v>
      </c>
    </row>
    <row r="4" spans="1:60" x14ac:dyDescent="0.3">
      <c r="B4" s="105" t="s">
        <v>247</v>
      </c>
      <c r="C4" s="105"/>
      <c r="D4" s="105"/>
      <c r="E4" s="162" t="s">
        <v>87</v>
      </c>
      <c r="F4" s="162"/>
      <c r="G4" s="162"/>
      <c r="H4" s="162"/>
      <c r="I4" s="162"/>
      <c r="J4" s="162"/>
      <c r="K4" s="162"/>
      <c r="L4" s="162"/>
      <c r="N4" s="163" t="s">
        <v>88</v>
      </c>
      <c r="O4" s="163"/>
      <c r="P4" s="163"/>
      <c r="Q4" s="163"/>
      <c r="R4" s="163"/>
      <c r="S4" s="163"/>
      <c r="T4" s="163"/>
      <c r="U4" s="163"/>
      <c r="AD4" s="113" t="s">
        <v>194</v>
      </c>
      <c r="AE4" s="114">
        <v>42989.935766016497</v>
      </c>
      <c r="AF4" s="114">
        <v>43308.110250241145</v>
      </c>
      <c r="AG4" s="114">
        <v>43795.781247795181</v>
      </c>
      <c r="AH4" s="114">
        <v>44290.801532080761</v>
      </c>
      <c r="AI4" s="114">
        <v>44754.456550475174</v>
      </c>
      <c r="AJ4" s="114">
        <v>45198.819332008861</v>
      </c>
      <c r="AK4" s="114">
        <v>45645.335556424339</v>
      </c>
      <c r="AL4" s="114">
        <v>46107.535019059469</v>
      </c>
      <c r="AM4" s="114">
        <v>46572.074972607283</v>
      </c>
      <c r="AN4" s="114">
        <v>47050.411898029139</v>
      </c>
      <c r="AO4" s="114">
        <v>47504.549513499296</v>
      </c>
      <c r="AP4" s="114">
        <v>47955.866955295278</v>
      </c>
      <c r="AQ4" s="114">
        <v>48414.886393533874</v>
      </c>
      <c r="AR4" s="114">
        <v>48881.733737450479</v>
      </c>
      <c r="AS4" s="114">
        <v>49366.119625246312</v>
      </c>
      <c r="AT4" s="114">
        <v>49880.109712613084</v>
      </c>
      <c r="AU4" s="114">
        <v>50430.582688745839</v>
      </c>
      <c r="AV4" s="114">
        <v>51020.498038178106</v>
      </c>
      <c r="AW4" s="114">
        <v>51645.011220578905</v>
      </c>
      <c r="AX4" s="114">
        <v>52309.311623541187</v>
      </c>
      <c r="AY4" s="114">
        <v>52985.80057117407</v>
      </c>
      <c r="AZ4" s="114">
        <v>53687.331749331803</v>
      </c>
      <c r="BA4" s="114">
        <v>54407.202377361675</v>
      </c>
      <c r="BB4" s="114">
        <v>55147.591551984064</v>
      </c>
      <c r="BC4" s="114">
        <v>55900.158669809898</v>
      </c>
      <c r="BD4" s="114">
        <v>56646.89762190773</v>
      </c>
      <c r="BE4" s="114">
        <v>57393.145225961889</v>
      </c>
      <c r="BF4" s="114">
        <v>58141.819942374124</v>
      </c>
      <c r="BG4" s="114">
        <v>58889.06917108671</v>
      </c>
      <c r="BH4" s="114">
        <v>59649.631396968412</v>
      </c>
    </row>
    <row r="5" spans="1:60" x14ac:dyDescent="0.3">
      <c r="B5" t="s">
        <v>195</v>
      </c>
      <c r="E5" s="55">
        <v>2015</v>
      </c>
      <c r="F5" s="56">
        <v>2016</v>
      </c>
      <c r="G5" s="56">
        <v>2017</v>
      </c>
      <c r="H5" s="56">
        <v>2018</v>
      </c>
      <c r="I5" s="56">
        <v>2019</v>
      </c>
      <c r="J5" s="56">
        <v>2020</v>
      </c>
      <c r="K5" s="115">
        <v>2021</v>
      </c>
      <c r="L5" s="115">
        <v>2022</v>
      </c>
      <c r="N5" s="56">
        <v>2015</v>
      </c>
      <c r="O5" s="56">
        <v>2020</v>
      </c>
      <c r="P5" s="56">
        <v>2025</v>
      </c>
      <c r="Q5" s="56">
        <v>2030</v>
      </c>
      <c r="R5" s="56">
        <v>2035</v>
      </c>
      <c r="S5" s="56">
        <v>2040</v>
      </c>
      <c r="T5" s="56">
        <v>2045</v>
      </c>
      <c r="U5" s="57">
        <v>2050</v>
      </c>
      <c r="AD5" s="116" t="s">
        <v>196</v>
      </c>
      <c r="AE5" s="117">
        <v>244783.32701374113</v>
      </c>
      <c r="AF5" s="117">
        <v>247933.3883369877</v>
      </c>
      <c r="AG5" s="117">
        <v>252387.43213731493</v>
      </c>
      <c r="AH5" s="117">
        <v>257809.30347736168</v>
      </c>
      <c r="AI5" s="117">
        <v>260473.96759423116</v>
      </c>
      <c r="AJ5" s="117">
        <v>264088.60395381146</v>
      </c>
      <c r="AK5" s="117">
        <v>267703.69128048379</v>
      </c>
      <c r="AL5" s="117">
        <v>271493.08828512032</v>
      </c>
      <c r="AM5" s="117">
        <v>275323.01500186039</v>
      </c>
      <c r="AN5" s="117">
        <v>279358.82540693344</v>
      </c>
      <c r="AO5" s="117">
        <v>282876.80447023053</v>
      </c>
      <c r="AP5" s="117">
        <v>286278.23485437204</v>
      </c>
      <c r="AQ5" s="117">
        <v>289758.18245425716</v>
      </c>
      <c r="AR5" s="117">
        <v>293285.8479132448</v>
      </c>
      <c r="AS5" s="117">
        <v>297005.10195644229</v>
      </c>
      <c r="AT5" s="117">
        <v>300931.22235446866</v>
      </c>
      <c r="AU5" s="117">
        <v>305117.46935352858</v>
      </c>
      <c r="AV5" s="117">
        <v>309608.98218522535</v>
      </c>
      <c r="AW5" s="117">
        <v>314301.82057719264</v>
      </c>
      <c r="AX5" s="117">
        <v>319316.16060193378</v>
      </c>
      <c r="AY5" s="117">
        <v>324288.27759040345</v>
      </c>
      <c r="AZ5" s="117">
        <v>329558.20620754833</v>
      </c>
      <c r="BA5" s="117">
        <v>334955.78131027584</v>
      </c>
      <c r="BB5" s="117">
        <v>340551.70169824827</v>
      </c>
      <c r="BC5" s="117">
        <v>346219.20299813611</v>
      </c>
      <c r="BD5" s="117">
        <v>351928.63548727712</v>
      </c>
      <c r="BE5" s="117">
        <v>357584.59911901876</v>
      </c>
      <c r="BF5" s="117">
        <v>363314.10456359456</v>
      </c>
      <c r="BG5" s="117">
        <v>368969.89049347088</v>
      </c>
      <c r="BH5" s="117">
        <v>374882.69677066593</v>
      </c>
    </row>
    <row r="6" spans="1:60" x14ac:dyDescent="0.3">
      <c r="A6" s="104" t="s">
        <v>89</v>
      </c>
      <c r="B6" s="104" t="s">
        <v>90</v>
      </c>
      <c r="C6" s="104"/>
      <c r="D6" s="104"/>
      <c r="E6" s="58"/>
      <c r="F6" s="59"/>
      <c r="G6" s="59"/>
      <c r="H6" s="59"/>
      <c r="I6" s="59"/>
      <c r="J6" s="59"/>
      <c r="N6" s="59">
        <v>2198432</v>
      </c>
      <c r="O6" s="60">
        <v>2148555.85993557</v>
      </c>
      <c r="P6" s="60">
        <v>2446132.0012574298</v>
      </c>
      <c r="Q6" s="60">
        <v>2568653.9102448202</v>
      </c>
      <c r="R6" s="60">
        <v>2722186.4268937302</v>
      </c>
      <c r="S6" s="60">
        <v>2936818.36483631</v>
      </c>
      <c r="T6" s="60">
        <v>3178380.9884028598</v>
      </c>
      <c r="U6" s="59">
        <v>3421254.9352878798</v>
      </c>
      <c r="AC6" s="61"/>
      <c r="AD6" s="118" t="s">
        <v>103</v>
      </c>
      <c r="AE6" s="119">
        <v>41847.671005224191</v>
      </c>
      <c r="AF6" s="119">
        <v>42930.37013289272</v>
      </c>
      <c r="AG6" s="119">
        <v>43973.640350024471</v>
      </c>
      <c r="AH6" s="119">
        <v>45122.796174504052</v>
      </c>
      <c r="AI6" s="119">
        <v>46100.658555316564</v>
      </c>
      <c r="AJ6" s="119">
        <v>47002.821129485768</v>
      </c>
      <c r="AK6" s="119">
        <v>47953.653792038058</v>
      </c>
      <c r="AL6" s="119">
        <v>48968.41169957495</v>
      </c>
      <c r="AM6" s="119">
        <v>50023.483183791293</v>
      </c>
      <c r="AN6" s="119">
        <v>51113.882363688725</v>
      </c>
      <c r="AO6" s="119">
        <v>52009.906529426182</v>
      </c>
      <c r="AP6" s="119">
        <v>52903.249905715391</v>
      </c>
      <c r="AQ6" s="119">
        <v>53798.826926758295</v>
      </c>
      <c r="AR6" s="119">
        <v>54697.13154511126</v>
      </c>
      <c r="AS6" s="119">
        <v>55597.268004054109</v>
      </c>
      <c r="AT6" s="119">
        <v>56517.217064373683</v>
      </c>
      <c r="AU6" s="119">
        <v>57472.541582001395</v>
      </c>
      <c r="AV6" s="119">
        <v>58458.03070962707</v>
      </c>
      <c r="AW6" s="119">
        <v>59473.928060895138</v>
      </c>
      <c r="AX6" s="119">
        <v>60530.514833473928</v>
      </c>
      <c r="AY6" s="119">
        <v>61588.296160294136</v>
      </c>
      <c r="AZ6" s="119">
        <v>62666.428146574472</v>
      </c>
      <c r="BA6" s="119">
        <v>63757.822983983904</v>
      </c>
      <c r="BB6" s="119">
        <v>64862.977620879741</v>
      </c>
      <c r="BC6" s="119">
        <v>65978.251706646595</v>
      </c>
      <c r="BD6" s="119">
        <v>67072.628295338844</v>
      </c>
      <c r="BE6" s="119">
        <v>68159.973066608931</v>
      </c>
      <c r="BF6" s="119">
        <v>69250.75057337273</v>
      </c>
      <c r="BG6" s="119">
        <v>70338.65238020831</v>
      </c>
      <c r="BH6" s="119">
        <v>71440.694673354184</v>
      </c>
    </row>
    <row r="7" spans="1:60" ht="28.8" x14ac:dyDescent="0.3">
      <c r="A7" s="104"/>
      <c r="B7" s="104" t="s">
        <v>91</v>
      </c>
      <c r="C7" s="104"/>
      <c r="D7" s="104"/>
      <c r="E7" s="62">
        <v>1967.5</v>
      </c>
      <c r="F7" s="63">
        <v>1996.8</v>
      </c>
      <c r="G7" s="63">
        <v>2046.1</v>
      </c>
      <c r="H7" s="63">
        <v>2101.8000000000002</v>
      </c>
      <c r="I7" s="63">
        <v>2169.3000000000002</v>
      </c>
      <c r="J7" s="63">
        <v>2068.8000000000002</v>
      </c>
      <c r="K7" s="120">
        <v>2217.8000000000002</v>
      </c>
      <c r="L7" s="120">
        <v>2361.1999999999998</v>
      </c>
      <c r="N7" s="64">
        <v>1967467</v>
      </c>
      <c r="O7" s="65">
        <v>1918757.33744364</v>
      </c>
      <c r="P7" s="65">
        <v>2184506.2598973499</v>
      </c>
      <c r="Q7" s="65">
        <v>2293923.8534777202</v>
      </c>
      <c r="R7" s="65">
        <v>2431035.31906704</v>
      </c>
      <c r="S7" s="65">
        <v>2622711.3250096701</v>
      </c>
      <c r="T7" s="65">
        <v>2838437.64847345</v>
      </c>
      <c r="U7" s="64">
        <v>3055335.0428346498</v>
      </c>
      <c r="AD7" s="121" t="s">
        <v>197</v>
      </c>
      <c r="AE7" s="119">
        <v>9423.4969417647553</v>
      </c>
      <c r="AF7" s="119">
        <v>9545.72776764017</v>
      </c>
      <c r="AG7" s="119">
        <v>9878.1805523567473</v>
      </c>
      <c r="AH7" s="119">
        <v>10018.523138670527</v>
      </c>
      <c r="AI7" s="119">
        <v>10203.906593681097</v>
      </c>
      <c r="AJ7" s="119">
        <v>10350.723757647966</v>
      </c>
      <c r="AK7" s="119">
        <v>10449.895591587612</v>
      </c>
      <c r="AL7" s="119">
        <v>10542.456928995185</v>
      </c>
      <c r="AM7" s="119">
        <v>10608.729402387729</v>
      </c>
      <c r="AN7" s="119">
        <v>10686.960400406217</v>
      </c>
      <c r="AO7" s="119">
        <v>10754.411282507064</v>
      </c>
      <c r="AP7" s="119">
        <v>10810.860744592306</v>
      </c>
      <c r="AQ7" s="119">
        <v>10871.08848396997</v>
      </c>
      <c r="AR7" s="119">
        <v>10939.907697556146</v>
      </c>
      <c r="AS7" s="119">
        <v>11025.303977764561</v>
      </c>
      <c r="AT7" s="119">
        <v>11104.01130447023</v>
      </c>
      <c r="AU7" s="119">
        <v>11191.211786864638</v>
      </c>
      <c r="AV7" s="119">
        <v>11299.206551819134</v>
      </c>
      <c r="AW7" s="119">
        <v>11411.38334733468</v>
      </c>
      <c r="AX7" s="119">
        <v>11542.288746046626</v>
      </c>
      <c r="AY7" s="119">
        <v>11672.096516295176</v>
      </c>
      <c r="AZ7" s="119">
        <v>11802.031605639739</v>
      </c>
      <c r="BA7" s="119">
        <v>11933.55930802693</v>
      </c>
      <c r="BB7" s="119">
        <v>12084.661314776091</v>
      </c>
      <c r="BC7" s="119">
        <v>12234.027380804395</v>
      </c>
      <c r="BD7" s="119">
        <v>12389.065918949727</v>
      </c>
      <c r="BE7" s="119">
        <v>12549.977964576563</v>
      </c>
      <c r="BF7" s="119">
        <v>12707.649727410042</v>
      </c>
      <c r="BG7" s="119">
        <v>12865.765310210376</v>
      </c>
      <c r="BH7" s="119">
        <v>13050.025590523244</v>
      </c>
    </row>
    <row r="8" spans="1:60" x14ac:dyDescent="0.3">
      <c r="A8" s="104"/>
      <c r="B8" s="104" t="s">
        <v>92</v>
      </c>
      <c r="C8" s="104"/>
      <c r="D8" s="104"/>
      <c r="E8" s="66">
        <v>35.299999999999997</v>
      </c>
      <c r="F8" s="67">
        <v>32.1</v>
      </c>
      <c r="G8" s="67">
        <v>35.4</v>
      </c>
      <c r="H8" s="67">
        <v>39</v>
      </c>
      <c r="I8" s="67">
        <v>37.1</v>
      </c>
      <c r="J8" s="67">
        <v>36.6</v>
      </c>
      <c r="K8" s="120">
        <v>40.5</v>
      </c>
      <c r="L8" s="120">
        <v>50.5</v>
      </c>
      <c r="N8" s="67">
        <v>35299</v>
      </c>
      <c r="O8" s="68">
        <v>34104.681647137397</v>
      </c>
      <c r="P8" s="68">
        <v>35181.630853972099</v>
      </c>
      <c r="Q8" s="68">
        <v>35288.436990753398</v>
      </c>
      <c r="R8" s="68">
        <v>35427.548239017902</v>
      </c>
      <c r="S8" s="68">
        <v>35570.259103377903</v>
      </c>
      <c r="T8" s="68">
        <v>35606.058204860601</v>
      </c>
      <c r="U8" s="67">
        <v>35635.050576822803</v>
      </c>
      <c r="AD8" s="121" t="s">
        <v>198</v>
      </c>
      <c r="AE8" s="119">
        <v>2915.1447702943688</v>
      </c>
      <c r="AF8" s="119">
        <v>2954.5017155777441</v>
      </c>
      <c r="AG8" s="119">
        <v>3015.1684058285896</v>
      </c>
      <c r="AH8" s="119">
        <v>3076.2780796675643</v>
      </c>
      <c r="AI8" s="119">
        <v>3119.5866356196243</v>
      </c>
      <c r="AJ8" s="119">
        <v>3159.037321349766</v>
      </c>
      <c r="AK8" s="119">
        <v>3198.9218883241683</v>
      </c>
      <c r="AL8" s="119">
        <v>3241.3758131781992</v>
      </c>
      <c r="AM8" s="119">
        <v>3285.286709766006</v>
      </c>
      <c r="AN8" s="119">
        <v>3332.0808104577791</v>
      </c>
      <c r="AO8" s="119">
        <v>3366.7270739117594</v>
      </c>
      <c r="AP8" s="119">
        <v>3402.3537407482595</v>
      </c>
      <c r="AQ8" s="119">
        <v>3440.0572998035318</v>
      </c>
      <c r="AR8" s="119">
        <v>3479.9646201920559</v>
      </c>
      <c r="AS8" s="119">
        <v>3522.54069302278</v>
      </c>
      <c r="AT8" s="119">
        <v>3568.2150268933119</v>
      </c>
      <c r="AU8" s="119">
        <v>3617.8364447161121</v>
      </c>
      <c r="AV8" s="119">
        <v>3671.0288927652273</v>
      </c>
      <c r="AW8" s="119">
        <v>3727.1568626083686</v>
      </c>
      <c r="AX8" s="119">
        <v>3787.0247451497762</v>
      </c>
      <c r="AY8" s="119">
        <v>3848.8599591884736</v>
      </c>
      <c r="AZ8" s="119">
        <v>3913.2170335993746</v>
      </c>
      <c r="BA8" s="119">
        <v>3979.1134508204118</v>
      </c>
      <c r="BB8" s="119">
        <v>4046.6572259843201</v>
      </c>
      <c r="BC8" s="119">
        <v>4114.8883528335246</v>
      </c>
      <c r="BD8" s="119">
        <v>4184.1668361601669</v>
      </c>
      <c r="BE8" s="119">
        <v>4253.5187104968909</v>
      </c>
      <c r="BF8" s="119">
        <v>4323.2815940544906</v>
      </c>
      <c r="BG8" s="119">
        <v>4393.0199034846382</v>
      </c>
      <c r="BH8" s="119">
        <v>4464.0800556828153</v>
      </c>
    </row>
    <row r="9" spans="1:60" x14ac:dyDescent="0.3">
      <c r="A9" s="104"/>
      <c r="B9" s="104" t="s">
        <v>93</v>
      </c>
      <c r="C9" s="104"/>
      <c r="D9" s="104"/>
      <c r="E9" s="66">
        <v>107.9</v>
      </c>
      <c r="F9" s="63">
        <v>108.4</v>
      </c>
      <c r="G9" s="63">
        <v>113.1</v>
      </c>
      <c r="H9" s="63">
        <v>117.4</v>
      </c>
      <c r="I9" s="63">
        <v>124.1</v>
      </c>
      <c r="J9" s="63">
        <v>112.2</v>
      </c>
      <c r="K9" s="120">
        <v>123.9</v>
      </c>
      <c r="L9" s="120">
        <v>130.9</v>
      </c>
      <c r="N9" s="63">
        <v>107884</v>
      </c>
      <c r="O9" s="68">
        <v>90720.938362229004</v>
      </c>
      <c r="P9" s="68">
        <v>114692.586912556</v>
      </c>
      <c r="Q9" s="68">
        <v>118532.702148422</v>
      </c>
      <c r="R9" s="68">
        <v>123943.531769516</v>
      </c>
      <c r="S9" s="68">
        <v>130758.83396874899</v>
      </c>
      <c r="T9" s="68">
        <v>138885.61966657001</v>
      </c>
      <c r="U9" s="63">
        <v>147322.870789687</v>
      </c>
      <c r="AD9" s="121" t="s">
        <v>199</v>
      </c>
      <c r="AE9" s="119">
        <v>15383.433071172769</v>
      </c>
      <c r="AF9" s="119">
        <v>15541.331452288314</v>
      </c>
      <c r="AG9" s="119">
        <v>15825.87663499564</v>
      </c>
      <c r="AH9" s="119">
        <v>16162.135282829153</v>
      </c>
      <c r="AI9" s="119">
        <v>16440.477572794374</v>
      </c>
      <c r="AJ9" s="119">
        <v>16687.426411883713</v>
      </c>
      <c r="AK9" s="119">
        <v>16963.676187445144</v>
      </c>
      <c r="AL9" s="119">
        <v>17261.603726839498</v>
      </c>
      <c r="AM9" s="119">
        <v>17573.448416192594</v>
      </c>
      <c r="AN9" s="119">
        <v>17912.637285086581</v>
      </c>
      <c r="AO9" s="119">
        <v>18013.295630580425</v>
      </c>
      <c r="AP9" s="119">
        <v>18131.906809882141</v>
      </c>
      <c r="AQ9" s="119">
        <v>18278.334627326141</v>
      </c>
      <c r="AR9" s="119">
        <v>18453.807234144733</v>
      </c>
      <c r="AS9" s="119">
        <v>18659.645238102275</v>
      </c>
      <c r="AT9" s="119">
        <v>18905.868172604671</v>
      </c>
      <c r="AU9" s="119">
        <v>19180.500293895613</v>
      </c>
      <c r="AV9" s="119">
        <v>19493.939758159173</v>
      </c>
      <c r="AW9" s="119">
        <v>19826.119371069261</v>
      </c>
      <c r="AX9" s="119">
        <v>20190.997980465938</v>
      </c>
      <c r="AY9" s="119">
        <v>20544.335163881573</v>
      </c>
      <c r="AZ9" s="119">
        <v>20919.314170077821</v>
      </c>
      <c r="BA9" s="119">
        <v>21296.352465410855</v>
      </c>
      <c r="BB9" s="119">
        <v>21699.208788781125</v>
      </c>
      <c r="BC9" s="119">
        <v>22092.953817562156</v>
      </c>
      <c r="BD9" s="119">
        <v>22484.039803964486</v>
      </c>
      <c r="BE9" s="119">
        <v>22837.66040971706</v>
      </c>
      <c r="BF9" s="119">
        <v>23239.651312214672</v>
      </c>
      <c r="BG9" s="119">
        <v>23561.724151548824</v>
      </c>
      <c r="BH9" s="119">
        <v>23997.798836913764</v>
      </c>
    </row>
    <row r="10" spans="1:60" x14ac:dyDescent="0.3">
      <c r="A10" s="104"/>
      <c r="B10" s="104" t="s">
        <v>94</v>
      </c>
      <c r="C10" s="104"/>
      <c r="D10" s="104"/>
      <c r="E10" s="66">
        <f>1099.9+443.6</f>
        <v>1543.5</v>
      </c>
      <c r="F10" s="63">
        <f>1125.2+449.9</f>
        <v>1575.1</v>
      </c>
      <c r="G10" s="63">
        <f>1154.6+460</f>
        <v>1614.6</v>
      </c>
      <c r="H10" s="63">
        <f>1189.9+466.7</f>
        <v>1656.6000000000001</v>
      </c>
      <c r="I10" s="63">
        <f>1233.2+474.2</f>
        <v>1707.4</v>
      </c>
      <c r="J10" s="63">
        <f>1164.6+478.6</f>
        <v>1643.1999999999998</v>
      </c>
      <c r="K10">
        <f>1260.1+507</f>
        <v>1767.1</v>
      </c>
      <c r="L10">
        <f>1343.5+523.2</f>
        <v>1866.7</v>
      </c>
      <c r="N10" s="63">
        <v>1557627</v>
      </c>
      <c r="O10" s="68">
        <v>1544431.62068959</v>
      </c>
      <c r="P10" s="68">
        <v>1755919.7893245199</v>
      </c>
      <c r="Q10" s="68">
        <v>1852620.8452788501</v>
      </c>
      <c r="R10" s="68">
        <v>1971488.25196016</v>
      </c>
      <c r="S10" s="68">
        <v>2137995.5946368598</v>
      </c>
      <c r="T10" s="68">
        <v>2324423.6735998699</v>
      </c>
      <c r="U10" s="63">
        <v>2511046.8666440998</v>
      </c>
      <c r="AD10" s="121" t="s">
        <v>200</v>
      </c>
      <c r="AE10" s="119">
        <v>1132.9587845044903</v>
      </c>
      <c r="AF10" s="119">
        <v>1140.4720325240644</v>
      </c>
      <c r="AG10" s="119">
        <v>1164.0396033725101</v>
      </c>
      <c r="AH10" s="119">
        <v>1187.9701859413367</v>
      </c>
      <c r="AI10" s="119">
        <v>1205.8427821722562</v>
      </c>
      <c r="AJ10" s="119">
        <v>1219.3991130923985</v>
      </c>
      <c r="AK10" s="119">
        <v>1232.0993384913195</v>
      </c>
      <c r="AL10" s="119">
        <v>1245.165083034901</v>
      </c>
      <c r="AM10" s="119">
        <v>1258.2082893729207</v>
      </c>
      <c r="AN10" s="119">
        <v>1272.4512394133117</v>
      </c>
      <c r="AO10" s="119">
        <v>1278.9182346329833</v>
      </c>
      <c r="AP10" s="119">
        <v>1285.8977588206324</v>
      </c>
      <c r="AQ10" s="119">
        <v>1294.1717979575108</v>
      </c>
      <c r="AR10" s="119">
        <v>1304.0760064763003</v>
      </c>
      <c r="AS10" s="119">
        <v>1315.7446696273726</v>
      </c>
      <c r="AT10" s="119">
        <v>1329.2754407404027</v>
      </c>
      <c r="AU10" s="119">
        <v>1344.971463082195</v>
      </c>
      <c r="AV10" s="119">
        <v>1362.6271109874963</v>
      </c>
      <c r="AW10" s="119">
        <v>1381.8346278193503</v>
      </c>
      <c r="AX10" s="119">
        <v>1403.0659427172152</v>
      </c>
      <c r="AY10" s="119">
        <v>1425.6610403740249</v>
      </c>
      <c r="AZ10" s="119">
        <v>1449.4869549146154</v>
      </c>
      <c r="BA10" s="119">
        <v>1474.3039904685709</v>
      </c>
      <c r="BB10" s="119">
        <v>1500.2801552230667</v>
      </c>
      <c r="BC10" s="119">
        <v>1526.9462566111308</v>
      </c>
      <c r="BD10" s="119">
        <v>1553.0161104558051</v>
      </c>
      <c r="BE10" s="119">
        <v>1579.2834572831582</v>
      </c>
      <c r="BF10" s="119">
        <v>1605.6823136595672</v>
      </c>
      <c r="BG10" s="119">
        <v>1632.1527391099542</v>
      </c>
      <c r="BH10" s="119">
        <v>1659.1817004719085</v>
      </c>
    </row>
    <row r="11" spans="1:60" ht="28.8" x14ac:dyDescent="0.3">
      <c r="A11" s="104"/>
      <c r="B11" s="104" t="s">
        <v>95</v>
      </c>
      <c r="C11" s="104"/>
      <c r="D11" s="104"/>
      <c r="E11" s="62">
        <v>280.8</v>
      </c>
      <c r="F11" s="69">
        <v>281.10000000000002</v>
      </c>
      <c r="G11" s="69">
        <v>282.89999999999998</v>
      </c>
      <c r="H11" s="69">
        <v>288.8</v>
      </c>
      <c r="I11" s="69">
        <v>300.60000000000002</v>
      </c>
      <c r="J11" s="69">
        <v>276.8</v>
      </c>
      <c r="K11" s="122">
        <v>286.3</v>
      </c>
      <c r="L11" s="122">
        <v>313</v>
      </c>
      <c r="N11" s="67">
        <v>266657</v>
      </c>
      <c r="O11" s="70">
        <v>249767.07351702399</v>
      </c>
      <c r="P11" s="70">
        <v>278556.68674860703</v>
      </c>
      <c r="Q11" s="70">
        <v>287397.68703646399</v>
      </c>
      <c r="R11" s="70">
        <v>300201.11106429499</v>
      </c>
      <c r="S11" s="70">
        <v>318622.22612492502</v>
      </c>
      <c r="T11" s="70">
        <v>340000.5311044</v>
      </c>
      <c r="U11" s="67">
        <v>362055.96433595498</v>
      </c>
      <c r="V11" s="56">
        <v>2020</v>
      </c>
      <c r="W11" s="56">
        <v>2025</v>
      </c>
      <c r="X11" s="56">
        <v>2030</v>
      </c>
      <c r="Y11" s="56">
        <v>2035</v>
      </c>
      <c r="Z11" s="56">
        <v>2040</v>
      </c>
      <c r="AA11" s="56">
        <v>2045</v>
      </c>
      <c r="AB11" s="57">
        <v>2050</v>
      </c>
      <c r="AD11" s="121" t="s">
        <v>201</v>
      </c>
      <c r="AE11" s="119">
        <v>370.46795891926371</v>
      </c>
      <c r="AF11" s="119">
        <v>376.30258408329553</v>
      </c>
      <c r="AG11" s="119">
        <v>389.71073155980343</v>
      </c>
      <c r="AH11" s="119">
        <v>408.63943237384973</v>
      </c>
      <c r="AI11" s="119">
        <v>422.64690560982206</v>
      </c>
      <c r="AJ11" s="119">
        <v>433.33857692316241</v>
      </c>
      <c r="AK11" s="119">
        <v>442.1718841698235</v>
      </c>
      <c r="AL11" s="119">
        <v>450.31540261652367</v>
      </c>
      <c r="AM11" s="119">
        <v>457.97970295657063</v>
      </c>
      <c r="AN11" s="119">
        <v>465.95452259226141</v>
      </c>
      <c r="AO11" s="119">
        <v>465.43168378920416</v>
      </c>
      <c r="AP11" s="119">
        <v>465.56947045839109</v>
      </c>
      <c r="AQ11" s="119">
        <v>466.53949565265657</v>
      </c>
      <c r="AR11" s="119">
        <v>468.6415069901031</v>
      </c>
      <c r="AS11" s="119">
        <v>471.59323753475121</v>
      </c>
      <c r="AT11" s="119">
        <v>475.50482515831249</v>
      </c>
      <c r="AU11" s="119">
        <v>480.59240785281014</v>
      </c>
      <c r="AV11" s="119">
        <v>486.54373548330074</v>
      </c>
      <c r="AW11" s="119">
        <v>493.21305071583163</v>
      </c>
      <c r="AX11" s="119">
        <v>500.91439835354879</v>
      </c>
      <c r="AY11" s="119">
        <v>508.72340077193837</v>
      </c>
      <c r="AZ11" s="119">
        <v>516.84884891397178</v>
      </c>
      <c r="BA11" s="119">
        <v>525.25189641178338</v>
      </c>
      <c r="BB11" s="119">
        <v>533.94481724539662</v>
      </c>
      <c r="BC11" s="119">
        <v>542.78167249863657</v>
      </c>
      <c r="BD11" s="119">
        <v>551.66178088184199</v>
      </c>
      <c r="BE11" s="119">
        <v>560.54436208476909</v>
      </c>
      <c r="BF11" s="119">
        <v>569.36248245463548</v>
      </c>
      <c r="BG11" s="119">
        <v>578.09149816576303</v>
      </c>
      <c r="BH11" s="119">
        <v>586.80984711352266</v>
      </c>
    </row>
    <row r="12" spans="1:60" x14ac:dyDescent="0.3">
      <c r="A12" s="104"/>
      <c r="C12" s="104" t="s">
        <v>96</v>
      </c>
      <c r="D12" s="104"/>
      <c r="E12" s="143">
        <f>E$76*E25</f>
        <v>36.70425673883544</v>
      </c>
      <c r="F12" s="143">
        <f>F$76*F25</f>
        <v>38.137251149794785</v>
      </c>
      <c r="G12" s="143">
        <f>G$76*G25</f>
        <v>32.752975899872794</v>
      </c>
      <c r="H12" s="143">
        <f>H$76*H25</f>
        <v>35.950214439280813</v>
      </c>
      <c r="I12" s="143">
        <f>I$76*I25</f>
        <v>38.155609874130967</v>
      </c>
      <c r="J12" s="143">
        <f>J$76*J25</f>
        <v>44.790398771994347</v>
      </c>
      <c r="K12" s="143">
        <f>K$76*K25</f>
        <v>44.960822142452251</v>
      </c>
      <c r="N12" s="71">
        <v>38198.758106634399</v>
      </c>
      <c r="O12" s="72">
        <v>33799.104389439402</v>
      </c>
      <c r="P12" s="72">
        <v>37412.914324007397</v>
      </c>
      <c r="Q12" s="72">
        <v>37670.554532624803</v>
      </c>
      <c r="R12" s="72">
        <v>38190.528460966001</v>
      </c>
      <c r="S12" s="72">
        <v>38688.180380096201</v>
      </c>
      <c r="T12" s="72">
        <v>39102.222375101599</v>
      </c>
      <c r="U12" s="71">
        <v>39596.801192232597</v>
      </c>
      <c r="V12" s="81">
        <f t="shared" ref="V12:AB20" si="0">O12/O$11</f>
        <v>0.13532249833217377</v>
      </c>
      <c r="W12" s="81">
        <f t="shared" si="0"/>
        <v>0.13430987696149602</v>
      </c>
      <c r="X12" s="81">
        <f t="shared" si="0"/>
        <v>0.13107466145976776</v>
      </c>
      <c r="Y12" s="81">
        <f t="shared" si="0"/>
        <v>0.12721647939799469</v>
      </c>
      <c r="Z12" s="81">
        <f t="shared" si="0"/>
        <v>0.12142335721716847</v>
      </c>
      <c r="AA12" s="81">
        <f t="shared" si="0"/>
        <v>0.115006356749175</v>
      </c>
      <c r="AB12" s="81">
        <f t="shared" si="0"/>
        <v>0.10936652090473607</v>
      </c>
      <c r="AD12" s="121" t="s">
        <v>202</v>
      </c>
      <c r="AE12" s="119">
        <v>173710.1544818613</v>
      </c>
      <c r="AF12" s="119">
        <v>175444.68265198142</v>
      </c>
      <c r="AG12" s="119">
        <v>178140.81585917721</v>
      </c>
      <c r="AH12" s="119">
        <v>181832.96118337524</v>
      </c>
      <c r="AI12" s="119">
        <v>182980.84854903744</v>
      </c>
      <c r="AJ12" s="119">
        <v>185235.8576434287</v>
      </c>
      <c r="AK12" s="119">
        <v>187463.27259842769</v>
      </c>
      <c r="AL12" s="119">
        <v>189783.75963088105</v>
      </c>
      <c r="AM12" s="119">
        <v>192115.87929739332</v>
      </c>
      <c r="AN12" s="119">
        <v>194574.85878528858</v>
      </c>
      <c r="AO12" s="119">
        <v>196988.11403538287</v>
      </c>
      <c r="AP12" s="119">
        <v>199278.39642415495</v>
      </c>
      <c r="AQ12" s="119">
        <v>201609.16382278907</v>
      </c>
      <c r="AR12" s="119">
        <v>203942.31930277418</v>
      </c>
      <c r="AS12" s="119">
        <v>206413.00613633639</v>
      </c>
      <c r="AT12" s="119">
        <v>209031.13052022806</v>
      </c>
      <c r="AU12" s="119">
        <v>211829.8153751159</v>
      </c>
      <c r="AV12" s="119">
        <v>214837.60542638399</v>
      </c>
      <c r="AW12" s="119">
        <v>217988.18525674997</v>
      </c>
      <c r="AX12" s="119">
        <v>221361.35395572681</v>
      </c>
      <c r="AY12" s="119">
        <v>224700.30534959814</v>
      </c>
      <c r="AZ12" s="119">
        <v>228290.8794478284</v>
      </c>
      <c r="BA12" s="119">
        <v>231989.37721515339</v>
      </c>
      <c r="BB12" s="119">
        <v>235823.97177535857</v>
      </c>
      <c r="BC12" s="119">
        <v>239729.35381117967</v>
      </c>
      <c r="BD12" s="119">
        <v>243694.05674152623</v>
      </c>
      <c r="BE12" s="119">
        <v>247643.64114825148</v>
      </c>
      <c r="BF12" s="119">
        <v>251617.72656042848</v>
      </c>
      <c r="BG12" s="119">
        <v>255600.48451074294</v>
      </c>
      <c r="BH12" s="119">
        <v>259684.10606660647</v>
      </c>
    </row>
    <row r="13" spans="1:60" x14ac:dyDescent="0.3">
      <c r="A13" s="104"/>
      <c r="C13" s="104" t="s">
        <v>97</v>
      </c>
      <c r="D13" s="104"/>
      <c r="E13" s="143">
        <f>E$76*E26</f>
        <v>252.12986592920154</v>
      </c>
      <c r="F13" s="143">
        <f>F$76*F26</f>
        <v>262.5030450974665</v>
      </c>
      <c r="G13" s="143">
        <f>G$76*G26</f>
        <v>244.08713616270893</v>
      </c>
      <c r="H13" s="143">
        <f>H$76*H26</f>
        <v>250.39214000576732</v>
      </c>
      <c r="I13" s="143">
        <f>I$76*I26</f>
        <v>248.94203022559472</v>
      </c>
      <c r="J13" s="143">
        <f>J$76*J26</f>
        <v>253.60634178872004</v>
      </c>
      <c r="K13" s="143">
        <f>K$76*K26</f>
        <v>265.75857747826558</v>
      </c>
      <c r="N13" s="73">
        <v>228458.24189336601</v>
      </c>
      <c r="O13" s="74">
        <v>215980.157747688</v>
      </c>
      <c r="P13" s="74">
        <v>241198.67860881699</v>
      </c>
      <c r="Q13" s="74">
        <v>249919.95987452299</v>
      </c>
      <c r="R13" s="74">
        <v>262381.63601811201</v>
      </c>
      <c r="S13" s="74">
        <v>280598.20835280098</v>
      </c>
      <c r="T13" s="74">
        <v>301926.58039878099</v>
      </c>
      <c r="U13" s="73">
        <v>323853.201737786</v>
      </c>
      <c r="V13" s="81">
        <f t="shared" si="0"/>
        <v>0.86472630161544051</v>
      </c>
      <c r="W13" s="81">
        <f t="shared" si="0"/>
        <v>0.86588723259224776</v>
      </c>
      <c r="X13" s="81">
        <f t="shared" si="0"/>
        <v>0.86959628120741983</v>
      </c>
      <c r="Y13" s="81">
        <f t="shared" si="0"/>
        <v>0.87401953672955235</v>
      </c>
      <c r="Z13" s="81">
        <f t="shared" si="0"/>
        <v>0.88066112576460498</v>
      </c>
      <c r="AA13" s="81">
        <f t="shared" si="0"/>
        <v>0.888017966966269</v>
      </c>
      <c r="AB13" s="81">
        <f t="shared" si="0"/>
        <v>0.89448381918459352</v>
      </c>
      <c r="AD13" s="113" t="s">
        <v>203</v>
      </c>
      <c r="AE13" s="114">
        <v>15815.226852316626</v>
      </c>
      <c r="AF13" s="114">
        <v>15890.837115080103</v>
      </c>
      <c r="AG13" s="114">
        <v>16055.429734535874</v>
      </c>
      <c r="AH13" s="114">
        <v>15983.841267332731</v>
      </c>
      <c r="AI13" s="114">
        <v>16006.109276102103</v>
      </c>
      <c r="AJ13" s="114">
        <v>16146.503196994114</v>
      </c>
      <c r="AK13" s="114">
        <v>16312.273215145289</v>
      </c>
      <c r="AL13" s="114">
        <v>16477.227702903689</v>
      </c>
      <c r="AM13" s="114">
        <v>16631.017415121642</v>
      </c>
      <c r="AN13" s="114">
        <v>16767.470463763009</v>
      </c>
      <c r="AO13" s="114">
        <v>17150.68634282237</v>
      </c>
      <c r="AP13" s="114">
        <v>17413.856832819794</v>
      </c>
      <c r="AQ13" s="114">
        <v>17613.066323865012</v>
      </c>
      <c r="AR13" s="114">
        <v>17770.888848854243</v>
      </c>
      <c r="AS13" s="114">
        <v>17913.916433410959</v>
      </c>
      <c r="AT13" s="114">
        <v>18066.231759120634</v>
      </c>
      <c r="AU13" s="114">
        <v>18247.095527453308</v>
      </c>
      <c r="AV13" s="114">
        <v>18456.833583733311</v>
      </c>
      <c r="AW13" s="114">
        <v>18692.824871115568</v>
      </c>
      <c r="AX13" s="114">
        <v>18951.24554923172</v>
      </c>
      <c r="AY13" s="114">
        <v>19226.481340315833</v>
      </c>
      <c r="AZ13" s="114">
        <v>19515.587457600806</v>
      </c>
      <c r="BA13" s="114">
        <v>19811.069825459665</v>
      </c>
      <c r="BB13" s="114">
        <v>20111.980034441556</v>
      </c>
      <c r="BC13" s="114">
        <v>20415.280868148395</v>
      </c>
      <c r="BD13" s="114">
        <v>20719.064001357183</v>
      </c>
      <c r="BE13" s="114">
        <v>21021.310814457884</v>
      </c>
      <c r="BF13" s="114">
        <v>21324.291415381813</v>
      </c>
      <c r="BG13" s="114">
        <v>21626.505042344324</v>
      </c>
      <c r="BH13" s="114">
        <v>21931.678141612607</v>
      </c>
    </row>
    <row r="14" spans="1:60" x14ac:dyDescent="0.3">
      <c r="A14" s="104"/>
      <c r="D14" t="s">
        <v>98</v>
      </c>
      <c r="E14" s="143">
        <f>E$76*E27</f>
        <v>4.4701099785966685</v>
      </c>
      <c r="F14" s="143">
        <f>F$76*F27</f>
        <v>4.2835919255057116</v>
      </c>
      <c r="G14" s="143">
        <f>G$76*G27</f>
        <v>4.1789766380792992</v>
      </c>
      <c r="H14" s="143">
        <f>H$76*H27</f>
        <v>4.084111469840586</v>
      </c>
      <c r="I14" s="143">
        <f>I$76*I27</f>
        <v>3.281749086878488</v>
      </c>
      <c r="J14" s="143">
        <f>J$76*J27</f>
        <v>2.9449211231139643</v>
      </c>
      <c r="K14" s="143">
        <f>K$76*K27</f>
        <v>5.6619212672264023</v>
      </c>
      <c r="N14" s="67">
        <v>3543.4455515626701</v>
      </c>
      <c r="O14" s="70">
        <v>3278.2043827841899</v>
      </c>
      <c r="P14" s="70">
        <v>3284.4635152983701</v>
      </c>
      <c r="Q14" s="70">
        <v>3241.2816038088299</v>
      </c>
      <c r="R14" s="70">
        <v>3211.8723666749502</v>
      </c>
      <c r="S14" s="70">
        <v>3187.4827743647802</v>
      </c>
      <c r="T14" s="70">
        <v>3167.8939139362201</v>
      </c>
      <c r="U14" s="67">
        <v>3150.5383461557399</v>
      </c>
      <c r="V14" s="81">
        <f t="shared" si="0"/>
        <v>1.3125046214551371E-2</v>
      </c>
      <c r="W14" s="81">
        <f t="shared" si="0"/>
        <v>1.1791005822317761E-2</v>
      </c>
      <c r="X14" s="81">
        <f t="shared" si="0"/>
        <v>1.1278036497898426E-2</v>
      </c>
      <c r="Y14" s="81">
        <f t="shared" si="0"/>
        <v>1.0699068885148308E-2</v>
      </c>
      <c r="Z14" s="81">
        <f t="shared" si="0"/>
        <v>1.0003956136804579E-2</v>
      </c>
      <c r="AA14" s="81">
        <f t="shared" si="0"/>
        <v>9.3173204866656284E-3</v>
      </c>
      <c r="AB14" s="81">
        <f t="shared" si="0"/>
        <v>8.7017993252345022E-3</v>
      </c>
      <c r="AC14" s="25"/>
      <c r="AD14" s="123" t="s">
        <v>204</v>
      </c>
      <c r="AE14" s="114">
        <v>121227.98654807996</v>
      </c>
      <c r="AF14" s="114">
        <v>122484.85720375679</v>
      </c>
      <c r="AG14" s="114">
        <v>128327.47846629287</v>
      </c>
      <c r="AH14" s="114">
        <v>129112.42429891136</v>
      </c>
      <c r="AI14" s="114">
        <v>131858.68006885418</v>
      </c>
      <c r="AJ14" s="114">
        <v>134032.47140912231</v>
      </c>
      <c r="AK14" s="114">
        <v>134811.1249591886</v>
      </c>
      <c r="AL14" s="114">
        <v>135229.88107683763</v>
      </c>
      <c r="AM14" s="114">
        <v>134793.78905373305</v>
      </c>
      <c r="AN14" s="114">
        <v>134504.89283816071</v>
      </c>
      <c r="AO14" s="114">
        <v>134610.98160972589</v>
      </c>
      <c r="AP14" s="114">
        <v>134398.90690204958</v>
      </c>
      <c r="AQ14" s="114">
        <v>134185.44043083314</v>
      </c>
      <c r="AR14" s="114">
        <v>134093.69934495611</v>
      </c>
      <c r="AS14" s="114">
        <v>134331.90562975948</v>
      </c>
      <c r="AT14" s="114">
        <v>134228.11897839897</v>
      </c>
      <c r="AU14" s="114">
        <v>134171.14153390381</v>
      </c>
      <c r="AV14" s="114">
        <v>134518.30326611429</v>
      </c>
      <c r="AW14" s="114">
        <v>134840.88133322148</v>
      </c>
      <c r="AX14" s="114">
        <v>135514.35255550427</v>
      </c>
      <c r="AY14" s="114">
        <v>135997.15400695996</v>
      </c>
      <c r="AZ14" s="114">
        <v>136343.17146547441</v>
      </c>
      <c r="BA14" s="114">
        <v>136717.84993536212</v>
      </c>
      <c r="BB14" s="114">
        <v>137540.42926442181</v>
      </c>
      <c r="BC14" s="114">
        <v>138310.5641015601</v>
      </c>
      <c r="BD14" s="114">
        <v>139175.07889726548</v>
      </c>
      <c r="BE14" s="114">
        <v>140209.3383442155</v>
      </c>
      <c r="BF14" s="114">
        <v>141140.62673133658</v>
      </c>
      <c r="BG14" s="114">
        <v>142090.56428523993</v>
      </c>
      <c r="BH14" s="114">
        <v>143709.76231030442</v>
      </c>
    </row>
    <row r="15" spans="1:60" x14ac:dyDescent="0.3">
      <c r="A15" s="104"/>
      <c r="D15" t="s">
        <v>99</v>
      </c>
      <c r="E15" s="143">
        <f>E$76*E28</f>
        <v>2.9800733190644459</v>
      </c>
      <c r="F15" s="143">
        <f>F$76*F28</f>
        <v>2.8557279503371413</v>
      </c>
      <c r="G15" s="143">
        <f>G$76*G28</f>
        <v>2.7859844253861987</v>
      </c>
      <c r="H15" s="143">
        <f>H$76*H28</f>
        <v>2.7227409798937239</v>
      </c>
      <c r="I15" s="143">
        <f>I$76*I28</f>
        <v>2.1878327245856588</v>
      </c>
      <c r="J15" s="143">
        <f>J$76*J28</f>
        <v>1.9632807487426429</v>
      </c>
      <c r="K15" s="143">
        <f>K$76*K28</f>
        <v>3.774614178150935</v>
      </c>
      <c r="N15" s="63">
        <v>2717.5544484373299</v>
      </c>
      <c r="O15" s="68">
        <v>2638.41923137609</v>
      </c>
      <c r="P15" s="68">
        <v>2692.8347259417501</v>
      </c>
      <c r="Q15" s="68">
        <v>2728.7514701121099</v>
      </c>
      <c r="R15" s="68">
        <v>2753.8673507685899</v>
      </c>
      <c r="S15" s="68">
        <v>2768.9057020452701</v>
      </c>
      <c r="T15" s="68">
        <v>2773.8133147020499</v>
      </c>
      <c r="U15" s="63">
        <v>2772.8759226799398</v>
      </c>
      <c r="V15" s="81">
        <f t="shared" si="0"/>
        <v>1.056351901883599E-2</v>
      </c>
      <c r="W15" s="81">
        <f t="shared" si="0"/>
        <v>9.6670977723539286E-3</v>
      </c>
      <c r="X15" s="81">
        <f t="shared" si="0"/>
        <v>9.4946883471817775E-3</v>
      </c>
      <c r="Y15" s="81">
        <f t="shared" si="0"/>
        <v>9.173408256236552E-3</v>
      </c>
      <c r="Z15" s="81">
        <f t="shared" si="0"/>
        <v>8.6902465522277813E-3</v>
      </c>
      <c r="AA15" s="81">
        <f t="shared" si="0"/>
        <v>8.1582617112157616E-3</v>
      </c>
      <c r="AB15" s="81">
        <f t="shared" si="0"/>
        <v>7.6586942236006456E-3</v>
      </c>
      <c r="AC15" s="25"/>
      <c r="AD15" s="124" t="s">
        <v>205</v>
      </c>
      <c r="AE15" s="125">
        <v>69092.441170808539</v>
      </c>
      <c r="AF15" s="125">
        <v>69111.726571129169</v>
      </c>
      <c r="AG15" s="125">
        <v>69043.071315896348</v>
      </c>
      <c r="AH15" s="125">
        <v>69204.208919658558</v>
      </c>
      <c r="AI15" s="125">
        <v>69385.023559300724</v>
      </c>
      <c r="AJ15" s="125">
        <v>69943.438420945095</v>
      </c>
      <c r="AK15" s="125">
        <v>70628.009441679285</v>
      </c>
      <c r="AL15" s="125">
        <v>71513.48262380845</v>
      </c>
      <c r="AM15" s="125">
        <v>72606.48595689678</v>
      </c>
      <c r="AN15" s="125">
        <v>74030.170667365615</v>
      </c>
      <c r="AO15" s="125">
        <v>74199.04798776166</v>
      </c>
      <c r="AP15" s="125">
        <v>74425.213781601531</v>
      </c>
      <c r="AQ15" s="125">
        <v>74672.257208521332</v>
      </c>
      <c r="AR15" s="125">
        <v>74947.552765223547</v>
      </c>
      <c r="AS15" s="125">
        <v>75288.98348858871</v>
      </c>
      <c r="AT15" s="125">
        <v>75717.412025355137</v>
      </c>
      <c r="AU15" s="125">
        <v>76256.516084732153</v>
      </c>
      <c r="AV15" s="125">
        <v>76896.185342202574</v>
      </c>
      <c r="AW15" s="125">
        <v>77627.112369921233</v>
      </c>
      <c r="AX15" s="125">
        <v>78451.139205206404</v>
      </c>
      <c r="AY15" s="125">
        <v>79332.068614417774</v>
      </c>
      <c r="AZ15" s="125">
        <v>80269.45635083977</v>
      </c>
      <c r="BA15" s="125">
        <v>81252.352379168733</v>
      </c>
      <c r="BB15" s="125">
        <v>82283.60446990843</v>
      </c>
      <c r="BC15" s="125">
        <v>83342.501882994358</v>
      </c>
      <c r="BD15" s="125">
        <v>84389.315274294451</v>
      </c>
      <c r="BE15" s="125">
        <v>85406.768179935665</v>
      </c>
      <c r="BF15" s="125">
        <v>86427.523726273314</v>
      </c>
      <c r="BG15" s="125">
        <v>87442.674905443739</v>
      </c>
      <c r="BH15" s="125">
        <v>88484.674289127332</v>
      </c>
    </row>
    <row r="16" spans="1:60" x14ac:dyDescent="0.3">
      <c r="A16" s="104"/>
      <c r="D16" t="s">
        <v>100</v>
      </c>
      <c r="E16" s="143">
        <f>E$76*E29</f>
        <v>51.326658099555097</v>
      </c>
      <c r="F16" s="143">
        <f>F$76*F29</f>
        <v>52.811678305680623</v>
      </c>
      <c r="G16" s="143">
        <f>G$76*G29</f>
        <v>49.150323784629094</v>
      </c>
      <c r="H16" s="143">
        <f>H$76*H29</f>
        <v>50.186831744744097</v>
      </c>
      <c r="I16" s="143">
        <f>I$76*I29</f>
        <v>50.099419136936199</v>
      </c>
      <c r="J16" s="143">
        <f>J$76*J29</f>
        <v>55.111111586879417</v>
      </c>
      <c r="K16" s="143">
        <f>K$76*K29</f>
        <v>57.53981887276133</v>
      </c>
      <c r="N16" s="76">
        <v>32007</v>
      </c>
      <c r="O16" s="77">
        <v>34345.131153531998</v>
      </c>
      <c r="P16" s="77">
        <v>35555.747003791701</v>
      </c>
      <c r="Q16" s="77">
        <v>36238.720925132999</v>
      </c>
      <c r="R16" s="77">
        <v>37339.876306079103</v>
      </c>
      <c r="S16" s="77">
        <v>38689.939312575501</v>
      </c>
      <c r="T16" s="77">
        <v>40179.322077012999</v>
      </c>
      <c r="U16" s="76">
        <v>41801.949466668601</v>
      </c>
      <c r="V16" s="81">
        <f t="shared" si="0"/>
        <v>0.13750864223178341</v>
      </c>
      <c r="W16" s="81">
        <f t="shared" si="0"/>
        <v>0.12764276965959248</v>
      </c>
      <c r="X16" s="81">
        <f t="shared" si="0"/>
        <v>0.12609259767819619</v>
      </c>
      <c r="Y16" s="81">
        <f t="shared" si="0"/>
        <v>0.12438287178118373</v>
      </c>
      <c r="Z16" s="81">
        <f t="shared" si="0"/>
        <v>0.12142887764962761</v>
      </c>
      <c r="AA16" s="81">
        <f t="shared" si="0"/>
        <v>0.11817429210037206</v>
      </c>
      <c r="AB16" s="81">
        <f t="shared" si="0"/>
        <v>0.11545714912703439</v>
      </c>
      <c r="AC16" s="81"/>
      <c r="AD16" s="118" t="s">
        <v>206</v>
      </c>
      <c r="AE16" s="119">
        <v>7372.5327580641951</v>
      </c>
      <c r="AF16" s="119">
        <v>7325.11847888171</v>
      </c>
      <c r="AG16" s="119">
        <v>7340.3417295914423</v>
      </c>
      <c r="AH16" s="119">
        <v>7460.5806412826823</v>
      </c>
      <c r="AI16" s="119">
        <v>7626.3089334287251</v>
      </c>
      <c r="AJ16" s="119">
        <v>7817.106978339797</v>
      </c>
      <c r="AK16" s="119">
        <v>8027.6923547406695</v>
      </c>
      <c r="AL16" s="119">
        <v>8256.4245510107867</v>
      </c>
      <c r="AM16" s="119">
        <v>8504.3933991943504</v>
      </c>
      <c r="AN16" s="119">
        <v>8775.8364597747877</v>
      </c>
      <c r="AO16" s="119">
        <v>8812.2926577882245</v>
      </c>
      <c r="AP16" s="119">
        <v>8837.647301444058</v>
      </c>
      <c r="AQ16" s="119">
        <v>8842.9176172377884</v>
      </c>
      <c r="AR16" s="119">
        <v>8842.1579946051424</v>
      </c>
      <c r="AS16" s="119">
        <v>8845.2014960714005</v>
      </c>
      <c r="AT16" s="119">
        <v>8857.6319718467712</v>
      </c>
      <c r="AU16" s="119">
        <v>8881.7975392972676</v>
      </c>
      <c r="AV16" s="119">
        <v>8918.3179868480875</v>
      </c>
      <c r="AW16" s="119">
        <v>8965.7361165519123</v>
      </c>
      <c r="AX16" s="119">
        <v>9023.2257415239183</v>
      </c>
      <c r="AY16" s="119">
        <v>9089.2598555401109</v>
      </c>
      <c r="AZ16" s="119">
        <v>9163.5920203437199</v>
      </c>
      <c r="BA16" s="119">
        <v>9243.5686006711057</v>
      </c>
      <c r="BB16" s="119">
        <v>9328.9411639179834</v>
      </c>
      <c r="BC16" s="119">
        <v>9417.2978848706807</v>
      </c>
      <c r="BD16" s="119">
        <v>9507.4402621671543</v>
      </c>
      <c r="BE16" s="119">
        <v>9599.0804201206065</v>
      </c>
      <c r="BF16" s="119">
        <v>9692.958547786151</v>
      </c>
      <c r="BG16" s="119">
        <v>9787.4321367501761</v>
      </c>
      <c r="BH16" s="119">
        <v>9885.3829409044192</v>
      </c>
    </row>
    <row r="17" spans="1:60" x14ac:dyDescent="0.3">
      <c r="A17" s="104"/>
      <c r="D17" t="s">
        <v>101</v>
      </c>
      <c r="E17" s="143">
        <f>E$76*E30</f>
        <v>9.2850631323510111</v>
      </c>
      <c r="F17" s="143">
        <f>F$76*F30</f>
        <v>9.6555159179869836</v>
      </c>
      <c r="G17" s="143">
        <f>G$76*G30</f>
        <v>8.9429427653185325</v>
      </c>
      <c r="H17" s="143">
        <f>H$76*H30</f>
        <v>9.2029558791877637</v>
      </c>
      <c r="I17" s="143">
        <f>I$76*I30</f>
        <v>9.5551466694196403</v>
      </c>
      <c r="J17" s="143">
        <f>J$76*J30</f>
        <v>10.214262663957241</v>
      </c>
      <c r="K17" s="143">
        <f>K$76*K30</f>
        <v>10.417657018494751</v>
      </c>
      <c r="N17" s="76">
        <v>7803</v>
      </c>
      <c r="O17" s="77">
        <v>7950.7451029005597</v>
      </c>
      <c r="P17" s="77">
        <v>8792.1443255419508</v>
      </c>
      <c r="Q17" s="77">
        <v>9209.2747024927194</v>
      </c>
      <c r="R17" s="77">
        <v>9684.9649237064095</v>
      </c>
      <c r="S17" s="77">
        <v>10315.6169877547</v>
      </c>
      <c r="T17" s="77">
        <v>11086.1893055862</v>
      </c>
      <c r="U17" s="76">
        <v>11854.0000180978</v>
      </c>
      <c r="V17" s="81">
        <f t="shared" si="0"/>
        <v>3.1832639070252154E-2</v>
      </c>
      <c r="W17" s="81">
        <f t="shared" si="0"/>
        <v>3.1563214037926585E-2</v>
      </c>
      <c r="X17" s="81">
        <f t="shared" si="0"/>
        <v>3.2043663250930339E-2</v>
      </c>
      <c r="Y17" s="81">
        <f t="shared" si="0"/>
        <v>3.2261589203885895E-2</v>
      </c>
      <c r="Z17" s="81">
        <f t="shared" si="0"/>
        <v>3.2375698058522022E-2</v>
      </c>
      <c r="AA17" s="81">
        <f t="shared" si="0"/>
        <v>3.2606388200558702E-2</v>
      </c>
      <c r="AB17" s="81">
        <f t="shared" si="0"/>
        <v>3.2740794754863828E-2</v>
      </c>
      <c r="AD17" s="121" t="s">
        <v>207</v>
      </c>
      <c r="AE17" s="119">
        <v>14129.077872190737</v>
      </c>
      <c r="AF17" s="119">
        <v>14228.501671334274</v>
      </c>
      <c r="AG17" s="119">
        <v>14336.5547345758</v>
      </c>
      <c r="AH17" s="119">
        <v>14503.776762436109</v>
      </c>
      <c r="AI17" s="119">
        <v>14860.152636917575</v>
      </c>
      <c r="AJ17" s="119">
        <v>15298.631420775217</v>
      </c>
      <c r="AK17" s="119">
        <v>15716.727227205414</v>
      </c>
      <c r="AL17" s="119">
        <v>16221.797408868288</v>
      </c>
      <c r="AM17" s="119">
        <v>16864.503613726072</v>
      </c>
      <c r="AN17" s="119">
        <v>17775.54011722498</v>
      </c>
      <c r="AO17" s="119">
        <v>17405.01619967811</v>
      </c>
      <c r="AP17" s="119">
        <v>17108.403962423443</v>
      </c>
      <c r="AQ17" s="119">
        <v>16855.703454466984</v>
      </c>
      <c r="AR17" s="119">
        <v>16635.593458318428</v>
      </c>
      <c r="AS17" s="119">
        <v>16446.299004695455</v>
      </c>
      <c r="AT17" s="119">
        <v>16287.343528915128</v>
      </c>
      <c r="AU17" s="119">
        <v>16158.283774710293</v>
      </c>
      <c r="AV17" s="119">
        <v>16054.013173100353</v>
      </c>
      <c r="AW17" s="119">
        <v>15970.627547339698</v>
      </c>
      <c r="AX17" s="119">
        <v>15904.72910887008</v>
      </c>
      <c r="AY17" s="119">
        <v>15865.010779503336</v>
      </c>
      <c r="AZ17" s="119">
        <v>15838.891821423695</v>
      </c>
      <c r="BA17" s="119">
        <v>15819.93356134709</v>
      </c>
      <c r="BB17" s="119">
        <v>15806.940674683297</v>
      </c>
      <c r="BC17" s="119">
        <v>15796.776007559147</v>
      </c>
      <c r="BD17" s="119">
        <v>15783.77316749945</v>
      </c>
      <c r="BE17" s="119">
        <v>15770.2576297287</v>
      </c>
      <c r="BF17" s="119">
        <v>15758.642297948916</v>
      </c>
      <c r="BG17" s="119">
        <v>15747.512689443623</v>
      </c>
      <c r="BH17" s="119">
        <v>15741.970738872724</v>
      </c>
    </row>
    <row r="18" spans="1:60" x14ac:dyDescent="0.3">
      <c r="A18" s="104"/>
      <c r="D18" t="s">
        <v>102</v>
      </c>
      <c r="E18" s="143">
        <f>E$76*E31</f>
        <v>5.2178651589592695</v>
      </c>
      <c r="F18" s="143">
        <f>F$76*F31</f>
        <v>5.5343948327455159</v>
      </c>
      <c r="G18" s="143">
        <f>G$76*G31</f>
        <v>4.9141358428473376</v>
      </c>
      <c r="H18" s="143">
        <f>H$76*H31</f>
        <v>5.2147799136722925</v>
      </c>
      <c r="I18" s="143">
        <f>I$76*I31</f>
        <v>5.024125594241986</v>
      </c>
      <c r="J18" s="143">
        <f>J$76*J31</f>
        <v>5.5355947845491125</v>
      </c>
      <c r="K18" s="143">
        <f>K$76*K31</f>
        <v>5.5674142810494764</v>
      </c>
      <c r="N18" s="76">
        <v>8172</v>
      </c>
      <c r="O18" s="77">
        <v>7726.9695748018103</v>
      </c>
      <c r="P18" s="77">
        <v>8664.1815334448002</v>
      </c>
      <c r="Q18" s="77">
        <v>9019.5503831533806</v>
      </c>
      <c r="R18" s="77">
        <v>9544.2983277668991</v>
      </c>
      <c r="S18" s="77">
        <v>10251.7984700383</v>
      </c>
      <c r="T18" s="77">
        <v>11074.661156968299</v>
      </c>
      <c r="U18" s="76">
        <v>11958.9894272893</v>
      </c>
      <c r="V18" s="81">
        <f t="shared" si="0"/>
        <v>3.0936702208168139E-2</v>
      </c>
      <c r="W18" s="81">
        <f t="shared" si="0"/>
        <v>3.1103836115282654E-2</v>
      </c>
      <c r="X18" s="81">
        <f t="shared" si="0"/>
        <v>3.1383517648174437E-2</v>
      </c>
      <c r="Y18" s="81">
        <f t="shared" si="0"/>
        <v>3.1793014669165454E-2</v>
      </c>
      <c r="Z18" s="81">
        <f t="shared" si="0"/>
        <v>3.2175402810784418E-2</v>
      </c>
      <c r="AA18" s="81">
        <f t="shared" si="0"/>
        <v>3.257248193405831E-2</v>
      </c>
      <c r="AB18" s="81">
        <f t="shared" si="0"/>
        <v>3.3030775916710067E-2</v>
      </c>
      <c r="AD18" s="121" t="s">
        <v>208</v>
      </c>
      <c r="AE18" s="119">
        <v>24875.90051202754</v>
      </c>
      <c r="AF18" s="119">
        <v>25002.711385690844</v>
      </c>
      <c r="AG18" s="119">
        <v>24806.496509531018</v>
      </c>
      <c r="AH18" s="119">
        <v>24623.62960193133</v>
      </c>
      <c r="AI18" s="119">
        <v>24335.914649026243</v>
      </c>
      <c r="AJ18" s="119">
        <v>24218.475374487767</v>
      </c>
      <c r="AK18" s="119">
        <v>24183.860850628069</v>
      </c>
      <c r="AL18" s="119">
        <v>24215.001834961935</v>
      </c>
      <c r="AM18" s="119">
        <v>24283.134199423715</v>
      </c>
      <c r="AN18" s="119">
        <v>24382.207135247805</v>
      </c>
      <c r="AO18" s="119">
        <v>24596.45987582946</v>
      </c>
      <c r="AP18" s="119">
        <v>24829.755186886672</v>
      </c>
      <c r="AQ18" s="119">
        <v>25069.145192136868</v>
      </c>
      <c r="AR18" s="119">
        <v>25314.357334829849</v>
      </c>
      <c r="AS18" s="119">
        <v>25585.062924586011</v>
      </c>
      <c r="AT18" s="119">
        <v>25897.954931287735</v>
      </c>
      <c r="AU18" s="119">
        <v>26264.155528962776</v>
      </c>
      <c r="AV18" s="119">
        <v>26682.428992504851</v>
      </c>
      <c r="AW18" s="119">
        <v>27148.269796203873</v>
      </c>
      <c r="AX18" s="119">
        <v>27667.138038011366</v>
      </c>
      <c r="AY18" s="119">
        <v>28182.231925191547</v>
      </c>
      <c r="AZ18" s="119">
        <v>28712.941810144137</v>
      </c>
      <c r="BA18" s="119">
        <v>29267.890500710309</v>
      </c>
      <c r="BB18" s="119">
        <v>29852.058191980439</v>
      </c>
      <c r="BC18" s="119">
        <v>30458.521673488605</v>
      </c>
      <c r="BD18" s="119">
        <v>31020.099374636895</v>
      </c>
      <c r="BE18" s="119">
        <v>31540.355369279481</v>
      </c>
      <c r="BF18" s="119">
        <v>32047.812397289748</v>
      </c>
      <c r="BG18" s="119">
        <v>32543.153635796029</v>
      </c>
      <c r="BH18" s="119">
        <v>33040.595762275523</v>
      </c>
    </row>
    <row r="19" spans="1:60" x14ac:dyDescent="0.3">
      <c r="A19" s="104"/>
      <c r="D19" t="s">
        <v>103</v>
      </c>
      <c r="E19" s="143">
        <f>E$76*E32</f>
        <v>52.10368568194972</v>
      </c>
      <c r="F19" s="143">
        <f>F$76*F32</f>
        <v>55.139932432146175</v>
      </c>
      <c r="G19" s="143">
        <f>G$76*G32</f>
        <v>50.238493888028131</v>
      </c>
      <c r="H19" s="143">
        <f>H$76*H32</f>
        <v>51.034262032949279</v>
      </c>
      <c r="I19" s="143">
        <f>I$76*I32</f>
        <v>51.211951579948746</v>
      </c>
      <c r="J19" s="143">
        <f>J$76*J32</f>
        <v>58.963457093473011</v>
      </c>
      <c r="K19" s="143">
        <f>K$76*K32</f>
        <v>56.062986268606913</v>
      </c>
      <c r="N19" s="63">
        <v>43787</v>
      </c>
      <c r="O19" s="68">
        <v>41772.791071881002</v>
      </c>
      <c r="P19" s="68">
        <v>47270.194852360401</v>
      </c>
      <c r="Q19" s="68">
        <v>48849.282509802099</v>
      </c>
      <c r="R19" s="68">
        <v>51241.160430527299</v>
      </c>
      <c r="S19" s="68">
        <v>54771.525504404199</v>
      </c>
      <c r="T19" s="68">
        <v>59466.088876425303</v>
      </c>
      <c r="U19" s="63">
        <v>64466.392324292603</v>
      </c>
      <c r="V19" s="81">
        <f t="shared" si="0"/>
        <v>0.16724698929954748</v>
      </c>
      <c r="W19" s="81">
        <f t="shared" si="0"/>
        <v>0.16969685920704894</v>
      </c>
      <c r="X19" s="81">
        <f t="shared" si="0"/>
        <v>0.16997103565278268</v>
      </c>
      <c r="Y19" s="81">
        <f t="shared" si="0"/>
        <v>0.17068944298328337</v>
      </c>
      <c r="Z19" s="81">
        <f t="shared" si="0"/>
        <v>0.17190114503477685</v>
      </c>
      <c r="AA19" s="81">
        <f t="shared" si="0"/>
        <v>0.1748999881949177</v>
      </c>
      <c r="AB19" s="81">
        <f t="shared" si="0"/>
        <v>0.17805642959792167</v>
      </c>
      <c r="AD19" s="121" t="s">
        <v>209</v>
      </c>
      <c r="AE19" s="119">
        <v>12281.780758979303</v>
      </c>
      <c r="AF19" s="119">
        <v>12079.511135492683</v>
      </c>
      <c r="AG19" s="119">
        <v>12001.433255919119</v>
      </c>
      <c r="AH19" s="119">
        <v>12013.805444412443</v>
      </c>
      <c r="AI19" s="119">
        <v>11958.40876059302</v>
      </c>
      <c r="AJ19" s="119">
        <v>11965.084520343704</v>
      </c>
      <c r="AK19" s="119">
        <v>11993.614556520937</v>
      </c>
      <c r="AL19" s="119">
        <v>12039.72697676208</v>
      </c>
      <c r="AM19" s="119">
        <v>12095.852350651954</v>
      </c>
      <c r="AN19" s="119">
        <v>12159.288032845736</v>
      </c>
      <c r="AO19" s="119">
        <v>12287.51261887669</v>
      </c>
      <c r="AP19" s="119">
        <v>12405.957051895966</v>
      </c>
      <c r="AQ19" s="119">
        <v>12523.069282789711</v>
      </c>
      <c r="AR19" s="119">
        <v>12640.964310365134</v>
      </c>
      <c r="AS19" s="119">
        <v>12764.686843369584</v>
      </c>
      <c r="AT19" s="119">
        <v>12891.296704901137</v>
      </c>
      <c r="AU19" s="119">
        <v>13026.116149383057</v>
      </c>
      <c r="AV19" s="119">
        <v>13166.821058872107</v>
      </c>
      <c r="AW19" s="119">
        <v>13312.86997596784</v>
      </c>
      <c r="AX19" s="119">
        <v>13464.014982854629</v>
      </c>
      <c r="AY19" s="119">
        <v>13633.953664180615</v>
      </c>
      <c r="AZ19" s="119">
        <v>13814.711992546618</v>
      </c>
      <c r="BA19" s="119">
        <v>13999.594866332622</v>
      </c>
      <c r="BB19" s="119">
        <v>14187.445490617296</v>
      </c>
      <c r="BC19" s="119">
        <v>14373.170184478126</v>
      </c>
      <c r="BD19" s="119">
        <v>14587.465734444371</v>
      </c>
      <c r="BE19" s="119">
        <v>14809.377185201451</v>
      </c>
      <c r="BF19" s="119">
        <v>15038.340482450116</v>
      </c>
      <c r="BG19" s="119">
        <v>15271.134626573101</v>
      </c>
      <c r="BH19" s="119">
        <v>15512.384412842703</v>
      </c>
    </row>
    <row r="20" spans="1:60" x14ac:dyDescent="0.3">
      <c r="A20" s="104"/>
      <c r="D20" t="s">
        <v>104</v>
      </c>
      <c r="E20" s="143">
        <f>E$76*E33</f>
        <v>163.45066729756081</v>
      </c>
      <c r="F20" s="143">
        <f>F$76*F33</f>
        <v>170.35945488285907</v>
      </c>
      <c r="G20" s="143">
        <f>G$76*G33</f>
        <v>156.62925471829317</v>
      </c>
      <c r="H20" s="143">
        <f>H$76*H33</f>
        <v>163.89667242476042</v>
      </c>
      <c r="I20" s="143">
        <f>I$76*I33</f>
        <v>165.73741530771497</v>
      </c>
      <c r="J20" s="143">
        <f>J$76*J33</f>
        <v>163.66411255999901</v>
      </c>
      <c r="K20" s="143">
        <f>K$76*K33</f>
        <v>171.694987734428</v>
      </c>
      <c r="N20" s="63">
        <v>130428.24189336599</v>
      </c>
      <c r="O20" s="68">
        <v>118394.759036531</v>
      </c>
      <c r="P20" s="68">
        <v>134944.06964320299</v>
      </c>
      <c r="Q20" s="68">
        <v>140596.88054085599</v>
      </c>
      <c r="R20" s="68">
        <v>148511.460678862</v>
      </c>
      <c r="S20" s="68">
        <v>160427.22514580601</v>
      </c>
      <c r="T20" s="68">
        <v>173877.47063622199</v>
      </c>
      <c r="U20" s="63">
        <v>187424.67822396901</v>
      </c>
      <c r="V20" s="81">
        <f t="shared" si="0"/>
        <v>0.47402068402927927</v>
      </c>
      <c r="W20" s="81">
        <f t="shared" si="0"/>
        <v>0.48444024524526264</v>
      </c>
      <c r="X20" s="81">
        <f t="shared" si="0"/>
        <v>0.48920672254059427</v>
      </c>
      <c r="Y20" s="81">
        <f t="shared" si="0"/>
        <v>0.49470656571639021</v>
      </c>
      <c r="Z20" s="81">
        <f t="shared" si="0"/>
        <v>0.50350293228729714</v>
      </c>
      <c r="AA20" s="81">
        <f t="shared" si="0"/>
        <v>0.51140352655164367</v>
      </c>
      <c r="AB20" s="81">
        <f t="shared" si="0"/>
        <v>0.51766769970969451</v>
      </c>
      <c r="AD20" s="126" t="s">
        <v>210</v>
      </c>
      <c r="AE20" s="127">
        <v>10433.149269546768</v>
      </c>
      <c r="AF20" s="127">
        <v>10475.883899729666</v>
      </c>
      <c r="AG20" s="127">
        <v>10558.245086278961</v>
      </c>
      <c r="AH20" s="127">
        <v>10602.416469595986</v>
      </c>
      <c r="AI20" s="127">
        <v>10604.238579335173</v>
      </c>
      <c r="AJ20" s="127">
        <v>10644.140126998615</v>
      </c>
      <c r="AK20" s="127">
        <v>10706.11445258421</v>
      </c>
      <c r="AL20" s="127">
        <v>10780.531852205359</v>
      </c>
      <c r="AM20" s="127">
        <v>10858.602393900688</v>
      </c>
      <c r="AN20" s="127">
        <v>10937.298922272303</v>
      </c>
      <c r="AO20" s="127">
        <v>11097.766635589182</v>
      </c>
      <c r="AP20" s="127">
        <v>11243.450278951379</v>
      </c>
      <c r="AQ20" s="127">
        <v>11381.421661889981</v>
      </c>
      <c r="AR20" s="127">
        <v>11514.479667105012</v>
      </c>
      <c r="AS20" s="127">
        <v>11647.733219866248</v>
      </c>
      <c r="AT20" s="127">
        <v>11783.184888404368</v>
      </c>
      <c r="AU20" s="127">
        <v>11926.163092378756</v>
      </c>
      <c r="AV20" s="127">
        <v>12074.604130877155</v>
      </c>
      <c r="AW20" s="127">
        <v>12229.608933857917</v>
      </c>
      <c r="AX20" s="127">
        <v>12392.031333946406</v>
      </c>
      <c r="AY20" s="127">
        <v>12561.61239000217</v>
      </c>
      <c r="AZ20" s="127">
        <v>12739.318706381588</v>
      </c>
      <c r="BA20" s="127">
        <v>12921.364850107613</v>
      </c>
      <c r="BB20" s="127">
        <v>13108.218948709404</v>
      </c>
      <c r="BC20" s="127">
        <v>13296.736132597809</v>
      </c>
      <c r="BD20" s="127">
        <v>13490.536735546588</v>
      </c>
      <c r="BE20" s="127">
        <v>13687.697575605438</v>
      </c>
      <c r="BF20" s="127">
        <v>13889.770000798373</v>
      </c>
      <c r="BG20" s="127">
        <v>14093.441816880804</v>
      </c>
      <c r="BH20" s="127">
        <v>14304.340434231937</v>
      </c>
    </row>
    <row r="21" spans="1:60" x14ac:dyDescent="0.3">
      <c r="A21" s="104" t="s">
        <v>105</v>
      </c>
      <c r="B21" s="104" t="s">
        <v>92</v>
      </c>
      <c r="C21" s="104"/>
      <c r="D21" s="104"/>
      <c r="E21" s="78">
        <f t="shared" ref="E21:I24" si="1">E8/E$7</f>
        <v>1.7941550190597202E-2</v>
      </c>
      <c r="F21" s="78">
        <f t="shared" si="1"/>
        <v>1.6075721153846156E-2</v>
      </c>
      <c r="G21" s="78">
        <f t="shared" si="1"/>
        <v>1.7301207174624897E-2</v>
      </c>
      <c r="H21" s="78">
        <f t="shared" si="1"/>
        <v>1.8555523836711389E-2</v>
      </c>
      <c r="I21" s="78">
        <f t="shared" si="1"/>
        <v>1.7102291061632784E-2</v>
      </c>
      <c r="J21" s="78">
        <f>J8/J$7</f>
        <v>1.7691415313225056E-2</v>
      </c>
      <c r="K21" s="78">
        <f t="shared" ref="K21:L24" si="2">K8/K$7</f>
        <v>1.8261340066732797E-2</v>
      </c>
      <c r="L21" s="78">
        <f t="shared" si="2"/>
        <v>2.1387430120277825E-2</v>
      </c>
      <c r="N21" s="79">
        <v>1.79413428535269</v>
      </c>
      <c r="O21" s="79">
        <v>1.7774358946595601</v>
      </c>
      <c r="P21" s="79">
        <v>1.6105072116215999</v>
      </c>
      <c r="Q21" s="79">
        <v>1.53834387036231</v>
      </c>
      <c r="R21" s="79">
        <v>1.4573029014080301</v>
      </c>
      <c r="S21" s="79">
        <v>1.3562399629797901</v>
      </c>
      <c r="T21" s="79">
        <v>1.2544245325948999</v>
      </c>
      <c r="U21" s="80">
        <v>1.16632218978386</v>
      </c>
      <c r="V21" s="81"/>
      <c r="W21" s="81"/>
      <c r="X21" s="81"/>
      <c r="Y21" s="81"/>
      <c r="Z21" s="81"/>
      <c r="AA21" s="81"/>
      <c r="AB21" s="81"/>
      <c r="AD21" s="124" t="s">
        <v>211</v>
      </c>
      <c r="AE21" s="125">
        <v>1494463.589970106</v>
      </c>
      <c r="AF21" s="125">
        <v>1522084.7123583618</v>
      </c>
      <c r="AG21" s="125">
        <v>1551239.3485839947</v>
      </c>
      <c r="AH21" s="125">
        <v>1579835.2055656533</v>
      </c>
      <c r="AI21" s="125">
        <v>1601343.102592017</v>
      </c>
      <c r="AJ21" s="125">
        <v>1624478.8579538241</v>
      </c>
      <c r="AK21" s="125">
        <v>1648502.9159938775</v>
      </c>
      <c r="AL21" s="125">
        <v>1674099.5959132188</v>
      </c>
      <c r="AM21" s="125">
        <v>1700374.1265490395</v>
      </c>
      <c r="AN21" s="125">
        <v>1727682.9715344487</v>
      </c>
      <c r="AO21" s="125">
        <v>1754943.9020458483</v>
      </c>
      <c r="AP21" s="125">
        <v>1781468.8339551722</v>
      </c>
      <c r="AQ21" s="125">
        <v>1807989.0104889844</v>
      </c>
      <c r="AR21" s="125">
        <v>1834369.2843398985</v>
      </c>
      <c r="AS21" s="125">
        <v>1861256.2361760631</v>
      </c>
      <c r="AT21" s="125">
        <v>1889004.4795706361</v>
      </c>
      <c r="AU21" s="125">
        <v>1918143.0045008867</v>
      </c>
      <c r="AV21" s="125">
        <v>1948759.995119849</v>
      </c>
      <c r="AW21" s="125">
        <v>1980589.58081599</v>
      </c>
      <c r="AX21" s="125">
        <v>2014032.9201274596</v>
      </c>
      <c r="AY21" s="125">
        <v>2047811.7683612779</v>
      </c>
      <c r="AZ21" s="125">
        <v>2082807.5170662522</v>
      </c>
      <c r="BA21" s="125">
        <v>2118514.9396921364</v>
      </c>
      <c r="BB21" s="125">
        <v>2155101.9514951371</v>
      </c>
      <c r="BC21" s="125">
        <v>2192114.157942337</v>
      </c>
      <c r="BD21" s="125">
        <v>2228964.7134143151</v>
      </c>
      <c r="BE21" s="125">
        <v>2265708.323682481</v>
      </c>
      <c r="BF21" s="125">
        <v>2302620.0203954801</v>
      </c>
      <c r="BG21" s="125">
        <v>2339493.3182765977</v>
      </c>
      <c r="BH21" s="125">
        <v>2377209.1148731704</v>
      </c>
    </row>
    <row r="22" spans="1:60" x14ac:dyDescent="0.3">
      <c r="A22" s="104"/>
      <c r="B22" s="104" t="s">
        <v>93</v>
      </c>
      <c r="C22" s="104"/>
      <c r="D22" s="104"/>
      <c r="E22" s="78">
        <f t="shared" si="1"/>
        <v>5.4841168996188058E-2</v>
      </c>
      <c r="F22" s="78">
        <f t="shared" si="1"/>
        <v>5.4286858974358976E-2</v>
      </c>
      <c r="G22" s="78">
        <f t="shared" si="1"/>
        <v>5.5275890718928695E-2</v>
      </c>
      <c r="H22" s="78">
        <f t="shared" si="1"/>
        <v>5.5856884575126081E-2</v>
      </c>
      <c r="I22" s="78">
        <f t="shared" si="1"/>
        <v>5.7207394090259524E-2</v>
      </c>
      <c r="J22" s="78">
        <f>J9/J$7</f>
        <v>5.4234338747099764E-2</v>
      </c>
      <c r="K22" s="78">
        <f t="shared" si="2"/>
        <v>5.5866173685634408E-2</v>
      </c>
      <c r="L22" s="78">
        <f t="shared" si="2"/>
        <v>5.5437912925631043E-2</v>
      </c>
      <c r="M22" s="128"/>
      <c r="N22" s="75">
        <v>5.4833956554290397</v>
      </c>
      <c r="O22" s="75">
        <v>4.72810900012486</v>
      </c>
      <c r="P22" s="75">
        <v>5.2502750400882396</v>
      </c>
      <c r="Q22" s="75">
        <v>5.1672465922841901</v>
      </c>
      <c r="R22" s="75">
        <v>5.0983846593015096</v>
      </c>
      <c r="S22" s="75">
        <v>4.9856357701992504</v>
      </c>
      <c r="T22" s="75">
        <v>4.8930304930694701</v>
      </c>
      <c r="U22" s="82">
        <v>4.8218237517089104</v>
      </c>
      <c r="AD22" s="124" t="s">
        <v>212</v>
      </c>
      <c r="AE22" s="125">
        <v>442390.42406056559</v>
      </c>
      <c r="AF22" s="125">
        <v>448496.13583132689</v>
      </c>
      <c r="AG22" s="125">
        <v>455572.11343865248</v>
      </c>
      <c r="AH22" s="125">
        <v>462280.23566566501</v>
      </c>
      <c r="AI22" s="125">
        <v>467638.67349541257</v>
      </c>
      <c r="AJ22" s="125">
        <v>472571.2642077349</v>
      </c>
      <c r="AK22" s="125">
        <v>477394.41464200208</v>
      </c>
      <c r="AL22" s="125">
        <v>482307.99583548168</v>
      </c>
      <c r="AM22" s="125">
        <v>487269.51962681703</v>
      </c>
      <c r="AN22" s="125">
        <v>492344.88678997994</v>
      </c>
      <c r="AO22" s="125">
        <v>497600.09054080042</v>
      </c>
      <c r="AP22" s="125">
        <v>503002.23062610516</v>
      </c>
      <c r="AQ22" s="125">
        <v>508621.29201368062</v>
      </c>
      <c r="AR22" s="125">
        <v>514532.85949586838</v>
      </c>
      <c r="AS22" s="125">
        <v>520838.9180860038</v>
      </c>
      <c r="AT22" s="125">
        <v>527627.49444358388</v>
      </c>
      <c r="AU22" s="125">
        <v>534997.61898851441</v>
      </c>
      <c r="AV22" s="125">
        <v>542812.8046178451</v>
      </c>
      <c r="AW22" s="125">
        <v>551007.40758510015</v>
      </c>
      <c r="AX22" s="125">
        <v>559519.6316082034</v>
      </c>
      <c r="AY22" s="125">
        <v>568314.64469259942</v>
      </c>
      <c r="AZ22" s="125">
        <v>577400.37715144886</v>
      </c>
      <c r="BA22" s="125">
        <v>586633.57699635986</v>
      </c>
      <c r="BB22" s="125">
        <v>595948.06148123613</v>
      </c>
      <c r="BC22" s="125">
        <v>605280.8312347841</v>
      </c>
      <c r="BD22" s="125">
        <v>614607.63286367361</v>
      </c>
      <c r="BE22" s="125">
        <v>623952.65996749268</v>
      </c>
      <c r="BF22" s="125">
        <v>633359.54926100955</v>
      </c>
      <c r="BG22" s="125">
        <v>642817.97464622499</v>
      </c>
      <c r="BH22" s="125">
        <v>652364.62747074175</v>
      </c>
    </row>
    <row r="23" spans="1:60" x14ac:dyDescent="0.3">
      <c r="A23" s="104"/>
      <c r="B23" s="104" t="s">
        <v>94</v>
      </c>
      <c r="C23" s="104"/>
      <c r="D23" s="104"/>
      <c r="E23" s="78">
        <f t="shared" si="1"/>
        <v>0.78449809402795423</v>
      </c>
      <c r="F23" s="78">
        <f t="shared" si="1"/>
        <v>0.78881209935897434</v>
      </c>
      <c r="G23" s="78">
        <f t="shared" si="1"/>
        <v>0.78911099164263721</v>
      </c>
      <c r="H23" s="78">
        <f t="shared" si="1"/>
        <v>0.7881815586640023</v>
      </c>
      <c r="I23" s="78">
        <f t="shared" si="1"/>
        <v>0.78707417139169311</v>
      </c>
      <c r="J23" s="78">
        <f>J10/J$7</f>
        <v>0.79427687548337189</v>
      </c>
      <c r="K23" s="78">
        <f t="shared" si="2"/>
        <v>0.79678059338082774</v>
      </c>
      <c r="L23" s="78">
        <f t="shared" si="2"/>
        <v>0.79057259020836868</v>
      </c>
      <c r="N23" s="75">
        <v>79.169155060796498</v>
      </c>
      <c r="O23" s="75">
        <v>80.491242459415503</v>
      </c>
      <c r="P23" s="75">
        <v>80.3806252039317</v>
      </c>
      <c r="Q23" s="75">
        <v>80.762089921606005</v>
      </c>
      <c r="R23" s="75">
        <v>81.096651969530498</v>
      </c>
      <c r="S23" s="75">
        <v>81.518525285240003</v>
      </c>
      <c r="T23" s="75">
        <v>81.890954160996998</v>
      </c>
      <c r="U23" s="82">
        <v>82.185646792910205</v>
      </c>
      <c r="AD23" s="124" t="s">
        <v>213</v>
      </c>
      <c r="AE23" s="125">
        <v>30604.313408712722</v>
      </c>
      <c r="AF23" s="125">
        <v>30271.359931670158</v>
      </c>
      <c r="AG23" s="125">
        <v>30318.515246430536</v>
      </c>
      <c r="AH23" s="125">
        <v>30602.611197372706</v>
      </c>
      <c r="AI23" s="125">
        <v>30658.046560834497</v>
      </c>
      <c r="AJ23" s="125">
        <v>30519.405612635615</v>
      </c>
      <c r="AK23" s="125">
        <v>30427.077518522212</v>
      </c>
      <c r="AL23" s="125">
        <v>30377.122049044705</v>
      </c>
      <c r="AM23" s="125">
        <v>30361.062569195117</v>
      </c>
      <c r="AN23" s="125">
        <v>30368.016089365628</v>
      </c>
      <c r="AO23" s="125">
        <v>30324.345568920045</v>
      </c>
      <c r="AP23" s="125">
        <v>30209.938485543615</v>
      </c>
      <c r="AQ23" s="125">
        <v>30091.024834005169</v>
      </c>
      <c r="AR23" s="125">
        <v>29346.395078715006</v>
      </c>
      <c r="AS23" s="125">
        <v>28688.082467501146</v>
      </c>
      <c r="AT23" s="125">
        <v>28677.818195946955</v>
      </c>
      <c r="AU23" s="125">
        <v>28585.781352786595</v>
      </c>
      <c r="AV23" s="125">
        <v>28477.131205736678</v>
      </c>
      <c r="AW23" s="125">
        <v>28357.974514312045</v>
      </c>
      <c r="AX23" s="125">
        <v>28208.630230286781</v>
      </c>
      <c r="AY23" s="125">
        <v>28002.689445850036</v>
      </c>
      <c r="AZ23" s="125">
        <v>27813.366432708543</v>
      </c>
      <c r="BA23" s="125">
        <v>27617.072818733315</v>
      </c>
      <c r="BB23" s="125">
        <v>27415.939177312721</v>
      </c>
      <c r="BC23" s="125">
        <v>27190.67729992099</v>
      </c>
      <c r="BD23" s="125">
        <v>27140.28445192684</v>
      </c>
      <c r="BE23" s="125">
        <v>27115.528049566405</v>
      </c>
      <c r="BF23" s="125">
        <v>27105.408506991629</v>
      </c>
      <c r="BG23" s="125">
        <v>27089.235976297747</v>
      </c>
      <c r="BH23" s="125">
        <v>27107.410167898121</v>
      </c>
    </row>
    <row r="24" spans="1:60" x14ac:dyDescent="0.3">
      <c r="A24" s="104"/>
      <c r="B24" s="104" t="s">
        <v>95</v>
      </c>
      <c r="C24" s="104"/>
      <c r="D24" s="104"/>
      <c r="E24" s="78">
        <f t="shared" si="1"/>
        <v>0.14271918678526049</v>
      </c>
      <c r="F24" s="78">
        <f t="shared" si="1"/>
        <v>0.14077524038461539</v>
      </c>
      <c r="G24" s="78">
        <f t="shared" si="1"/>
        <v>0.13826303699721421</v>
      </c>
      <c r="H24" s="78">
        <f t="shared" si="1"/>
        <v>0.13740603292416023</v>
      </c>
      <c r="I24" s="78">
        <f t="shared" si="1"/>
        <v>0.13857004563684139</v>
      </c>
      <c r="J24" s="78">
        <f>J11/J$7</f>
        <v>0.13379737045630316</v>
      </c>
      <c r="K24" s="78">
        <f t="shared" si="2"/>
        <v>0.12909189286680495</v>
      </c>
      <c r="L24" s="78">
        <f t="shared" si="2"/>
        <v>0.1325597153989497</v>
      </c>
      <c r="N24" s="75">
        <v>13.553314998421801</v>
      </c>
      <c r="O24" s="75">
        <v>13.017126691475699</v>
      </c>
      <c r="P24" s="75">
        <v>12.751471207122799</v>
      </c>
      <c r="Q24" s="75">
        <v>12.5286498329381</v>
      </c>
      <c r="R24" s="75">
        <v>12.348693937507401</v>
      </c>
      <c r="S24" s="75">
        <v>12.148581625686599</v>
      </c>
      <c r="T24" s="75">
        <v>11.978439311050501</v>
      </c>
      <c r="U24" s="82">
        <v>11.8499594728587</v>
      </c>
      <c r="AD24" s="129" t="s">
        <v>214</v>
      </c>
      <c r="AE24" s="130">
        <v>18.647143271510583</v>
      </c>
      <c r="AF24" s="130">
        <v>17.615159655083112</v>
      </c>
      <c r="AG24" s="130">
        <v>16.425925858386329</v>
      </c>
      <c r="AH24" s="130">
        <v>22.90685446281271</v>
      </c>
      <c r="AI24" s="130">
        <v>25.378851109473541</v>
      </c>
      <c r="AJ24" s="130">
        <v>23.606812625357318</v>
      </c>
      <c r="AK24" s="130">
        <v>20.627442282864443</v>
      </c>
      <c r="AL24" s="130">
        <v>18.153989762522606</v>
      </c>
      <c r="AM24" s="130">
        <v>15.177082164077827</v>
      </c>
      <c r="AN24" s="130">
        <v>13.386224571783487</v>
      </c>
      <c r="AO24" s="130">
        <v>12.064160632939608</v>
      </c>
      <c r="AP24" s="130">
        <v>10.735605577175697</v>
      </c>
      <c r="AQ24" s="130">
        <v>9.5675560258409167</v>
      </c>
      <c r="AR24" s="130">
        <v>8.9664224643381889</v>
      </c>
      <c r="AS24" s="130">
        <v>8.1582812317945912</v>
      </c>
      <c r="AT24" s="130">
        <v>7.3781995748426352</v>
      </c>
      <c r="AU24" s="130">
        <v>6.9798145137787015</v>
      </c>
      <c r="AV24" s="130">
        <v>6.4688911765165553</v>
      </c>
      <c r="AW24" s="130">
        <v>5.9262184615440443</v>
      </c>
      <c r="AX24" s="130">
        <v>6.0752986022131292</v>
      </c>
      <c r="AY24" s="130">
        <v>5.7477008798142251</v>
      </c>
      <c r="AZ24" s="130">
        <v>5.2707417562771059</v>
      </c>
      <c r="BA24" s="130">
        <v>4.7848749303396678</v>
      </c>
      <c r="BB24" s="130">
        <v>4.3428965019133035</v>
      </c>
      <c r="BC24" s="130">
        <v>3.9565815682325671</v>
      </c>
      <c r="BD24" s="130">
        <v>3.6240038488329982</v>
      </c>
      <c r="BE24" s="130">
        <v>3.3368164907178652</v>
      </c>
      <c r="BF24" s="130">
        <v>3.0906223220187377</v>
      </c>
      <c r="BG24" s="130">
        <v>2.8791988745739778</v>
      </c>
      <c r="BH24" s="130">
        <v>2.6968061130064669</v>
      </c>
    </row>
    <row r="25" spans="1:60" x14ac:dyDescent="0.3">
      <c r="A25" s="104"/>
      <c r="C25" s="104" t="s">
        <v>96</v>
      </c>
      <c r="D25" s="104"/>
      <c r="E25" s="164">
        <v>0.12707728712864164</v>
      </c>
      <c r="F25" s="165">
        <v>0.12685342459358426</v>
      </c>
      <c r="G25" s="165">
        <v>0.11831008034149597</v>
      </c>
      <c r="H25" s="165">
        <v>0.12554976195873951</v>
      </c>
      <c r="I25" s="165">
        <v>0.13290116164269863</v>
      </c>
      <c r="J25" s="165">
        <v>0.15010351214905748</v>
      </c>
      <c r="K25" s="164">
        <v>0.14469911501288316</v>
      </c>
      <c r="N25" s="75">
        <v>1.9415196344657599</v>
      </c>
      <c r="O25" s="75">
        <v>1.76151010499691</v>
      </c>
      <c r="P25" s="75">
        <v>1.7126485289067299</v>
      </c>
      <c r="Q25" s="75">
        <v>1.64218853540034</v>
      </c>
      <c r="R25" s="75">
        <v>1.57095736789305</v>
      </c>
      <c r="S25" s="75">
        <v>1.47512156641767</v>
      </c>
      <c r="T25" s="75">
        <v>1.37759666470501</v>
      </c>
      <c r="U25" s="82">
        <v>1.2959888404086699</v>
      </c>
      <c r="AD25" s="131" t="s">
        <v>215</v>
      </c>
      <c r="AE25" s="117">
        <v>2681.9579034786389</v>
      </c>
      <c r="AF25" s="117">
        <v>2645.8932137213683</v>
      </c>
      <c r="AG25" s="117">
        <v>2627.5776654866208</v>
      </c>
      <c r="AH25" s="117">
        <v>2395.2226318946664</v>
      </c>
      <c r="AI25" s="117">
        <v>2265.2044236362244</v>
      </c>
      <c r="AJ25" s="117">
        <v>2213.1254934854319</v>
      </c>
      <c r="AK25" s="117">
        <v>2171.8637980089766</v>
      </c>
      <c r="AL25" s="117">
        <v>2132.6690671315073</v>
      </c>
      <c r="AM25" s="117">
        <v>2088.1286547282712</v>
      </c>
      <c r="AN25" s="117">
        <v>2043.3469638891265</v>
      </c>
      <c r="AO25" s="117">
        <v>1983.5510660799112</v>
      </c>
      <c r="AP25" s="117">
        <v>1914.8046673684935</v>
      </c>
      <c r="AQ25" s="117">
        <v>1838.8432094608747</v>
      </c>
      <c r="AR25" s="117">
        <v>1759.8771656762092</v>
      </c>
      <c r="AS25" s="117">
        <v>1677.7739104256395</v>
      </c>
      <c r="AT25" s="117">
        <v>1573.4476174991323</v>
      </c>
      <c r="AU25" s="117">
        <v>1457.7037652898657</v>
      </c>
      <c r="AV25" s="117">
        <v>1325.5330470175888</v>
      </c>
      <c r="AW25" s="117">
        <v>1179.7977439532754</v>
      </c>
      <c r="AX25" s="117">
        <v>1015.2605173466975</v>
      </c>
      <c r="AY25" s="117">
        <v>923.00780796726872</v>
      </c>
      <c r="AZ25" s="117">
        <v>842.62145440089637</v>
      </c>
      <c r="BA25" s="117">
        <v>753.05137059002493</v>
      </c>
      <c r="BB25" s="117">
        <v>649.49666575759647</v>
      </c>
      <c r="BC25" s="117">
        <v>520.42522621706121</v>
      </c>
      <c r="BD25" s="117">
        <v>523.96115702772966</v>
      </c>
      <c r="BE25" s="117">
        <v>553.04699988069967</v>
      </c>
      <c r="BF25" s="117">
        <v>588.35349654041272</v>
      </c>
      <c r="BG25" s="117">
        <v>620.47591823610639</v>
      </c>
      <c r="BH25" s="117">
        <v>664.50611104263112</v>
      </c>
    </row>
    <row r="26" spans="1:60" x14ac:dyDescent="0.3">
      <c r="A26" s="104"/>
      <c r="C26" s="104" t="s">
        <v>97</v>
      </c>
      <c r="D26" s="104"/>
      <c r="E26" s="164">
        <v>0.87292271287135825</v>
      </c>
      <c r="F26" s="165">
        <v>0.87314657540641583</v>
      </c>
      <c r="G26" s="165">
        <v>0.88168991965850396</v>
      </c>
      <c r="H26" s="165">
        <v>0.87445023804126043</v>
      </c>
      <c r="I26" s="165">
        <v>0.86709883835730128</v>
      </c>
      <c r="J26" s="165">
        <v>0.84989648785094241</v>
      </c>
      <c r="K26" s="164">
        <v>0.85530088498711687</v>
      </c>
      <c r="N26" s="75">
        <v>11.6117953639561</v>
      </c>
      <c r="O26" s="75">
        <v>11.256251821579401</v>
      </c>
      <c r="P26" s="75">
        <v>11.0413361150153</v>
      </c>
      <c r="Q26" s="75">
        <v>10.8948673032729</v>
      </c>
      <c r="R26" s="75">
        <v>10.792999754475201</v>
      </c>
      <c r="S26" s="75">
        <v>10.6987835709203</v>
      </c>
      <c r="T26" s="75">
        <v>10.6370693244279</v>
      </c>
      <c r="U26" s="82">
        <v>10.5995970064653</v>
      </c>
      <c r="AD26" s="132" t="s">
        <v>216</v>
      </c>
      <c r="AE26" s="119">
        <v>2708.0572581004972</v>
      </c>
      <c r="AF26" s="119">
        <v>2667.6585933366264</v>
      </c>
      <c r="AG26" s="119">
        <v>2651.8631959966774</v>
      </c>
      <c r="AH26" s="119">
        <v>2360.8697179816641</v>
      </c>
      <c r="AI26" s="119">
        <v>2305.154981588777</v>
      </c>
      <c r="AJ26" s="119">
        <v>2261.8159748482458</v>
      </c>
      <c r="AK26" s="119">
        <v>2221.1379522545608</v>
      </c>
      <c r="AL26" s="119">
        <v>2182.2466424830368</v>
      </c>
      <c r="AM26" s="119">
        <v>2140.2782000166435</v>
      </c>
      <c r="AN26" s="119">
        <v>2097.0705145176776</v>
      </c>
      <c r="AO26" s="119">
        <v>2012.3133438166042</v>
      </c>
      <c r="AP26" s="119">
        <v>1948.8574430231727</v>
      </c>
      <c r="AQ26" s="119">
        <v>1882.4011570648249</v>
      </c>
      <c r="AR26" s="119">
        <v>1815.1500117404512</v>
      </c>
      <c r="AS26" s="119">
        <v>1743.1851105280464</v>
      </c>
      <c r="AT26" s="119">
        <v>1629.0995997239786</v>
      </c>
      <c r="AU26" s="119">
        <v>1526.0162536060457</v>
      </c>
      <c r="AV26" s="119">
        <v>1409.9614010610926</v>
      </c>
      <c r="AW26" s="119">
        <v>1287.0579762917321</v>
      </c>
      <c r="AX26" s="119">
        <v>1137.8051177917789</v>
      </c>
      <c r="AY26" s="119">
        <v>1200.8779138442535</v>
      </c>
      <c r="AZ26" s="119">
        <v>1133.2655141730356</v>
      </c>
      <c r="BA26" s="119">
        <v>1040.6180901622229</v>
      </c>
      <c r="BB26" s="119">
        <v>931.0482547196824</v>
      </c>
      <c r="BC26" s="119">
        <v>795.49278033262249</v>
      </c>
      <c r="BD26" s="119">
        <v>992.22903040995948</v>
      </c>
      <c r="BE26" s="119">
        <v>1016.1449021286531</v>
      </c>
      <c r="BF26" s="119">
        <v>1027.6439369144694</v>
      </c>
      <c r="BG26" s="119">
        <v>1037.7249885432129</v>
      </c>
      <c r="BH26" s="119">
        <v>1059.9327341469445</v>
      </c>
    </row>
    <row r="27" spans="1:60" x14ac:dyDescent="0.3">
      <c r="A27" s="104"/>
      <c r="D27" t="s">
        <v>98</v>
      </c>
      <c r="E27" s="164">
        <v>1.5476391561028464E-2</v>
      </c>
      <c r="F27" s="165">
        <v>1.4248229458843657E-2</v>
      </c>
      <c r="G27" s="165">
        <v>1.5095271443664965E-2</v>
      </c>
      <c r="H27" s="165">
        <v>1.4263036559002542E-2</v>
      </c>
      <c r="I27" s="165">
        <v>1.1430776950094559E-2</v>
      </c>
      <c r="J27" s="165">
        <v>9.8691464175519866E-3</v>
      </c>
      <c r="K27" s="164">
        <v>1.8221975435514078E-2</v>
      </c>
      <c r="N27" s="75">
        <v>0.18010190521938499</v>
      </c>
      <c r="O27" s="75">
        <v>0.17085038940628799</v>
      </c>
      <c r="P27" s="75">
        <v>0.150352671246303</v>
      </c>
      <c r="Q27" s="75">
        <v>0.141298570085265</v>
      </c>
      <c r="R27" s="75">
        <v>0.13211952707900501</v>
      </c>
      <c r="S27" s="75">
        <v>0.121533877707759</v>
      </c>
      <c r="T27" s="75">
        <v>0.111606957991132</v>
      </c>
      <c r="U27" s="82">
        <v>0.10311596934497801</v>
      </c>
      <c r="AD27" s="133" t="s">
        <v>217</v>
      </c>
      <c r="AE27" s="119">
        <v>-26.099354621858595</v>
      </c>
      <c r="AF27" s="119">
        <v>-21.765379615257871</v>
      </c>
      <c r="AG27" s="119">
        <v>-24.285530510056645</v>
      </c>
      <c r="AH27" s="119">
        <v>34.352913913001885</v>
      </c>
      <c r="AI27" s="119">
        <v>-39.950557952552735</v>
      </c>
      <c r="AJ27" s="119">
        <v>-48.690481362813607</v>
      </c>
      <c r="AK27" s="119">
        <v>-49.274154245584242</v>
      </c>
      <c r="AL27" s="119">
        <v>-49.577575351529532</v>
      </c>
      <c r="AM27" s="119">
        <v>-52.14954528837206</v>
      </c>
      <c r="AN27" s="119">
        <v>-53.723550628551187</v>
      </c>
      <c r="AO27" s="119">
        <v>-28.762277736693161</v>
      </c>
      <c r="AP27" s="119">
        <v>-34.052775654679358</v>
      </c>
      <c r="AQ27" s="119">
        <v>-43.557947603950225</v>
      </c>
      <c r="AR27" s="119">
        <v>-55.27284606424211</v>
      </c>
      <c r="AS27" s="119">
        <v>-65.411200102406752</v>
      </c>
      <c r="AT27" s="119">
        <v>-55.651982224846321</v>
      </c>
      <c r="AU27" s="119">
        <v>-68.312488316179781</v>
      </c>
      <c r="AV27" s="119">
        <v>-84.428354043504001</v>
      </c>
      <c r="AW27" s="119">
        <v>-107.26023233845658</v>
      </c>
      <c r="AX27" s="119">
        <v>-122.54460044508141</v>
      </c>
      <c r="AY27" s="119">
        <v>-277.87010587698506</v>
      </c>
      <c r="AZ27" s="119">
        <v>-290.64405977213926</v>
      </c>
      <c r="BA27" s="119">
        <v>-287.56671957219794</v>
      </c>
      <c r="BB27" s="119">
        <v>-281.55158896208593</v>
      </c>
      <c r="BC27" s="119">
        <v>-275.06755411556139</v>
      </c>
      <c r="BD27" s="119">
        <v>-468.26787338222994</v>
      </c>
      <c r="BE27" s="119">
        <v>-463.09790224795341</v>
      </c>
      <c r="BF27" s="119">
        <v>-439.2904403740564</v>
      </c>
      <c r="BG27" s="119">
        <v>-417.24907030710642</v>
      </c>
      <c r="BH27" s="119">
        <v>-395.42662310431336</v>
      </c>
    </row>
    <row r="28" spans="1:60" x14ac:dyDescent="0.3">
      <c r="A28" s="104"/>
      <c r="D28" t="s">
        <v>99</v>
      </c>
      <c r="E28" s="164">
        <v>1.0317594374018977E-2</v>
      </c>
      <c r="F28" s="165">
        <v>9.4988196392291058E-3</v>
      </c>
      <c r="G28" s="165">
        <v>1.0063514295776642E-2</v>
      </c>
      <c r="H28" s="164">
        <v>9.508691039335028E-3</v>
      </c>
      <c r="I28" s="165">
        <v>7.620517966729707E-3</v>
      </c>
      <c r="J28" s="165">
        <v>6.579430945034658E-3</v>
      </c>
      <c r="K28" s="164">
        <v>1.2147983623676053E-2</v>
      </c>
      <c r="N28" s="75">
        <v>0.13812452500790801</v>
      </c>
      <c r="O28" s="75">
        <v>0.13750666537600101</v>
      </c>
      <c r="P28" s="75">
        <v>0.123269718900612</v>
      </c>
      <c r="Q28" s="75">
        <v>0.118955625574718</v>
      </c>
      <c r="R28" s="75">
        <v>0.113279610920069</v>
      </c>
      <c r="S28" s="75">
        <v>0.10557416958708001</v>
      </c>
      <c r="T28" s="75">
        <v>9.7723242791464798E-2</v>
      </c>
      <c r="U28" s="82">
        <v>9.0755216164684294E-2</v>
      </c>
      <c r="AD28" s="134" t="s">
        <v>218</v>
      </c>
      <c r="AE28" s="135">
        <v>21119.218829537847</v>
      </c>
      <c r="AF28" s="135">
        <v>21034.318876883437</v>
      </c>
      <c r="AG28" s="135">
        <v>21281.584885702036</v>
      </c>
      <c r="AH28" s="135">
        <v>21827.44575841396</v>
      </c>
      <c r="AI28" s="135">
        <v>22393.024322128331</v>
      </c>
      <c r="AJ28" s="135">
        <v>22544.773978300695</v>
      </c>
      <c r="AK28" s="135">
        <v>22646.740107757683</v>
      </c>
      <c r="AL28" s="135">
        <v>22734.650693172789</v>
      </c>
      <c r="AM28" s="135">
        <v>22825.39161717374</v>
      </c>
      <c r="AN28" s="135">
        <v>22917.631185099232</v>
      </c>
      <c r="AO28" s="135">
        <v>22869.983587776464</v>
      </c>
      <c r="AP28" s="135">
        <v>22775.204196203671</v>
      </c>
      <c r="AQ28" s="135">
        <v>22680.529135723224</v>
      </c>
      <c r="AR28" s="135">
        <v>21969.569698746709</v>
      </c>
      <c r="AS28" s="135">
        <v>21340.385961974465</v>
      </c>
      <c r="AT28" s="135">
        <v>21354.966789429691</v>
      </c>
      <c r="AU28" s="135">
        <v>21293.961632557217</v>
      </c>
      <c r="AV28" s="135">
        <v>21224.434485729511</v>
      </c>
      <c r="AW28" s="135">
        <v>21154.53818434654</v>
      </c>
      <c r="AX28" s="135">
        <v>21070.727655622661</v>
      </c>
      <c r="AY28" s="135">
        <v>20935.036143979672</v>
      </c>
      <c r="AZ28" s="135">
        <v>20793.432312468263</v>
      </c>
      <c r="BA28" s="135">
        <v>20649.941709775983</v>
      </c>
      <c r="BB28" s="135">
        <v>20510.300039987589</v>
      </c>
      <c r="BC28" s="135">
        <v>20369.942910649675</v>
      </c>
      <c r="BD28" s="135">
        <v>20241.997962085152</v>
      </c>
      <c r="BE28" s="135">
        <v>20110.018112370384</v>
      </c>
      <c r="BF28" s="135">
        <v>19979.94444882781</v>
      </c>
      <c r="BG28" s="135">
        <v>19845.061850489088</v>
      </c>
      <c r="BH28" s="135">
        <v>19721.359657359215</v>
      </c>
    </row>
    <row r="29" spans="1:60" x14ac:dyDescent="0.3">
      <c r="A29" s="104"/>
      <c r="D29" t="s">
        <v>100</v>
      </c>
      <c r="E29" s="164">
        <v>0.17770288920657024</v>
      </c>
      <c r="F29" s="165">
        <v>0.17566400434306959</v>
      </c>
      <c r="G29" s="165">
        <v>0.17754047062919229</v>
      </c>
      <c r="H29" s="164">
        <v>0.175268628498951</v>
      </c>
      <c r="I29" s="165">
        <v>0.17450306843181906</v>
      </c>
      <c r="J29" s="165">
        <v>0.1846907291390672</v>
      </c>
      <c r="K29" s="164">
        <v>0.18518257612172842</v>
      </c>
      <c r="L29" s="136"/>
      <c r="N29" s="75">
        <v>1.6268125462841301</v>
      </c>
      <c r="O29" s="75">
        <v>1.7899674171039299</v>
      </c>
      <c r="P29" s="75">
        <v>1.6276331021117101</v>
      </c>
      <c r="Q29" s="75">
        <v>1.57977000283566</v>
      </c>
      <c r="R29" s="75">
        <v>1.5359660146940599</v>
      </c>
      <c r="S29" s="75">
        <v>1.47518863184201</v>
      </c>
      <c r="T29" s="75">
        <v>1.41554358605066</v>
      </c>
      <c r="U29" s="82">
        <v>1.36816253800716</v>
      </c>
      <c r="AD29" s="137" t="s">
        <v>219</v>
      </c>
      <c r="AE29" s="119">
        <v>15625.996252051642</v>
      </c>
      <c r="AF29" s="119">
        <v>15488.279158813933</v>
      </c>
      <c r="AG29" s="119">
        <v>15582.659325252933</v>
      </c>
      <c r="AH29" s="119">
        <v>14912.14036089804</v>
      </c>
      <c r="AI29" s="119">
        <v>15311.492736751157</v>
      </c>
      <c r="AJ29" s="119">
        <v>15219.356033956419</v>
      </c>
      <c r="AK29" s="119">
        <v>15103.55586606898</v>
      </c>
      <c r="AL29" s="119">
        <v>14976.621198572611</v>
      </c>
      <c r="AM29" s="119">
        <v>14862.700535079994</v>
      </c>
      <c r="AN29" s="119">
        <v>14746.538902405977</v>
      </c>
      <c r="AO29" s="119">
        <v>14490.84588273868</v>
      </c>
      <c r="AP29" s="119">
        <v>14221.535785989119</v>
      </c>
      <c r="AQ29" s="119">
        <v>13954.660566224666</v>
      </c>
      <c r="AR29" s="119">
        <v>13339.381273925774</v>
      </c>
      <c r="AS29" s="119">
        <v>12773.428566167959</v>
      </c>
      <c r="AT29" s="119">
        <v>12573.569915620201</v>
      </c>
      <c r="AU29" s="119">
        <v>12337.202575734764</v>
      </c>
      <c r="AV29" s="119">
        <v>12097.82834062547</v>
      </c>
      <c r="AW29" s="119">
        <v>11877.312184785296</v>
      </c>
      <c r="AX29" s="119">
        <v>11647.547681963635</v>
      </c>
      <c r="AY29" s="119">
        <v>11203.045359688731</v>
      </c>
      <c r="AZ29" s="119">
        <v>10781.901758626058</v>
      </c>
      <c r="BA29" s="119">
        <v>10361.573563233012</v>
      </c>
      <c r="BB29" s="119">
        <v>9942.3657374897375</v>
      </c>
      <c r="BC29" s="119">
        <v>9521.7048749055575</v>
      </c>
      <c r="BD29" s="119">
        <v>9056.4552870270581</v>
      </c>
      <c r="BE29" s="119">
        <v>8586.3313328676049</v>
      </c>
      <c r="BF29" s="119">
        <v>8109.7533473586718</v>
      </c>
      <c r="BG29" s="119">
        <v>7623.5245650787401</v>
      </c>
      <c r="BH29" s="119">
        <v>7133.1484888557907</v>
      </c>
    </row>
    <row r="30" spans="1:60" x14ac:dyDescent="0.3">
      <c r="A30" s="104"/>
      <c r="D30" t="s">
        <v>101</v>
      </c>
      <c r="E30" s="164">
        <v>3.214669737281188E-2</v>
      </c>
      <c r="F30" s="165">
        <v>3.2116506132118153E-2</v>
      </c>
      <c r="G30" s="165">
        <v>3.2303638004946747E-2</v>
      </c>
      <c r="H30" s="164">
        <v>3.213969479654432E-2</v>
      </c>
      <c r="I30" s="165">
        <v>3.3281871164460221E-2</v>
      </c>
      <c r="J30" s="165">
        <v>3.4230476662592622E-2</v>
      </c>
      <c r="K30" s="164">
        <v>3.3527539739105924E-2</v>
      </c>
      <c r="N30" s="75">
        <v>0.39660131529525</v>
      </c>
      <c r="O30" s="75">
        <v>0.41436949570149001</v>
      </c>
      <c r="P30" s="75">
        <v>0.40247741500887602</v>
      </c>
      <c r="Q30" s="75">
        <v>0.40146383623549298</v>
      </c>
      <c r="R30" s="75">
        <v>0.39838849101637902</v>
      </c>
      <c r="S30" s="75">
        <v>0.39331881055253798</v>
      </c>
      <c r="T30" s="75">
        <v>0.390573642212943</v>
      </c>
      <c r="U30" s="82">
        <v>0.38797709095432098</v>
      </c>
      <c r="AD30" s="133" t="s">
        <v>220</v>
      </c>
      <c r="AE30" s="119">
        <v>-241.20020918718652</v>
      </c>
      <c r="AF30" s="119">
        <v>-336.92848643312851</v>
      </c>
      <c r="AG30" s="119">
        <v>-435.99971941948991</v>
      </c>
      <c r="AH30" s="119">
        <v>-348.09347791580063</v>
      </c>
      <c r="AI30" s="119">
        <v>-251.47451700236093</v>
      </c>
      <c r="AJ30" s="119">
        <v>-204.061571257004</v>
      </c>
      <c r="AK30" s="119">
        <v>-163.78674813673862</v>
      </c>
      <c r="AL30" s="119">
        <v>-123.4804046659135</v>
      </c>
      <c r="AM30" s="119">
        <v>-83.483555963480995</v>
      </c>
      <c r="AN30" s="119">
        <v>-42.820451064702397</v>
      </c>
      <c r="AO30" s="119">
        <v>-37.292239432732444</v>
      </c>
      <c r="AP30" s="119">
        <v>-36.658768438574548</v>
      </c>
      <c r="AQ30" s="119">
        <v>-36.491989190098792</v>
      </c>
      <c r="AR30" s="119">
        <v>-35.671175586135554</v>
      </c>
      <c r="AS30" s="119">
        <v>-34.687167154541847</v>
      </c>
      <c r="AT30" s="119">
        <v>-29.022787551906045</v>
      </c>
      <c r="AU30" s="119">
        <v>-22.410024091120682</v>
      </c>
      <c r="AV30" s="119">
        <v>-15.755924091557837</v>
      </c>
      <c r="AW30" s="119">
        <v>-15.062502045309509</v>
      </c>
      <c r="AX30" s="119">
        <v>-15.440195477073727</v>
      </c>
      <c r="AY30" s="119">
        <v>-15.154909507373866</v>
      </c>
      <c r="AZ30" s="119">
        <v>-14.697122394924522</v>
      </c>
      <c r="BA30" s="119">
        <v>-14.215908241104559</v>
      </c>
      <c r="BB30" s="119">
        <v>-13.72931652670696</v>
      </c>
      <c r="BC30" s="119">
        <v>-13.237814376584625</v>
      </c>
      <c r="BD30" s="119">
        <v>-13.253625712808557</v>
      </c>
      <c r="BE30" s="119">
        <v>-13.382843327383297</v>
      </c>
      <c r="BF30" s="119">
        <v>-13.525811754041509</v>
      </c>
      <c r="BG30" s="119">
        <v>-13.669741710536085</v>
      </c>
      <c r="BH30" s="119">
        <v>-13.820709524965842</v>
      </c>
    </row>
    <row r="31" spans="1:60" x14ac:dyDescent="0.3">
      <c r="A31" s="104"/>
      <c r="D31" t="s">
        <v>102</v>
      </c>
      <c r="E31" s="164">
        <v>1.8065265664459835E-2</v>
      </c>
      <c r="F31" s="165">
        <v>1.8408692719600567E-2</v>
      </c>
      <c r="G31" s="165">
        <v>1.7750808602968855E-2</v>
      </c>
      <c r="H31" s="164">
        <v>1.8211696009061973E-2</v>
      </c>
      <c r="I31" s="165">
        <v>1.7499710525300086E-2</v>
      </c>
      <c r="J31" s="165">
        <v>1.8551123494670987E-2</v>
      </c>
      <c r="K31" s="164">
        <v>1.7917820026188858E-2</v>
      </c>
      <c r="N31" s="75">
        <v>0.41535639479594799</v>
      </c>
      <c r="O31" s="75">
        <v>0.40270697206018002</v>
      </c>
      <c r="P31" s="75">
        <v>0.39661967065509401</v>
      </c>
      <c r="Q31" s="75">
        <v>0.39319310313980999</v>
      </c>
      <c r="R31" s="75">
        <v>0.39260220750020702</v>
      </c>
      <c r="S31" s="75">
        <v>0.39088550738615901</v>
      </c>
      <c r="T31" s="75">
        <v>0.39016749805740403</v>
      </c>
      <c r="U31" s="82">
        <v>0.39141335597008903</v>
      </c>
      <c r="AD31" s="133" t="s">
        <v>221</v>
      </c>
      <c r="AE31" s="119">
        <v>670.57443668451776</v>
      </c>
      <c r="AF31" s="119">
        <v>450.3907699993083</v>
      </c>
      <c r="AG31" s="119">
        <v>255.02075446889222</v>
      </c>
      <c r="AH31" s="119">
        <v>886.68758569189652</v>
      </c>
      <c r="AI31" s="119">
        <v>669.07537358016725</v>
      </c>
      <c r="AJ31" s="119">
        <v>675.03071619535615</v>
      </c>
      <c r="AK31" s="119">
        <v>677.25784709951142</v>
      </c>
      <c r="AL31" s="119">
        <v>678.92629597037728</v>
      </c>
      <c r="AM31" s="119">
        <v>681.14447701081883</v>
      </c>
      <c r="AN31" s="119">
        <v>683.35142697680999</v>
      </c>
      <c r="AO31" s="119">
        <v>569.05809721434116</v>
      </c>
      <c r="AP31" s="119">
        <v>474.65715935869559</v>
      </c>
      <c r="AQ31" s="119">
        <v>382.39373711724664</v>
      </c>
      <c r="AR31" s="119">
        <v>286.62560605836723</v>
      </c>
      <c r="AS31" s="119">
        <v>196.6016933707148</v>
      </c>
      <c r="AT31" s="119">
        <v>198.41070950318547</v>
      </c>
      <c r="AU31" s="119">
        <v>185.84171363763733</v>
      </c>
      <c r="AV31" s="119">
        <v>171.99282441035172</v>
      </c>
      <c r="AW31" s="119">
        <v>159.52217873447088</v>
      </c>
      <c r="AX31" s="119">
        <v>146.79768710307272</v>
      </c>
      <c r="AY31" s="119">
        <v>154.20079835143358</v>
      </c>
      <c r="AZ31" s="119">
        <v>158.08118843727522</v>
      </c>
      <c r="BA31" s="119">
        <v>161.60299802035402</v>
      </c>
      <c r="BB31" s="119">
        <v>165.15132655596793</v>
      </c>
      <c r="BC31" s="119">
        <v>168.72099999013392</v>
      </c>
      <c r="BD31" s="119">
        <v>212.41878850234338</v>
      </c>
      <c r="BE31" s="119">
        <v>248.77798272466688</v>
      </c>
      <c r="BF31" s="119">
        <v>284.80016975731951</v>
      </c>
      <c r="BG31" s="119">
        <v>321.32174397386302</v>
      </c>
      <c r="BH31" s="119">
        <v>358.78596127462225</v>
      </c>
    </row>
    <row r="32" spans="1:60" x14ac:dyDescent="0.3">
      <c r="A32" s="104"/>
      <c r="D32" t="s">
        <v>103</v>
      </c>
      <c r="E32" s="164">
        <v>0.18039311006834727</v>
      </c>
      <c r="F32" s="165">
        <v>0.18340832257162362</v>
      </c>
      <c r="G32" s="165">
        <v>0.18147115139395462</v>
      </c>
      <c r="H32" s="164">
        <v>0.17822812881404607</v>
      </c>
      <c r="I32" s="165">
        <v>0.178378169747964</v>
      </c>
      <c r="J32" s="165">
        <v>0.19760087520619479</v>
      </c>
      <c r="K32" s="164">
        <v>0.18042962987518854</v>
      </c>
      <c r="N32" s="75">
        <v>2.2255519406424602</v>
      </c>
      <c r="O32" s="75">
        <v>2.1770752484800902</v>
      </c>
      <c r="P32" s="75">
        <v>2.16388461411786</v>
      </c>
      <c r="Q32" s="75">
        <v>2.1295075874355498</v>
      </c>
      <c r="R32" s="75">
        <v>2.1077916897641802</v>
      </c>
      <c r="S32" s="75">
        <v>2.0883550920039702</v>
      </c>
      <c r="T32" s="75">
        <v>2.0950288940962598</v>
      </c>
      <c r="U32" s="82">
        <v>2.1099614746172799</v>
      </c>
      <c r="AD32" s="133" t="s">
        <v>222</v>
      </c>
      <c r="AE32" s="119">
        <v>-491.62007316370278</v>
      </c>
      <c r="AF32" s="119">
        <v>-384.51797521923123</v>
      </c>
      <c r="AG32" s="119">
        <v>-286.57234793135569</v>
      </c>
      <c r="AH32" s="119">
        <v>-350.75814885429224</v>
      </c>
      <c r="AI32" s="119">
        <v>-321.28004486980058</v>
      </c>
      <c r="AJ32" s="119">
        <v>-263.05167738658048</v>
      </c>
      <c r="AK32" s="119">
        <v>-199.92692032777902</v>
      </c>
      <c r="AL32" s="119">
        <v>-135.25955038922575</v>
      </c>
      <c r="AM32" s="119">
        <v>-94.40180014498911</v>
      </c>
      <c r="AN32" s="119">
        <v>-55.731418675707907</v>
      </c>
      <c r="AO32" s="119">
        <v>-43.879179027948375</v>
      </c>
      <c r="AP32" s="119">
        <v>-35.006097204228674</v>
      </c>
      <c r="AQ32" s="119">
        <v>-26.399475186613714</v>
      </c>
      <c r="AR32" s="119">
        <v>-24.722298031256834</v>
      </c>
      <c r="AS32" s="119">
        <v>-24.007487274395583</v>
      </c>
      <c r="AT32" s="119">
        <v>-23.893569276554452</v>
      </c>
      <c r="AU32" s="119">
        <v>-23.870469278828562</v>
      </c>
      <c r="AV32" s="119">
        <v>-23.850856858095948</v>
      </c>
      <c r="AW32" s="119">
        <v>-23.828080357964652</v>
      </c>
      <c r="AX32" s="119">
        <v>-23.78709032942437</v>
      </c>
      <c r="AY32" s="119">
        <v>-23.837752026297647</v>
      </c>
      <c r="AZ32" s="119">
        <v>-23.901861690344916</v>
      </c>
      <c r="BA32" s="119">
        <v>-23.963370950232221</v>
      </c>
      <c r="BB32" s="119">
        <v>-24.025045370461608</v>
      </c>
      <c r="BC32" s="119">
        <v>-24.084115082359826</v>
      </c>
      <c r="BD32" s="119">
        <v>-24.294687267454186</v>
      </c>
      <c r="BE32" s="119">
        <v>-24.531375451510495</v>
      </c>
      <c r="BF32" s="119">
        <v>-24.775776502487243</v>
      </c>
      <c r="BG32" s="119">
        <v>-25.021268685318994</v>
      </c>
      <c r="BH32" s="119">
        <v>-25.281639776604955</v>
      </c>
    </row>
    <row r="33" spans="1:60" x14ac:dyDescent="0.3">
      <c r="A33" s="104"/>
      <c r="D33" t="s">
        <v>104</v>
      </c>
      <c r="E33" s="164">
        <v>0.56589805175276331</v>
      </c>
      <c r="F33" s="165">
        <v>0.56665542513551526</v>
      </c>
      <c r="G33" s="165">
        <v>0.56577514562949593</v>
      </c>
      <c r="H33" s="164">
        <v>0.57238012428305907</v>
      </c>
      <c r="I33" s="165">
        <v>0.57728588521363233</v>
      </c>
      <c r="J33" s="165">
        <v>0.54847821813488773</v>
      </c>
      <c r="K33" s="164">
        <v>0.55257247517859809</v>
      </c>
      <c r="N33" s="75">
        <v>6.6292467367109902</v>
      </c>
      <c r="O33" s="75">
        <v>6.17038729838906</v>
      </c>
      <c r="P33" s="75">
        <v>6.1773258388165102</v>
      </c>
      <c r="Q33" s="75">
        <v>6.1290997226304</v>
      </c>
      <c r="R33" s="75">
        <v>6.1089799689070796</v>
      </c>
      <c r="S33" s="75">
        <v>6.1168464716647701</v>
      </c>
      <c r="T33" s="75">
        <v>6.1258161062560603</v>
      </c>
      <c r="U33" s="82">
        <v>6.1343412619678501</v>
      </c>
      <c r="AD33" s="133" t="s">
        <v>223</v>
      </c>
      <c r="AE33" s="119">
        <v>1489.2835774000619</v>
      </c>
      <c r="AF33" s="119">
        <v>1540.4684646244677</v>
      </c>
      <c r="AG33" s="119">
        <v>1620.198044218155</v>
      </c>
      <c r="AH33" s="119">
        <v>1870.9826738648169</v>
      </c>
      <c r="AI33" s="119">
        <v>2013.3900689258344</v>
      </c>
      <c r="AJ33" s="119">
        <v>2138.9306960733807</v>
      </c>
      <c r="AK33" s="119">
        <v>2265.3682256821439</v>
      </c>
      <c r="AL33" s="119">
        <v>2392.6672669489794</v>
      </c>
      <c r="AM33" s="119">
        <v>2519.5568372470339</v>
      </c>
      <c r="AN33" s="119">
        <v>2649.0611976636301</v>
      </c>
      <c r="AO33" s="119">
        <v>2949.3107897327081</v>
      </c>
      <c r="AP33" s="119">
        <v>3211.4311548880378</v>
      </c>
      <c r="AQ33" s="119">
        <v>3468.9184624742525</v>
      </c>
      <c r="AR33" s="119">
        <v>3605.7727197875756</v>
      </c>
      <c r="AS33" s="119">
        <v>3747.4345981588399</v>
      </c>
      <c r="AT33" s="119">
        <v>3994.6974962355253</v>
      </c>
      <c r="AU33" s="119">
        <v>4224.0931915012734</v>
      </c>
      <c r="AV33" s="119">
        <v>4450.2105829795364</v>
      </c>
      <c r="AW33" s="119">
        <v>4653.4331487473009</v>
      </c>
      <c r="AX33" s="119">
        <v>4855.5178726203339</v>
      </c>
      <c r="AY33" s="119">
        <v>5148.8693627040175</v>
      </c>
      <c r="AZ33" s="119">
        <v>5428.3009833753185</v>
      </c>
      <c r="BA33" s="119">
        <v>5706.796746390477</v>
      </c>
      <c r="BB33" s="119">
        <v>5987.2352912309943</v>
      </c>
      <c r="BC33" s="119">
        <v>6268.4919550808863</v>
      </c>
      <c r="BD33" s="119">
        <v>6566.2250144123982</v>
      </c>
      <c r="BE33" s="119">
        <v>6867.3712081398207</v>
      </c>
      <c r="BF33" s="119">
        <v>7175.4725011061009</v>
      </c>
      <c r="BG33" s="119">
        <v>7488.4484159135018</v>
      </c>
      <c r="BH33" s="119">
        <v>7812.6979651094607</v>
      </c>
    </row>
    <row r="34" spans="1:60" x14ac:dyDescent="0.3">
      <c r="AD34" s="138" t="s">
        <v>224</v>
      </c>
      <c r="AE34" s="119">
        <v>38.074674246109929</v>
      </c>
      <c r="AF34" s="119">
        <v>38.87593961284805</v>
      </c>
      <c r="AG34" s="119">
        <v>46.432459593136791</v>
      </c>
      <c r="AH34" s="119">
        <v>87.10340700976549</v>
      </c>
      <c r="AI34" s="119">
        <v>98.446002609206488</v>
      </c>
      <c r="AJ34" s="119">
        <v>121.84931642904482</v>
      </c>
      <c r="AK34" s="119">
        <v>130.86467012512594</v>
      </c>
      <c r="AL34" s="119">
        <v>139.39678369889384</v>
      </c>
      <c r="AM34" s="119">
        <v>145.76740204466097</v>
      </c>
      <c r="AN34" s="119">
        <v>155.77906676531546</v>
      </c>
      <c r="AO34" s="119">
        <v>158.27476376821821</v>
      </c>
      <c r="AP34" s="119">
        <v>165.92110642125971</v>
      </c>
      <c r="AQ34" s="119">
        <v>175.54623272392607</v>
      </c>
      <c r="AR34" s="119">
        <v>163.13510994515099</v>
      </c>
      <c r="AS34" s="119">
        <v>167.45577712692469</v>
      </c>
      <c r="AT34" s="119">
        <v>183.00400278910266</v>
      </c>
      <c r="AU34" s="119">
        <v>193.6250153851303</v>
      </c>
      <c r="AV34" s="119">
        <v>203.43781957052855</v>
      </c>
      <c r="AW34" s="119">
        <v>210.92772247471794</v>
      </c>
      <c r="AX34" s="119">
        <v>219.3793995258913</v>
      </c>
      <c r="AY34" s="119">
        <v>245.83199543618761</v>
      </c>
      <c r="AZ34" s="119">
        <v>259.11373686345263</v>
      </c>
      <c r="BA34" s="119">
        <v>271.12319132880214</v>
      </c>
      <c r="BB34" s="119">
        <v>283.20870697998726</v>
      </c>
      <c r="BC34" s="119">
        <v>295.32883892805711</v>
      </c>
      <c r="BD34" s="119">
        <v>299.84160555025119</v>
      </c>
      <c r="BE34" s="119">
        <v>311.22886577880109</v>
      </c>
      <c r="BF34" s="119">
        <v>323.95399496555842</v>
      </c>
      <c r="BG34" s="119">
        <v>336.73372769966034</v>
      </c>
      <c r="BH34" s="119">
        <v>350.25695477444009</v>
      </c>
    </row>
    <row r="35" spans="1:60" x14ac:dyDescent="0.3">
      <c r="AD35" s="138" t="s">
        <v>225</v>
      </c>
      <c r="AE35" s="119">
        <v>3655.9339161394942</v>
      </c>
      <c r="AF35" s="119">
        <v>3786.5058809798124</v>
      </c>
      <c r="AG35" s="119">
        <v>3968.2140152067536</v>
      </c>
      <c r="AH35" s="119">
        <v>4171.0714234046945</v>
      </c>
      <c r="AI35" s="119">
        <v>4253.3974514782831</v>
      </c>
      <c r="AJ35" s="119">
        <v>4246.2438504666206</v>
      </c>
      <c r="AK35" s="119">
        <v>4229.900326706419</v>
      </c>
      <c r="AL35" s="119">
        <v>4209.4498667220914</v>
      </c>
      <c r="AM35" s="119">
        <v>4205.0397150873814</v>
      </c>
      <c r="AN35" s="119">
        <v>4199.8150834244025</v>
      </c>
      <c r="AO35" s="119">
        <v>4172.9841995320121</v>
      </c>
      <c r="AP35" s="119">
        <v>4139.1361482956008</v>
      </c>
      <c r="AQ35" s="119">
        <v>4104.8465000989409</v>
      </c>
      <c r="AR35" s="119">
        <v>3974.1495932389766</v>
      </c>
      <c r="AS35" s="119">
        <v>3848.7656330320456</v>
      </c>
      <c r="AT35" s="119">
        <v>3779.6884247339713</v>
      </c>
      <c r="AU35" s="119">
        <v>3708.761891373294</v>
      </c>
      <c r="AV35" s="119">
        <v>3637.8600421899005</v>
      </c>
      <c r="AW35" s="119">
        <v>3578.3012382695606</v>
      </c>
      <c r="AX35" s="119">
        <v>3516.1002173670313</v>
      </c>
      <c r="AY35" s="119">
        <v>3529.0123384592353</v>
      </c>
      <c r="AZ35" s="119">
        <v>3538.4664590618618</v>
      </c>
      <c r="BA35" s="119">
        <v>3547.4524888186102</v>
      </c>
      <c r="BB35" s="119">
        <v>3557.0877379939197</v>
      </c>
      <c r="BC35" s="119">
        <v>3566.7279834315964</v>
      </c>
      <c r="BD35" s="119">
        <v>3565.313638888797</v>
      </c>
      <c r="BE35" s="119">
        <v>3564.3133666205263</v>
      </c>
      <c r="BF35" s="119">
        <v>3564.03432059857</v>
      </c>
      <c r="BG35" s="119">
        <v>3563.4427354997219</v>
      </c>
      <c r="BH35" s="119">
        <v>3565.0734881457424</v>
      </c>
    </row>
    <row r="36" spans="1:60" x14ac:dyDescent="0.3">
      <c r="B36" s="105" t="s">
        <v>106</v>
      </c>
      <c r="C36" s="105"/>
      <c r="D36" s="105"/>
      <c r="AD36" s="139" t="s">
        <v>226</v>
      </c>
      <c r="AE36" s="140">
        <v>372.17625536690986</v>
      </c>
      <c r="AF36" s="140">
        <v>451.24512450542721</v>
      </c>
      <c r="AG36" s="140">
        <v>531.63235431301598</v>
      </c>
      <c r="AH36" s="140">
        <v>598.31193431484144</v>
      </c>
      <c r="AI36" s="140">
        <v>619.97725065583836</v>
      </c>
      <c r="AJ36" s="140">
        <v>610.47661382345473</v>
      </c>
      <c r="AK36" s="140">
        <v>603.50684054001749</v>
      </c>
      <c r="AL36" s="140">
        <v>596.32923631497533</v>
      </c>
      <c r="AM36" s="140">
        <v>589.06800681232198</v>
      </c>
      <c r="AN36" s="140">
        <v>581.63737760350807</v>
      </c>
      <c r="AO36" s="140">
        <v>610.6812732511836</v>
      </c>
      <c r="AP36" s="140">
        <v>634.18770689376788</v>
      </c>
      <c r="AQ36" s="140">
        <v>657.05510146090251</v>
      </c>
      <c r="AR36" s="140">
        <v>660.8988694082575</v>
      </c>
      <c r="AS36" s="140">
        <v>665.39434854692195</v>
      </c>
      <c r="AT36" s="140">
        <v>678.51259737616704</v>
      </c>
      <c r="AU36" s="140">
        <v>690.71773829506708</v>
      </c>
      <c r="AV36" s="140">
        <v>702.71165690337739</v>
      </c>
      <c r="AW36" s="140">
        <v>713.93229373846896</v>
      </c>
      <c r="AX36" s="140">
        <v>724.61208284918723</v>
      </c>
      <c r="AY36" s="140">
        <v>693.06895087373914</v>
      </c>
      <c r="AZ36" s="140">
        <v>666.16717018956592</v>
      </c>
      <c r="BA36" s="140">
        <v>639.57200117606283</v>
      </c>
      <c r="BB36" s="140">
        <v>613.00560163415628</v>
      </c>
      <c r="BC36" s="140">
        <v>586.29018777238502</v>
      </c>
      <c r="BD36" s="140">
        <v>579.29194068456661</v>
      </c>
      <c r="BE36" s="140">
        <v>569.90957501785556</v>
      </c>
      <c r="BF36" s="140">
        <v>560.2317032981166</v>
      </c>
      <c r="BG36" s="140">
        <v>550.28167271945301</v>
      </c>
      <c r="BH36" s="140">
        <v>540.49914850073196</v>
      </c>
    </row>
    <row r="37" spans="1:60" x14ac:dyDescent="0.3">
      <c r="E37" s="56">
        <v>2018</v>
      </c>
      <c r="F37" s="56">
        <v>2019</v>
      </c>
      <c r="G37" s="56">
        <v>2020</v>
      </c>
      <c r="H37" s="56">
        <v>2021</v>
      </c>
      <c r="I37" s="56">
        <v>2025</v>
      </c>
      <c r="J37" s="56">
        <v>2030</v>
      </c>
      <c r="K37" s="56">
        <v>2035</v>
      </c>
      <c r="L37" s="56">
        <v>2040</v>
      </c>
      <c r="M37" s="56">
        <v>2045</v>
      </c>
      <c r="N37" s="57">
        <v>2050</v>
      </c>
      <c r="AD37" s="116" t="s">
        <v>227</v>
      </c>
      <c r="AE37" s="117">
        <v>6784.4895324247291</v>
      </c>
      <c r="AF37" s="117">
        <v>6573.5326814102691</v>
      </c>
      <c r="AG37" s="117">
        <v>6392.9267693834918</v>
      </c>
      <c r="AH37" s="117">
        <v>6357.0359526012644</v>
      </c>
      <c r="AI37" s="117">
        <v>5974.4389639604706</v>
      </c>
      <c r="AJ37" s="117">
        <v>5737.8993282241308</v>
      </c>
      <c r="AK37" s="117">
        <v>5587.8461704726869</v>
      </c>
      <c r="AL37" s="117">
        <v>5491.648298977886</v>
      </c>
      <c r="AM37" s="117">
        <v>5432.3652151290307</v>
      </c>
      <c r="AN37" s="117">
        <v>5393.6517158054821</v>
      </c>
      <c r="AO37" s="117">
        <v>5458.7467544307328</v>
      </c>
      <c r="AP37" s="117">
        <v>5509.1940163942718</v>
      </c>
      <c r="AQ37" s="117">
        <v>5562.0849327952319</v>
      </c>
      <c r="AR37" s="117">
        <v>5607.9817918277486</v>
      </c>
      <c r="AS37" s="117">
        <v>5661.7643138692429</v>
      </c>
      <c r="AT37" s="117">
        <v>5742.0255894432885</v>
      </c>
      <c r="AU37" s="117">
        <v>5827.1361404257359</v>
      </c>
      <c r="AV37" s="117">
        <v>5920.6947818130602</v>
      </c>
      <c r="AW37" s="117">
        <v>6017.7123675506873</v>
      </c>
      <c r="AX37" s="117">
        <v>6116.566758715212</v>
      </c>
      <c r="AY37" s="117">
        <v>6138.8977930232841</v>
      </c>
      <c r="AZ37" s="117">
        <v>6172.0419240831034</v>
      </c>
      <c r="BA37" s="117">
        <v>6209.2948634369686</v>
      </c>
      <c r="BB37" s="117">
        <v>6251.79957506562</v>
      </c>
      <c r="BC37" s="117">
        <v>6296.3525814860186</v>
      </c>
      <c r="BD37" s="117">
        <v>6370.7013289651204</v>
      </c>
      <c r="BE37" s="117">
        <v>6449.1261208246078</v>
      </c>
      <c r="BF37" s="117">
        <v>6534.0199393013872</v>
      </c>
      <c r="BG37" s="117">
        <v>6620.8190086979794</v>
      </c>
      <c r="BH37" s="117">
        <v>6718.847593383266</v>
      </c>
    </row>
    <row r="38" spans="1:60" x14ac:dyDescent="0.3">
      <c r="A38" s="104" t="s">
        <v>107</v>
      </c>
      <c r="B38" s="104" t="s">
        <v>90</v>
      </c>
      <c r="C38" s="104"/>
      <c r="D38" s="104"/>
      <c r="I38" s="83"/>
      <c r="J38" s="83"/>
      <c r="K38" s="83"/>
      <c r="L38" s="83"/>
      <c r="M38" s="83"/>
      <c r="N38" s="83"/>
      <c r="AD38" s="137" t="s">
        <v>228</v>
      </c>
      <c r="AE38" s="119">
        <v>2870.7637114782933</v>
      </c>
      <c r="AF38" s="119">
        <v>2793.822597756664</v>
      </c>
      <c r="AG38" s="119">
        <v>2719.3142871922046</v>
      </c>
      <c r="AH38" s="119">
        <v>2100.0605060873636</v>
      </c>
      <c r="AI38" s="119">
        <v>1941.2235747631262</v>
      </c>
      <c r="AJ38" s="119">
        <v>1772.226796497376</v>
      </c>
      <c r="AK38" s="119">
        <v>1634.6802707168251</v>
      </c>
      <c r="AL38" s="119">
        <v>1514.9127061237109</v>
      </c>
      <c r="AM38" s="119">
        <v>1416.3501508503221</v>
      </c>
      <c r="AN38" s="119">
        <v>1321.598659159816</v>
      </c>
      <c r="AO38" s="119">
        <v>1269.1193719271162</v>
      </c>
      <c r="AP38" s="119">
        <v>1205.9989076676998</v>
      </c>
      <c r="AQ38" s="119">
        <v>1144.0801894062063</v>
      </c>
      <c r="AR38" s="119">
        <v>1091.5003651714028</v>
      </c>
      <c r="AS38" s="119">
        <v>1039.4246078061731</v>
      </c>
      <c r="AT38" s="119">
        <v>998.60967869740125</v>
      </c>
      <c r="AU38" s="119">
        <v>956.82799067337294</v>
      </c>
      <c r="AV38" s="119">
        <v>916.19607321218507</v>
      </c>
      <c r="AW38" s="119">
        <v>884.87017031170433</v>
      </c>
      <c r="AX38" s="119">
        <v>851.60370113353656</v>
      </c>
      <c r="AY38" s="119">
        <v>825.89186592609497</v>
      </c>
      <c r="AZ38" s="119">
        <v>800.05904009935796</v>
      </c>
      <c r="BA38" s="119">
        <v>774.58259108863979</v>
      </c>
      <c r="BB38" s="119">
        <v>750.4231191760515</v>
      </c>
      <c r="BC38" s="119">
        <v>726.22204365819925</v>
      </c>
      <c r="BD38" s="119">
        <v>694.6499068267924</v>
      </c>
      <c r="BE38" s="119">
        <v>664.54708076086342</v>
      </c>
      <c r="BF38" s="119">
        <v>636.40066472463491</v>
      </c>
      <c r="BG38" s="119">
        <v>605.61465773975954</v>
      </c>
      <c r="BH38" s="119">
        <v>578.49879528353233</v>
      </c>
    </row>
    <row r="39" spans="1:60" x14ac:dyDescent="0.3">
      <c r="A39" s="104"/>
      <c r="B39" s="104" t="s">
        <v>91</v>
      </c>
      <c r="C39" s="104"/>
      <c r="D39" s="104"/>
      <c r="E39" s="83">
        <f>H7</f>
        <v>2101.8000000000002</v>
      </c>
      <c r="F39" s="83">
        <f>I7</f>
        <v>2169.3000000000002</v>
      </c>
      <c r="G39" s="83">
        <f>J7</f>
        <v>2068.8000000000002</v>
      </c>
      <c r="H39" s="83">
        <f>K7</f>
        <v>2217.8000000000002</v>
      </c>
      <c r="I39" s="61">
        <f>E39*'[1]2. PIB'!I35/100</f>
        <v>2245.9710575485378</v>
      </c>
      <c r="J39" s="61">
        <f>E39*'[1]2. PIB'!N35/100</f>
        <v>2346.7092653596519</v>
      </c>
      <c r="K39" s="61">
        <f>E39*'[1]2. PIB'!S35/100</f>
        <v>2473.2121981011369</v>
      </c>
      <c r="L39" s="61">
        <f>E39*'[1]2. PIB'!X35/100</f>
        <v>2642.8254222363512</v>
      </c>
      <c r="M39" s="61">
        <f>E39*'[1]2. PIB'!AC35/100</f>
        <v>2848.0098700459739</v>
      </c>
      <c r="N39" s="61">
        <f>E39*'[1]2. PIB'!AH35/100</f>
        <v>3069.6741468275895</v>
      </c>
      <c r="O39" t="s">
        <v>229</v>
      </c>
      <c r="AD39" s="133" t="s">
        <v>230</v>
      </c>
      <c r="AE39" s="119">
        <v>109.720990305001</v>
      </c>
      <c r="AF39" s="119">
        <v>97.666487002124072</v>
      </c>
      <c r="AG39" s="119">
        <v>88.410901444034621</v>
      </c>
      <c r="AH39" s="119">
        <v>359.3584135988155</v>
      </c>
      <c r="AI39" s="119">
        <v>365.87155149020441</v>
      </c>
      <c r="AJ39" s="119">
        <v>402.93149144058026</v>
      </c>
      <c r="AK39" s="119">
        <v>443.66857728990641</v>
      </c>
      <c r="AL39" s="119">
        <v>485.47516188739309</v>
      </c>
      <c r="AM39" s="119">
        <v>512.97571404671112</v>
      </c>
      <c r="AN39" s="119">
        <v>542.89428881483877</v>
      </c>
      <c r="AO39" s="119">
        <v>628.31110163176982</v>
      </c>
      <c r="AP39" s="119">
        <v>706.94070246448052</v>
      </c>
      <c r="AQ39" s="119">
        <v>783.98099407279039</v>
      </c>
      <c r="AR39" s="119">
        <v>842.58669821844762</v>
      </c>
      <c r="AS39" s="119">
        <v>903.32718984297003</v>
      </c>
      <c r="AT39" s="119">
        <v>974.84677477764262</v>
      </c>
      <c r="AU39" s="119">
        <v>1046.4987452580328</v>
      </c>
      <c r="AV39" s="119">
        <v>1119.460395799036</v>
      </c>
      <c r="AW39" s="119">
        <v>1177.8909475669891</v>
      </c>
      <c r="AX39" s="119">
        <v>1238.4210593735231</v>
      </c>
      <c r="AY39" s="119">
        <v>1265.4340610643087</v>
      </c>
      <c r="AZ39" s="119">
        <v>1296.539893036331</v>
      </c>
      <c r="BA39" s="119">
        <v>1328.4833069418783</v>
      </c>
      <c r="BB39" s="119">
        <v>1361.1978901529835</v>
      </c>
      <c r="BC39" s="119">
        <v>1394.2309673596583</v>
      </c>
      <c r="BD39" s="119">
        <v>1461.5229362805437</v>
      </c>
      <c r="BE39" s="119">
        <v>1527.4699862064379</v>
      </c>
      <c r="BF39" s="119">
        <v>1594.5864623288064</v>
      </c>
      <c r="BG39" s="119">
        <v>1663.1735575868752</v>
      </c>
      <c r="BH39" s="119">
        <v>1734.2051616358949</v>
      </c>
    </row>
    <row r="40" spans="1:60" x14ac:dyDescent="0.3">
      <c r="A40" s="104"/>
      <c r="B40" s="104" t="s">
        <v>92</v>
      </c>
      <c r="C40" s="104"/>
      <c r="D40" s="104"/>
      <c r="E40" s="141">
        <f>E$72*E53</f>
        <v>38.968556216902904</v>
      </c>
      <c r="F40" s="141">
        <f>F$72*F53</f>
        <v>37.112530350085684</v>
      </c>
      <c r="G40" s="141">
        <f>G$72*G53</f>
        <v>36.609221381602481</v>
      </c>
      <c r="H40" s="141">
        <f>H$72*H53</f>
        <v>40.464908772412379</v>
      </c>
      <c r="I40" s="61">
        <f t="shared" ref="I40:N43" si="3">I$39*I53</f>
        <v>37.130352263307643</v>
      </c>
      <c r="J40" s="61">
        <f t="shared" si="3"/>
        <v>37.057400702977354</v>
      </c>
      <c r="K40" s="61">
        <f t="shared" si="3"/>
        <v>36.997591209426808</v>
      </c>
      <c r="L40" s="61">
        <f t="shared" si="3"/>
        <v>36.793173897091307</v>
      </c>
      <c r="M40" s="61">
        <f t="shared" si="3"/>
        <v>36.673154580563796</v>
      </c>
      <c r="N40" s="61">
        <f t="shared" si="3"/>
        <v>36.751329540102759</v>
      </c>
      <c r="AD40" s="133" t="s">
        <v>231</v>
      </c>
      <c r="AE40" s="119">
        <v>2108.392024251415</v>
      </c>
      <c r="AF40" s="119">
        <v>2100.4181668180877</v>
      </c>
      <c r="AG40" s="119">
        <v>2099.976182237875</v>
      </c>
      <c r="AH40" s="119">
        <v>1852.4027810061878</v>
      </c>
      <c r="AI40" s="119">
        <v>1659.9124032315206</v>
      </c>
      <c r="AJ40" s="119">
        <v>1554.0816410515843</v>
      </c>
      <c r="AK40" s="119">
        <v>1473.871354010186</v>
      </c>
      <c r="AL40" s="119">
        <v>1412.3279640016985</v>
      </c>
      <c r="AM40" s="119">
        <v>1364.8876580339811</v>
      </c>
      <c r="AN40" s="119">
        <v>1325.3450855853512</v>
      </c>
      <c r="AO40" s="119">
        <v>1297.0333124623962</v>
      </c>
      <c r="AP40" s="119">
        <v>1270.1018418009221</v>
      </c>
      <c r="AQ40" s="119">
        <v>1245.0040275515462</v>
      </c>
      <c r="AR40" s="119">
        <v>1220.5880892746668</v>
      </c>
      <c r="AS40" s="119">
        <v>1198.7349704500723</v>
      </c>
      <c r="AT40" s="119">
        <v>1182.4883337058861</v>
      </c>
      <c r="AU40" s="119">
        <v>1168.0387655953148</v>
      </c>
      <c r="AV40" s="119">
        <v>1155.5848707266166</v>
      </c>
      <c r="AW40" s="119">
        <v>1145.2213840302056</v>
      </c>
      <c r="AX40" s="119">
        <v>1135.3144329473289</v>
      </c>
      <c r="AY40" s="119">
        <v>1118.1497682093707</v>
      </c>
      <c r="AZ40" s="119">
        <v>1103.2258227174161</v>
      </c>
      <c r="BA40" s="119">
        <v>1089.377426635655</v>
      </c>
      <c r="BB40" s="119">
        <v>1076.6305558818406</v>
      </c>
      <c r="BC40" s="119">
        <v>1064.5545536717857</v>
      </c>
      <c r="BD40" s="119">
        <v>1060.020074340046</v>
      </c>
      <c r="BE40" s="119">
        <v>1055.8804443895954</v>
      </c>
      <c r="BF40" s="119">
        <v>1052.4211389535669</v>
      </c>
      <c r="BG40" s="119">
        <v>1049.5973686063428</v>
      </c>
      <c r="BH40" s="119">
        <v>1047.8904087750432</v>
      </c>
    </row>
    <row r="41" spans="1:60" x14ac:dyDescent="0.3">
      <c r="A41" s="104"/>
      <c r="B41" s="104" t="s">
        <v>93</v>
      </c>
      <c r="C41" s="104"/>
      <c r="D41" s="104"/>
      <c r="E41" s="141">
        <f>E$72*E54</f>
        <v>117.38767553062419</v>
      </c>
      <c r="F41" s="141">
        <f>F$72*F54</f>
        <v>124.11577365462746</v>
      </c>
      <c r="G41" s="141">
        <f>G$72*G54</f>
        <v>112.21961327195284</v>
      </c>
      <c r="H41" s="141">
        <f>H$72*H54</f>
        <v>123.89472068103373</v>
      </c>
      <c r="I41" s="61">
        <f t="shared" si="3"/>
        <v>139.32503218984991</v>
      </c>
      <c r="J41" s="61">
        <f t="shared" si="3"/>
        <v>143.27203094901597</v>
      </c>
      <c r="K41" s="61">
        <f t="shared" si="3"/>
        <v>148.98307033198731</v>
      </c>
      <c r="L41" s="61">
        <f t="shared" si="3"/>
        <v>155.67969248848627</v>
      </c>
      <c r="M41" s="61">
        <f t="shared" si="3"/>
        <v>164.65023466890341</v>
      </c>
      <c r="N41" s="61">
        <f t="shared" si="3"/>
        <v>174.88257938109862</v>
      </c>
      <c r="AD41" s="133" t="s">
        <v>232</v>
      </c>
      <c r="AE41" s="119">
        <v>610.83808496846734</v>
      </c>
      <c r="AF41" s="119">
        <v>509.51818053525301</v>
      </c>
      <c r="AG41" s="119">
        <v>418.3257572657281</v>
      </c>
      <c r="AH41" s="119">
        <v>482.88346376962261</v>
      </c>
      <c r="AI41" s="119">
        <v>456.47916273892162</v>
      </c>
      <c r="AJ41" s="119">
        <v>431.23678018288797</v>
      </c>
      <c r="AK41" s="119">
        <v>413.79908413539397</v>
      </c>
      <c r="AL41" s="119">
        <v>401.48357607429932</v>
      </c>
      <c r="AM41" s="119">
        <v>391.12002236976861</v>
      </c>
      <c r="AN41" s="119">
        <v>383.02918489985075</v>
      </c>
      <c r="AO41" s="119">
        <v>373.49400122425379</v>
      </c>
      <c r="AP41" s="119">
        <v>364.64683821465292</v>
      </c>
      <c r="AQ41" s="119">
        <v>356.37199118973132</v>
      </c>
      <c r="AR41" s="119">
        <v>348.34731249950198</v>
      </c>
      <c r="AS41" s="119">
        <v>341.01789771064551</v>
      </c>
      <c r="AT41" s="119">
        <v>339.94631877610783</v>
      </c>
      <c r="AU41" s="119">
        <v>339.35808273819845</v>
      </c>
      <c r="AV41" s="119">
        <v>339.31811496254613</v>
      </c>
      <c r="AW41" s="119">
        <v>339.89537071734418</v>
      </c>
      <c r="AX41" s="119">
        <v>340.64968784759611</v>
      </c>
      <c r="AY41" s="119">
        <v>338.74070905086637</v>
      </c>
      <c r="AZ41" s="119">
        <v>337.26938082741532</v>
      </c>
      <c r="BA41" s="119">
        <v>336.0773260622401</v>
      </c>
      <c r="BB41" s="119">
        <v>335.18740540690982</v>
      </c>
      <c r="BC41" s="119">
        <v>334.48623574244976</v>
      </c>
      <c r="BD41" s="119">
        <v>334.99655588802415</v>
      </c>
      <c r="BE41" s="119">
        <v>335.79915371367076</v>
      </c>
      <c r="BF41" s="119">
        <v>336.84647338555396</v>
      </c>
      <c r="BG41" s="119">
        <v>338.1103118218785</v>
      </c>
      <c r="BH41" s="119">
        <v>339.73252985888399</v>
      </c>
    </row>
    <row r="42" spans="1:60" x14ac:dyDescent="0.3">
      <c r="A42" s="104"/>
      <c r="B42" s="104" t="s">
        <v>94</v>
      </c>
      <c r="C42" s="104"/>
      <c r="D42" s="104"/>
      <c r="E42" s="141">
        <f>E$72*E55</f>
        <v>1656.6096455844361</v>
      </c>
      <c r="F42" s="141">
        <f>F$72*F55</f>
        <v>1707.4313997480258</v>
      </c>
      <c r="G42" s="141">
        <f>G$72*G55</f>
        <v>1643.1310532838629</v>
      </c>
      <c r="H42" s="141">
        <f>H$72*H55</f>
        <v>1767.0980161015059</v>
      </c>
      <c r="I42" s="61">
        <f t="shared" si="3"/>
        <v>1785.4540718431392</v>
      </c>
      <c r="J42" s="61">
        <f t="shared" si="3"/>
        <v>1874.7636380542469</v>
      </c>
      <c r="K42" s="61">
        <f t="shared" si="3"/>
        <v>1984.3097654737251</v>
      </c>
      <c r="L42" s="61">
        <f t="shared" si="3"/>
        <v>2131.9019110551017</v>
      </c>
      <c r="M42" s="61">
        <f t="shared" si="3"/>
        <v>2308.3180730949721</v>
      </c>
      <c r="N42" s="61">
        <f t="shared" si="3"/>
        <v>2497.247969426161</v>
      </c>
      <c r="AD42" s="133" t="s">
        <v>233</v>
      </c>
      <c r="AE42" s="119">
        <v>145.05899281315166</v>
      </c>
      <c r="AF42" s="119">
        <v>135.77604433036666</v>
      </c>
      <c r="AG42" s="119">
        <v>127.83748648110193</v>
      </c>
      <c r="AH42" s="119">
        <v>180.8845029437671</v>
      </c>
      <c r="AI42" s="119">
        <v>181.28022294150375</v>
      </c>
      <c r="AJ42" s="119">
        <v>179.99646609700298</v>
      </c>
      <c r="AK42" s="119">
        <v>181.2762410940324</v>
      </c>
      <c r="AL42" s="119">
        <v>184.0986970794317</v>
      </c>
      <c r="AM42" s="119">
        <v>188.61779486845188</v>
      </c>
      <c r="AN42" s="119">
        <v>193.73425904081924</v>
      </c>
      <c r="AO42" s="119">
        <v>206.12365076841004</v>
      </c>
      <c r="AP42" s="119">
        <v>218.17114236852851</v>
      </c>
      <c r="AQ42" s="119">
        <v>230.13532306672212</v>
      </c>
      <c r="AR42" s="119">
        <v>242.00395899001737</v>
      </c>
      <c r="AS42" s="119">
        <v>254.03508361231084</v>
      </c>
      <c r="AT42" s="119">
        <v>256.26143267354962</v>
      </c>
      <c r="AU42" s="119">
        <v>259.24747773398809</v>
      </c>
      <c r="AV42" s="119">
        <v>262.68032303300254</v>
      </c>
      <c r="AW42" s="119">
        <v>266.64191265360625</v>
      </c>
      <c r="AX42" s="119">
        <v>270.72734942030729</v>
      </c>
      <c r="AY42" s="119">
        <v>272.19938844339447</v>
      </c>
      <c r="AZ42" s="119">
        <v>274.04070872578279</v>
      </c>
      <c r="BA42" s="119">
        <v>276.07093260147474</v>
      </c>
      <c r="BB42" s="119">
        <v>278.31291619776869</v>
      </c>
      <c r="BC42" s="119">
        <v>280.67638991731707</v>
      </c>
      <c r="BD42" s="119">
        <v>283.71273190834728</v>
      </c>
      <c r="BE42" s="119">
        <v>287.01249773631554</v>
      </c>
      <c r="BF42" s="119">
        <v>290.54045751538587</v>
      </c>
      <c r="BG42" s="119">
        <v>294.27922007063154</v>
      </c>
      <c r="BH42" s="119">
        <v>298.36431299274687</v>
      </c>
    </row>
    <row r="43" spans="1:60" x14ac:dyDescent="0.3">
      <c r="A43" s="104"/>
      <c r="B43" s="104" t="s">
        <v>95</v>
      </c>
      <c r="C43" s="104"/>
      <c r="D43" s="104"/>
      <c r="E43" s="141">
        <f>E$72*E56</f>
        <v>288.83412266803703</v>
      </c>
      <c r="F43" s="141">
        <f>F$72*F56</f>
        <v>300.64029624726123</v>
      </c>
      <c r="G43" s="141">
        <f>G$72*G56</f>
        <v>276.84011206258174</v>
      </c>
      <c r="H43" s="141">
        <f>H$72*H56</f>
        <v>286.34235444504816</v>
      </c>
      <c r="I43" s="61">
        <f t="shared" si="3"/>
        <v>284.06160125224125</v>
      </c>
      <c r="J43" s="61">
        <f t="shared" si="3"/>
        <v>291.61619565341147</v>
      </c>
      <c r="K43" s="61">
        <f t="shared" si="3"/>
        <v>302.92177108599765</v>
      </c>
      <c r="L43" s="61">
        <f t="shared" si="3"/>
        <v>318.45064479567202</v>
      </c>
      <c r="M43" s="61">
        <f t="shared" si="3"/>
        <v>338.36840770153452</v>
      </c>
      <c r="N43" s="61">
        <f t="shared" si="3"/>
        <v>360.79226848022694</v>
      </c>
      <c r="AD43" s="142" t="s">
        <v>226</v>
      </c>
      <c r="AE43" s="127">
        <v>939.71572860840024</v>
      </c>
      <c r="AF43" s="127">
        <v>936.33120496777337</v>
      </c>
      <c r="AG43" s="127">
        <v>939.06215476254806</v>
      </c>
      <c r="AH43" s="127">
        <v>1381.4462851955079</v>
      </c>
      <c r="AI43" s="127">
        <v>1369.6720487951941</v>
      </c>
      <c r="AJ43" s="127">
        <v>1397.4261529547009</v>
      </c>
      <c r="AK43" s="127">
        <v>1440.550643226343</v>
      </c>
      <c r="AL43" s="127">
        <v>1493.3501938113534</v>
      </c>
      <c r="AM43" s="127">
        <v>1558.4138749597955</v>
      </c>
      <c r="AN43" s="127">
        <v>1627.0502383048063</v>
      </c>
      <c r="AO43" s="127">
        <v>1684.6653164167869</v>
      </c>
      <c r="AP43" s="127">
        <v>1743.3345838779874</v>
      </c>
      <c r="AQ43" s="127">
        <v>1802.5124075082354</v>
      </c>
      <c r="AR43" s="127">
        <v>1862.955367673713</v>
      </c>
      <c r="AS43" s="127">
        <v>1925.2245644470718</v>
      </c>
      <c r="AT43" s="127">
        <v>1989.8730508127005</v>
      </c>
      <c r="AU43" s="127">
        <v>2057.165078426829</v>
      </c>
      <c r="AV43" s="127">
        <v>2127.4550040796744</v>
      </c>
      <c r="AW43" s="127">
        <v>2203.1925822708381</v>
      </c>
      <c r="AX43" s="127">
        <v>2279.8505279929204</v>
      </c>
      <c r="AY43" s="127">
        <v>2318.4820003292484</v>
      </c>
      <c r="AZ43" s="127">
        <v>2360.9070786767998</v>
      </c>
      <c r="BA43" s="127">
        <v>2404.7032801070809</v>
      </c>
      <c r="BB43" s="127">
        <v>2450.0476882500666</v>
      </c>
      <c r="BC43" s="127">
        <v>2496.1823911366087</v>
      </c>
      <c r="BD43" s="127">
        <v>2535.7991237213673</v>
      </c>
      <c r="BE43" s="127">
        <v>2578.4169580177249</v>
      </c>
      <c r="BF43" s="127">
        <v>2623.2247423934391</v>
      </c>
      <c r="BG43" s="127">
        <v>2670.0438928724916</v>
      </c>
      <c r="BH43" s="127">
        <v>2720.1563848371629</v>
      </c>
    </row>
    <row r="44" spans="1:60" x14ac:dyDescent="0.3">
      <c r="A44" s="104"/>
      <c r="C44" s="104" t="s">
        <v>96</v>
      </c>
      <c r="D44" s="104"/>
      <c r="E44" s="143">
        <f>E$76*E57</f>
        <v>36.26305534653342</v>
      </c>
      <c r="F44" s="143">
        <f>F$76*F57</f>
        <v>39.95544460786607</v>
      </c>
      <c r="G44" s="143">
        <f>G$76*G57</f>
        <v>41.554673124332176</v>
      </c>
      <c r="H44" s="143">
        <f>H$76*H57</f>
        <v>41.433485278903781</v>
      </c>
      <c r="I44" s="16">
        <f t="shared" ref="I44:N52" si="4">I$43*I57</f>
        <v>39.963315600113233</v>
      </c>
      <c r="J44" s="16">
        <f t="shared" si="4"/>
        <v>39.338282239047309</v>
      </c>
      <c r="K44" s="16">
        <f t="shared" si="4"/>
        <v>39.090895811230901</v>
      </c>
      <c r="L44" s="16">
        <f t="shared" si="4"/>
        <v>38.587858840000372</v>
      </c>
      <c r="M44" s="16">
        <f t="shared" si="4"/>
        <v>38.290640094701111</v>
      </c>
      <c r="N44" s="16">
        <f t="shared" si="4"/>
        <v>38.409550111234651</v>
      </c>
      <c r="AD44" s="123" t="s">
        <v>234</v>
      </c>
      <c r="AE44" s="144">
        <v>2461367.2447903473</v>
      </c>
      <c r="AF44" s="144">
        <v>2499581.1275985534</v>
      </c>
      <c r="AG44" s="144">
        <v>2546739.170170913</v>
      </c>
      <c r="AH44" s="144">
        <v>2589118.6319240364</v>
      </c>
      <c r="AI44" s="144">
        <v>2622118.0596972271</v>
      </c>
      <c r="AJ44" s="144">
        <v>2656979.3640870764</v>
      </c>
      <c r="AK44" s="144">
        <v>2691424.8426073231</v>
      </c>
      <c r="AL44" s="144">
        <v>2727605.9285054747</v>
      </c>
      <c r="AM44" s="144">
        <v>2763931.091145271</v>
      </c>
      <c r="AN44" s="144">
        <v>2802107.6456880467</v>
      </c>
      <c r="AO44" s="144">
        <v>2839210.4080796083</v>
      </c>
      <c r="AP44" s="144">
        <v>2875153.0823929594</v>
      </c>
      <c r="AQ44" s="144">
        <v>2911345.1601476804</v>
      </c>
      <c r="AR44" s="144">
        <v>2947228.2615242111</v>
      </c>
      <c r="AS44" s="144">
        <v>2984689.2638630159</v>
      </c>
      <c r="AT44" s="144">
        <v>3024132.8870401233</v>
      </c>
      <c r="AU44" s="144">
        <v>3065949.2100305515</v>
      </c>
      <c r="AV44" s="144">
        <v>3110550.7333588838</v>
      </c>
      <c r="AW44" s="144">
        <v>3157062.6132874321</v>
      </c>
      <c r="AX44" s="144">
        <v>3206303.3915013676</v>
      </c>
      <c r="AY44" s="144">
        <v>3255958.8846229985</v>
      </c>
      <c r="AZ44" s="144">
        <v>3307395.0138812042</v>
      </c>
      <c r="BA44" s="144">
        <v>3359909.8453348577</v>
      </c>
      <c r="BB44" s="144">
        <v>3414101.2591726906</v>
      </c>
      <c r="BC44" s="144">
        <v>3468773.3749976913</v>
      </c>
      <c r="BD44" s="144">
        <v>3523571.6220120178</v>
      </c>
      <c r="BE44" s="144">
        <v>3578391.6733831293</v>
      </c>
      <c r="BF44" s="144">
        <v>3633433.3445424419</v>
      </c>
      <c r="BG44" s="144">
        <v>3688419.2327967053</v>
      </c>
      <c r="BH44" s="144">
        <v>3745339.5954204886</v>
      </c>
    </row>
    <row r="45" spans="1:60" x14ac:dyDescent="0.3">
      <c r="A45" s="104"/>
      <c r="C45" s="104" t="s">
        <v>97</v>
      </c>
      <c r="D45" s="104"/>
      <c r="E45" s="143">
        <f>E$76*E58</f>
        <v>252.57106732150359</v>
      </c>
      <c r="F45" s="143">
        <f>F$76*F58</f>
        <v>260.68485163939516</v>
      </c>
      <c r="G45" s="143">
        <f>G$76*G58</f>
        <v>235.28543893824954</v>
      </c>
      <c r="H45" s="143">
        <f>H$76*H58</f>
        <v>244.9088691661444</v>
      </c>
      <c r="I45" s="16">
        <f t="shared" si="4"/>
        <v>244.098285652128</v>
      </c>
      <c r="J45" s="16">
        <f t="shared" si="4"/>
        <v>252.27791341436415</v>
      </c>
      <c r="K45" s="16">
        <f t="shared" si="4"/>
        <v>263.83087527476675</v>
      </c>
      <c r="L45" s="16">
        <f t="shared" si="4"/>
        <v>279.86278595567165</v>
      </c>
      <c r="M45" s="16">
        <f t="shared" si="4"/>
        <v>300.07776760683339</v>
      </c>
      <c r="N45" s="16">
        <f t="shared" si="4"/>
        <v>322.3827183689923</v>
      </c>
    </row>
    <row r="46" spans="1:60" x14ac:dyDescent="0.3">
      <c r="A46" s="104"/>
      <c r="D46" t="s">
        <v>98</v>
      </c>
      <c r="E46" s="143">
        <f>E$76*E59</f>
        <v>4.1196516511016368</v>
      </c>
      <c r="F46" s="143">
        <f>F$76*F59</f>
        <v>3.4365521686127933</v>
      </c>
      <c r="G46" s="143">
        <f>G$76*G59</f>
        <v>2.7321756001971189</v>
      </c>
      <c r="H46" s="143">
        <f>H$76*H59</f>
        <v>5.2177233488449328</v>
      </c>
      <c r="I46" s="16">
        <f t="shared" si="4"/>
        <v>4.5551550381175856</v>
      </c>
      <c r="J46" s="16">
        <f t="shared" si="4"/>
        <v>4.3946965290879616</v>
      </c>
      <c r="K46" s="16">
        <f t="shared" si="4"/>
        <v>4.2685166683589566</v>
      </c>
      <c r="L46" s="16">
        <f t="shared" si="4"/>
        <v>4.1278030853463292</v>
      </c>
      <c r="M46" s="16">
        <f t="shared" si="4"/>
        <v>4.0277319725435294</v>
      </c>
      <c r="N46" s="16">
        <f t="shared" si="4"/>
        <v>3.9679175100961501</v>
      </c>
    </row>
    <row r="47" spans="1:60" x14ac:dyDescent="0.3">
      <c r="A47" s="104"/>
      <c r="D47" t="s">
        <v>99</v>
      </c>
      <c r="E47" s="143">
        <f>E$76*E60</f>
        <v>2.746434434067758</v>
      </c>
      <c r="F47" s="143">
        <f>F$76*F60</f>
        <v>2.2910347790751957</v>
      </c>
      <c r="G47" s="143">
        <f>G$76*G60</f>
        <v>1.8214504001314127</v>
      </c>
      <c r="H47" s="143">
        <f>H$76*H60</f>
        <v>3.4784822325632887</v>
      </c>
      <c r="I47" s="16">
        <f t="shared" si="4"/>
        <v>3.0934947547103882</v>
      </c>
      <c r="J47" s="16">
        <f t="shared" si="4"/>
        <v>3.0646231134788868</v>
      </c>
      <c r="K47" s="16">
        <f t="shared" si="4"/>
        <v>3.0315356761607917</v>
      </c>
      <c r="L47" s="16">
        <f t="shared" si="4"/>
        <v>2.9701627981878769</v>
      </c>
      <c r="M47" s="16">
        <f t="shared" si="4"/>
        <v>2.9212459620965983</v>
      </c>
      <c r="N47" s="16">
        <f t="shared" si="4"/>
        <v>2.8927390972215683</v>
      </c>
      <c r="AD47" s="109" t="s">
        <v>235</v>
      </c>
      <c r="AE47" s="110">
        <v>2021</v>
      </c>
      <c r="AF47" s="111">
        <v>2022</v>
      </c>
      <c r="AG47" s="111">
        <v>2023</v>
      </c>
      <c r="AH47" s="111">
        <v>2024</v>
      </c>
      <c r="AI47" s="112">
        <v>2025</v>
      </c>
      <c r="AJ47" s="110">
        <v>2026</v>
      </c>
      <c r="AK47" s="111">
        <v>2027</v>
      </c>
      <c r="AL47" s="111">
        <v>2028</v>
      </c>
      <c r="AM47" s="111">
        <v>2029</v>
      </c>
      <c r="AN47" s="112">
        <v>2030</v>
      </c>
      <c r="AO47" s="110">
        <v>2031</v>
      </c>
      <c r="AP47" s="111">
        <v>2032</v>
      </c>
      <c r="AQ47" s="111">
        <v>2033</v>
      </c>
      <c r="AR47" s="111">
        <v>2034</v>
      </c>
      <c r="AS47" s="112">
        <v>2035</v>
      </c>
      <c r="AT47" s="110">
        <v>2036</v>
      </c>
      <c r="AU47" s="111">
        <v>2037</v>
      </c>
      <c r="AV47" s="111">
        <v>2038</v>
      </c>
      <c r="AW47" s="111">
        <v>2039</v>
      </c>
      <c r="AX47" s="112">
        <v>2040</v>
      </c>
      <c r="AY47" s="110">
        <v>2041</v>
      </c>
      <c r="AZ47" s="111">
        <v>2042</v>
      </c>
      <c r="BA47" s="111">
        <v>2043</v>
      </c>
      <c r="BB47" s="111">
        <v>2044</v>
      </c>
      <c r="BC47" s="112">
        <v>2045</v>
      </c>
      <c r="BD47" s="110">
        <v>2046</v>
      </c>
      <c r="BE47" s="111">
        <v>2047</v>
      </c>
      <c r="BF47" s="111">
        <v>2048</v>
      </c>
      <c r="BG47" s="111">
        <v>2049</v>
      </c>
      <c r="BH47" s="112">
        <v>2050</v>
      </c>
    </row>
    <row r="48" spans="1:60" x14ac:dyDescent="0.3">
      <c r="A48" s="104"/>
      <c r="D48" t="s">
        <v>100</v>
      </c>
      <c r="E48" s="143">
        <f>E$76*E61</f>
        <v>50.623560543724622</v>
      </c>
      <c r="F48" s="143">
        <f>F$76*F61</f>
        <v>52.462654189398187</v>
      </c>
      <c r="G48" s="143">
        <f>G$76*G61</f>
        <v>51.129802151779295</v>
      </c>
      <c r="H48" s="143">
        <f>H$76*H61</f>
        <v>53.025614848895074</v>
      </c>
      <c r="I48" s="16">
        <f t="shared" si="4"/>
        <v>47.832605759948478</v>
      </c>
      <c r="J48" s="16">
        <f t="shared" si="4"/>
        <v>47.660709025200404</v>
      </c>
      <c r="K48" s="16">
        <f t="shared" si="4"/>
        <v>48.135677590438299</v>
      </c>
      <c r="L48" s="16">
        <f t="shared" si="4"/>
        <v>48.600941816312172</v>
      </c>
      <c r="M48" s="16">
        <f t="shared" si="4"/>
        <v>49.552782917927551</v>
      </c>
      <c r="N48" s="16">
        <f t="shared" si="4"/>
        <v>51.068125019104414</v>
      </c>
      <c r="AD48" s="113" t="s">
        <v>194</v>
      </c>
      <c r="AE48" s="145">
        <f>AE4/AE44</f>
        <v>1.7465876275475609E-2</v>
      </c>
      <c r="AF48" s="145">
        <f t="shared" ref="AF48:BH48" si="5">AF4/AF44</f>
        <v>1.7326147078030214E-2</v>
      </c>
      <c r="AG48" s="145">
        <f t="shared" si="5"/>
        <v>1.7196806709049842E-2</v>
      </c>
      <c r="AH48" s="145">
        <f t="shared" si="5"/>
        <v>1.7106516860977975E-2</v>
      </c>
      <c r="AI48" s="145">
        <f t="shared" si="5"/>
        <v>1.7068055492376617E-2</v>
      </c>
      <c r="AJ48" s="145">
        <f t="shared" si="5"/>
        <v>1.701135505338745E-2</v>
      </c>
      <c r="AK48" s="145">
        <f t="shared" si="5"/>
        <v>1.6959543076895036E-2</v>
      </c>
      <c r="AL48" s="145">
        <f t="shared" si="5"/>
        <v>1.6904030944207168E-2</v>
      </c>
      <c r="AM48" s="145">
        <f t="shared" si="5"/>
        <v>1.6849940695630561E-2</v>
      </c>
      <c r="AN48" s="145">
        <f t="shared" si="5"/>
        <v>1.6791079375709027E-2</v>
      </c>
      <c r="AO48" s="145">
        <f t="shared" si="5"/>
        <v>1.6731605864191847E-2</v>
      </c>
      <c r="AP48" s="145">
        <f t="shared" si="5"/>
        <v>1.6679413436790684E-2</v>
      </c>
      <c r="AQ48" s="145">
        <f t="shared" si="5"/>
        <v>1.6629730839292853E-2</v>
      </c>
      <c r="AR48" s="145">
        <f t="shared" si="5"/>
        <v>1.6585662663322325E-2</v>
      </c>
      <c r="AS48" s="145">
        <f t="shared" si="5"/>
        <v>1.6539785304602483E-2</v>
      </c>
      <c r="AT48" s="145">
        <f t="shared" si="5"/>
        <v>1.6494020460004769E-2</v>
      </c>
      <c r="AU48" s="145">
        <f t="shared" si="5"/>
        <v>1.6448603428836091E-2</v>
      </c>
      <c r="AV48" s="145">
        <f t="shared" si="5"/>
        <v>1.6402400221611029E-2</v>
      </c>
      <c r="AW48" s="145">
        <f t="shared" si="5"/>
        <v>1.6358564129585394E-2</v>
      </c>
      <c r="AX48" s="145">
        <f t="shared" si="5"/>
        <v>1.6314523373612218E-2</v>
      </c>
      <c r="AY48" s="145">
        <f t="shared" si="5"/>
        <v>1.6273485768328183E-2</v>
      </c>
      <c r="AZ48" s="145">
        <f t="shared" si="5"/>
        <v>1.6232512755206131E-2</v>
      </c>
      <c r="BA48" s="145">
        <f t="shared" si="5"/>
        <v>1.6193054243078746E-2</v>
      </c>
      <c r="BB48" s="145">
        <f t="shared" si="5"/>
        <v>1.6152886913889455E-2</v>
      </c>
      <c r="BC48" s="145">
        <f t="shared" si="5"/>
        <v>1.6115252461497892E-2</v>
      </c>
      <c r="BD48" s="145">
        <f t="shared" si="5"/>
        <v>1.6076556318035451E-2</v>
      </c>
      <c r="BE48" s="145">
        <f t="shared" si="5"/>
        <v>1.6038810299293067E-2</v>
      </c>
      <c r="BF48" s="145">
        <f t="shared" si="5"/>
        <v>1.600189529545255E-2</v>
      </c>
      <c r="BG48" s="145">
        <f t="shared" si="5"/>
        <v>1.5965937019158934E-2</v>
      </c>
      <c r="BH48" s="145">
        <f t="shared" si="5"/>
        <v>1.5926361249031559E-2</v>
      </c>
    </row>
    <row r="49" spans="1:60" x14ac:dyDescent="0.3">
      <c r="A49" s="104"/>
      <c r="D49" t="s">
        <v>101</v>
      </c>
      <c r="E49" s="143">
        <f>E$76*E62</f>
        <v>9.2830405493783541</v>
      </c>
      <c r="F49" s="143">
        <f>F$76*F62</f>
        <v>10.005871606546503</v>
      </c>
      <c r="G49" s="143">
        <f>G$76*G62</f>
        <v>9.4763689952277304</v>
      </c>
      <c r="H49" s="143">
        <f>H$76*H62</f>
        <v>9.6003546676455063</v>
      </c>
      <c r="I49" s="16">
        <f t="shared" si="4"/>
        <v>9.2505585212353232</v>
      </c>
      <c r="J49" s="16">
        <f t="shared" si="4"/>
        <v>9.4726606495707202</v>
      </c>
      <c r="K49" s="16">
        <f t="shared" si="4"/>
        <v>9.7645263143288368</v>
      </c>
      <c r="L49" s="16">
        <f t="shared" si="4"/>
        <v>10.1344634055176</v>
      </c>
      <c r="M49" s="16">
        <f t="shared" si="4"/>
        <v>10.693174362203685</v>
      </c>
      <c r="N49" s="16">
        <f t="shared" si="4"/>
        <v>11.326017122695854</v>
      </c>
      <c r="AD49" s="116" t="s">
        <v>196</v>
      </c>
      <c r="AE49" s="146">
        <f>AE5/AE44</f>
        <v>9.9450144033500831E-2</v>
      </c>
      <c r="AF49" s="146">
        <f t="shared" ref="AF49:BH49" si="6">AF5/AF44</f>
        <v>9.9189974511924378E-2</v>
      </c>
      <c r="AG49" s="146">
        <f t="shared" si="6"/>
        <v>9.9102191183707708E-2</v>
      </c>
      <c r="AH49" s="146">
        <f t="shared" si="6"/>
        <v>9.957415635519852E-2</v>
      </c>
      <c r="AI49" s="146">
        <f t="shared" si="6"/>
        <v>9.9337238699430563E-2</v>
      </c>
      <c r="AJ49" s="146">
        <f t="shared" si="6"/>
        <v>9.9394299979650338E-2</v>
      </c>
      <c r="AK49" s="146">
        <f t="shared" si="6"/>
        <v>9.9465415880290869E-2</v>
      </c>
      <c r="AL49" s="146">
        <f t="shared" si="6"/>
        <v>9.9535305099545057E-2</v>
      </c>
      <c r="AM49" s="146">
        <f t="shared" si="6"/>
        <v>9.9612836182459488E-2</v>
      </c>
      <c r="AN49" s="146">
        <f t="shared" si="6"/>
        <v>9.9695964870163994E-2</v>
      </c>
      <c r="AO49" s="146">
        <f t="shared" si="6"/>
        <v>9.9632208893444915E-2</v>
      </c>
      <c r="AP49" s="146">
        <f t="shared" si="6"/>
        <v>9.956973651507478E-2</v>
      </c>
      <c r="AQ49" s="146">
        <f t="shared" si="6"/>
        <v>9.9527251670687836E-2</v>
      </c>
      <c r="AR49" s="146">
        <f t="shared" si="6"/>
        <v>9.9512430625772724E-2</v>
      </c>
      <c r="AS49" s="146">
        <f t="shared" si="6"/>
        <v>9.9509555501276978E-2</v>
      </c>
      <c r="AT49" s="146">
        <f t="shared" si="6"/>
        <v>9.9509920230061638E-2</v>
      </c>
      <c r="AU49" s="146">
        <f t="shared" si="6"/>
        <v>9.9518109548360115E-2</v>
      </c>
      <c r="AV49" s="146">
        <f t="shared" si="6"/>
        <v>9.9535101249063548E-2</v>
      </c>
      <c r="AW49" s="146">
        <f t="shared" si="6"/>
        <v>9.9555143206333768E-2</v>
      </c>
      <c r="AX49" s="146">
        <f t="shared" si="6"/>
        <v>9.9590126576391255E-2</v>
      </c>
      <c r="AY49" s="146">
        <f t="shared" si="6"/>
        <v>9.9598394538066223E-2</v>
      </c>
      <c r="AZ49" s="146">
        <f t="shared" si="6"/>
        <v>9.9642832145657181E-2</v>
      </c>
      <c r="BA49" s="146">
        <f t="shared" si="6"/>
        <v>9.9691895535635497E-2</v>
      </c>
      <c r="BB49" s="146">
        <f t="shared" si="6"/>
        <v>9.9748565096974079E-2</v>
      </c>
      <c r="BC49" s="146">
        <f t="shared" si="6"/>
        <v>9.9810268809609554E-2</v>
      </c>
      <c r="BD49" s="146">
        <f t="shared" si="6"/>
        <v>9.9878382856971717E-2</v>
      </c>
      <c r="BE49" s="146">
        <f t="shared" si="6"/>
        <v>9.9928859598800296E-2</v>
      </c>
      <c r="BF49" s="146">
        <f t="shared" si="6"/>
        <v>9.9991955297406648E-2</v>
      </c>
      <c r="BG49" s="146">
        <f t="shared" si="6"/>
        <v>0.10003469432451238</v>
      </c>
      <c r="BH49" s="146">
        <f t="shared" si="6"/>
        <v>0.10009311231190984</v>
      </c>
    </row>
    <row r="50" spans="1:60" x14ac:dyDescent="0.3">
      <c r="A50" s="104"/>
      <c r="D50" t="s">
        <v>102</v>
      </c>
      <c r="E50" s="143">
        <f>E$76*E63</f>
        <v>5.2601592390744063</v>
      </c>
      <c r="F50" s="143">
        <f>F$76*F63</f>
        <v>5.2611181565675338</v>
      </c>
      <c r="G50" s="143">
        <f>G$76*G63</f>
        <v>5.1356951071515091</v>
      </c>
      <c r="H50" s="143">
        <f>H$76*H63</f>
        <v>5.1306307728215517</v>
      </c>
      <c r="I50" s="16">
        <f t="shared" si="4"/>
        <v>5.0128279823695019</v>
      </c>
      <c r="J50" s="16">
        <f t="shared" si="4"/>
        <v>5.1016839773781086</v>
      </c>
      <c r="K50" s="16">
        <f t="shared" si="4"/>
        <v>5.2915054282049283</v>
      </c>
      <c r="L50" s="16">
        <f t="shared" si="4"/>
        <v>5.5384434112334766</v>
      </c>
      <c r="M50" s="16">
        <f t="shared" si="4"/>
        <v>5.8740402470805346</v>
      </c>
      <c r="N50" s="16">
        <f t="shared" si="4"/>
        <v>6.283315750818308</v>
      </c>
      <c r="AD50" s="118" t="s">
        <v>103</v>
      </c>
      <c r="AE50" s="147">
        <f>AE6/AE$44</f>
        <v>1.7001798936667277E-2</v>
      </c>
      <c r="AF50" s="147">
        <f t="shared" ref="AF50:BH56" si="7">AF6/AF$44</f>
        <v>1.7175025710862855E-2</v>
      </c>
      <c r="AG50" s="147">
        <f t="shared" si="7"/>
        <v>1.7266644682373725E-2</v>
      </c>
      <c r="AH50" s="147">
        <f t="shared" si="7"/>
        <v>1.7427859665500232E-2</v>
      </c>
      <c r="AI50" s="147">
        <f t="shared" si="7"/>
        <v>1.7581458006753422E-2</v>
      </c>
      <c r="AJ50" s="147">
        <f t="shared" si="7"/>
        <v>1.7690322237649627E-2</v>
      </c>
      <c r="AK50" s="147">
        <f t="shared" si="7"/>
        <v>1.7817199660527343E-2</v>
      </c>
      <c r="AL50" s="147">
        <f t="shared" si="7"/>
        <v>1.7952890917202983E-2</v>
      </c>
      <c r="AM50" s="147">
        <f t="shared" si="7"/>
        <v>1.8098672338123817E-2</v>
      </c>
      <c r="AN50" s="147">
        <f t="shared" si="7"/>
        <v>1.8241227257041335E-2</v>
      </c>
      <c r="AO50" s="147">
        <f t="shared" si="7"/>
        <v>1.8318440359833973E-2</v>
      </c>
      <c r="AP50" s="147">
        <f t="shared" si="7"/>
        <v>1.8400150666650617E-2</v>
      </c>
      <c r="AQ50" s="147">
        <f t="shared" si="7"/>
        <v>1.8479027379917159E-2</v>
      </c>
      <c r="AR50" s="147">
        <f t="shared" si="7"/>
        <v>1.8558837894973115E-2</v>
      </c>
      <c r="AS50" s="147">
        <f t="shared" si="7"/>
        <v>1.8627489527032311E-2</v>
      </c>
      <c r="AT50" s="147">
        <f t="shared" si="7"/>
        <v>1.86887346474017E-2</v>
      </c>
      <c r="AU50" s="147">
        <f t="shared" si="7"/>
        <v>1.8745431722735125E-2</v>
      </c>
      <c r="AV50" s="147">
        <f t="shared" si="7"/>
        <v>1.879346640538539E-2</v>
      </c>
      <c r="AW50" s="147">
        <f t="shared" si="7"/>
        <v>1.8838374573434659E-2</v>
      </c>
      <c r="AX50" s="147">
        <f t="shared" si="7"/>
        <v>1.8878598636023092E-2</v>
      </c>
      <c r="AY50" s="147">
        <f t="shared" si="7"/>
        <v>1.8915563231206259E-2</v>
      </c>
      <c r="AZ50" s="147">
        <f t="shared" si="7"/>
        <v>1.8947367303742732E-2</v>
      </c>
      <c r="BA50" s="147">
        <f t="shared" si="7"/>
        <v>1.8976051715348816E-2</v>
      </c>
      <c r="BB50" s="147">
        <f t="shared" si="7"/>
        <v>1.8998551213620835E-2</v>
      </c>
      <c r="BC50" s="147">
        <f t="shared" si="7"/>
        <v>1.9020629073725669E-2</v>
      </c>
      <c r="BD50" s="147">
        <f t="shared" si="7"/>
        <v>1.9035409377329261E-2</v>
      </c>
      <c r="BE50" s="147">
        <f t="shared" si="7"/>
        <v>1.9047655843153762E-2</v>
      </c>
      <c r="BF50" s="147">
        <f t="shared" si="7"/>
        <v>1.9059314980248654E-2</v>
      </c>
      <c r="BG50" s="147">
        <f t="shared" si="7"/>
        <v>1.9070134911663705E-2</v>
      </c>
      <c r="BH50" s="147">
        <f t="shared" si="7"/>
        <v>1.907455728733019E-2</v>
      </c>
    </row>
    <row r="51" spans="1:60" ht="28.8" x14ac:dyDescent="0.3">
      <c r="A51" s="104"/>
      <c r="D51" t="s">
        <v>103</v>
      </c>
      <c r="E51" s="143">
        <f>E$76*E64</f>
        <v>51.478365220770883</v>
      </c>
      <c r="F51" s="143">
        <f>F$76*F64</f>
        <v>53.627665797072147</v>
      </c>
      <c r="G51" s="143">
        <f>G$76*G64</f>
        <v>54.703848435747197</v>
      </c>
      <c r="H51" s="143">
        <f>H$76*H64</f>
        <v>51.664645030110087</v>
      </c>
      <c r="I51" s="16">
        <f t="shared" si="4"/>
        <v>50.942593092114848</v>
      </c>
      <c r="J51" s="16">
        <f t="shared" si="4"/>
        <v>51.466572864677836</v>
      </c>
      <c r="K51" s="16">
        <f t="shared" si="4"/>
        <v>52.916680554582655</v>
      </c>
      <c r="L51" s="16">
        <f t="shared" si="4"/>
        <v>55.11640670100352</v>
      </c>
      <c r="M51" s="16">
        <f t="shared" si="4"/>
        <v>58.750861952145748</v>
      </c>
      <c r="N51" s="16">
        <f t="shared" si="4"/>
        <v>63.090819122483396</v>
      </c>
      <c r="AD51" s="121" t="s">
        <v>197</v>
      </c>
      <c r="AE51" s="147">
        <f t="shared" ref="AE51:AT56" si="8">AE7/AE$44</f>
        <v>3.8285619351237543E-3</v>
      </c>
      <c r="AF51" s="147">
        <f t="shared" si="8"/>
        <v>3.8189309649697702E-3</v>
      </c>
      <c r="AG51" s="147">
        <f t="shared" si="8"/>
        <v>3.8787562809951275E-3</v>
      </c>
      <c r="AH51" s="147">
        <f t="shared" si="8"/>
        <v>3.8694724201283589E-3</v>
      </c>
      <c r="AI51" s="147">
        <f t="shared" si="8"/>
        <v>3.891474892194339E-3</v>
      </c>
      <c r="AJ51" s="147">
        <f t="shared" si="8"/>
        <v>3.8956733716313291E-3</v>
      </c>
      <c r="AK51" s="147">
        <f t="shared" si="8"/>
        <v>3.8826629769324176E-3</v>
      </c>
      <c r="AL51" s="147">
        <f t="shared" si="8"/>
        <v>3.8650953273047283E-3</v>
      </c>
      <c r="AM51" s="147">
        <f t="shared" si="8"/>
        <v>3.8382756489026156E-3</v>
      </c>
      <c r="AN51" s="147">
        <f t="shared" si="8"/>
        <v>3.8139007317765177E-3</v>
      </c>
      <c r="AO51" s="147">
        <f t="shared" si="8"/>
        <v>3.7878176453224393E-3</v>
      </c>
      <c r="AP51" s="147">
        <f t="shared" si="8"/>
        <v>3.7600991789955552E-3</v>
      </c>
      <c r="AQ51" s="147">
        <f t="shared" si="8"/>
        <v>3.73404316079737E-3</v>
      </c>
      <c r="AR51" s="147">
        <f t="shared" si="8"/>
        <v>3.7119309150144956E-3</v>
      </c>
      <c r="AS51" s="147">
        <f t="shared" si="8"/>
        <v>3.6939537094373299E-3</v>
      </c>
      <c r="AT51" s="147">
        <f t="shared" si="8"/>
        <v>3.6718000561603314E-3</v>
      </c>
      <c r="AU51" s="147">
        <f t="shared" si="7"/>
        <v>3.6501621586722635E-3</v>
      </c>
      <c r="AV51" s="147">
        <f t="shared" si="7"/>
        <v>3.6325421188735433E-3</v>
      </c>
      <c r="AW51" s="147">
        <f t="shared" si="7"/>
        <v>3.6145571834104578E-3</v>
      </c>
      <c r="AX51" s="147">
        <f t="shared" si="7"/>
        <v>3.5998741655704305E-3</v>
      </c>
      <c r="AY51" s="147">
        <f t="shared" si="7"/>
        <v>3.5848414952103017E-3</v>
      </c>
      <c r="AZ51" s="147">
        <f t="shared" si="7"/>
        <v>3.5683767908297531E-3</v>
      </c>
      <c r="BA51" s="147">
        <f t="shared" si="7"/>
        <v>3.5517498556088783E-3</v>
      </c>
      <c r="BB51" s="147">
        <f t="shared" si="7"/>
        <v>3.5396317793176591E-3</v>
      </c>
      <c r="BC51" s="147">
        <f t="shared" si="7"/>
        <v>3.5269030456083162E-3</v>
      </c>
      <c r="BD51" s="147">
        <f t="shared" si="7"/>
        <v>3.5160533821859325E-3</v>
      </c>
      <c r="BE51" s="147">
        <f t="shared" si="7"/>
        <v>3.5071560382632459E-3</v>
      </c>
      <c r="BF51" s="147">
        <f t="shared" si="7"/>
        <v>3.4974220034880853E-3</v>
      </c>
      <c r="BG51" s="147">
        <f t="shared" si="7"/>
        <v>3.4881515625475807E-3</v>
      </c>
      <c r="BH51" s="147">
        <f t="shared" si="7"/>
        <v>3.4843370695890447E-3</v>
      </c>
    </row>
    <row r="52" spans="1:60" x14ac:dyDescent="0.3">
      <c r="A52" s="104"/>
      <c r="D52" t="s">
        <v>104</v>
      </c>
      <c r="E52" s="143">
        <f>E$76*E65</f>
        <v>165.32291102991937</v>
      </c>
      <c r="F52" s="143">
        <f>F$76*F65</f>
        <v>173.55539954998886</v>
      </c>
      <c r="G52" s="143">
        <f>G$76*G65</f>
        <v>151.84077137234746</v>
      </c>
      <c r="H52" s="143">
        <f>H$76*H65</f>
        <v>158.22490354416772</v>
      </c>
      <c r="I52" s="16">
        <f t="shared" si="4"/>
        <v>163.37436610374507</v>
      </c>
      <c r="J52" s="16">
        <f t="shared" si="4"/>
        <v>170.45524949401752</v>
      </c>
      <c r="K52" s="16">
        <f t="shared" si="4"/>
        <v>179.51332885392318</v>
      </c>
      <c r="L52" s="16">
        <f t="shared" si="4"/>
        <v>191.96242357807103</v>
      </c>
      <c r="M52" s="16">
        <f t="shared" si="4"/>
        <v>206.5485702875369</v>
      </c>
      <c r="N52" s="16">
        <f t="shared" si="4"/>
        <v>222.16333485780723</v>
      </c>
      <c r="AD52" s="121" t="s">
        <v>198</v>
      </c>
      <c r="AE52" s="147">
        <f t="shared" si="8"/>
        <v>1.1843599432244305E-3</v>
      </c>
      <c r="AF52" s="147">
        <f t="shared" si="7"/>
        <v>1.1819987288895282E-3</v>
      </c>
      <c r="AG52" s="147">
        <f t="shared" si="7"/>
        <v>1.1839329449769447E-3</v>
      </c>
      <c r="AH52" s="147">
        <f t="shared" si="7"/>
        <v>1.1881564798680189E-3</v>
      </c>
      <c r="AI52" s="147">
        <f t="shared" si="7"/>
        <v>1.1897201287648501E-3</v>
      </c>
      <c r="AJ52" s="147">
        <f t="shared" si="7"/>
        <v>1.1889581695848789E-3</v>
      </c>
      <c r="AK52" s="147">
        <f t="shared" si="7"/>
        <v>1.188560734701849E-3</v>
      </c>
      <c r="AL52" s="147">
        <f t="shared" si="7"/>
        <v>1.1883592784806096E-3</v>
      </c>
      <c r="AM52" s="147">
        <f t="shared" si="7"/>
        <v>1.1886282984011386E-3</v>
      </c>
      <c r="AN52" s="147">
        <f t="shared" si="7"/>
        <v>1.1891337635030789E-3</v>
      </c>
      <c r="AO52" s="147">
        <f t="shared" si="7"/>
        <v>1.1857969611308076E-3</v>
      </c>
      <c r="AP52" s="147">
        <f t="shared" si="7"/>
        <v>1.1833643786078049E-3</v>
      </c>
      <c r="AQ52" s="147">
        <f t="shared" si="7"/>
        <v>1.1816040732281403E-3</v>
      </c>
      <c r="AR52" s="147">
        <f t="shared" si="7"/>
        <v>1.1807584317857793E-3</v>
      </c>
      <c r="AS52" s="147">
        <f t="shared" si="7"/>
        <v>1.180203492427763E-3</v>
      </c>
      <c r="AT52" s="147">
        <f t="shared" si="7"/>
        <v>1.1799134364051409E-3</v>
      </c>
      <c r="AU52" s="147">
        <f t="shared" si="7"/>
        <v>1.1800053415366464E-3</v>
      </c>
      <c r="AV52" s="147">
        <f t="shared" si="7"/>
        <v>1.1801861494800696E-3</v>
      </c>
      <c r="AW52" s="147">
        <f t="shared" si="7"/>
        <v>1.1805774288167507E-3</v>
      </c>
      <c r="AX52" s="147">
        <f t="shared" si="7"/>
        <v>1.1811186537080893E-3</v>
      </c>
      <c r="AY52" s="147">
        <f t="shared" si="7"/>
        <v>1.1820972240667977E-3</v>
      </c>
      <c r="AZ52" s="147">
        <f t="shared" si="7"/>
        <v>1.1831719577418249E-3</v>
      </c>
      <c r="BA52" s="147">
        <f t="shared" si="7"/>
        <v>1.1842917322157621E-3</v>
      </c>
      <c r="BB52" s="147">
        <f t="shared" si="7"/>
        <v>1.1852774475016336E-3</v>
      </c>
      <c r="BC52" s="147">
        <f t="shared" si="7"/>
        <v>1.1862661257990841E-3</v>
      </c>
      <c r="BD52" s="147">
        <f t="shared" si="7"/>
        <v>1.1874788666196995E-3</v>
      </c>
      <c r="BE52" s="147">
        <f t="shared" si="7"/>
        <v>1.1886677308511268E-3</v>
      </c>
      <c r="BF52" s="147">
        <f t="shared" si="7"/>
        <v>1.1898612645662614E-3</v>
      </c>
      <c r="BG52" s="147">
        <f t="shared" si="7"/>
        <v>1.1910305272304085E-3</v>
      </c>
      <c r="BH52" s="147">
        <f t="shared" si="7"/>
        <v>1.1919026144227741E-3</v>
      </c>
    </row>
    <row r="53" spans="1:60" x14ac:dyDescent="0.3">
      <c r="A53" s="104" t="s">
        <v>105</v>
      </c>
      <c r="B53" s="104" t="s">
        <v>92</v>
      </c>
      <c r="C53" s="104"/>
      <c r="D53" s="104"/>
      <c r="E53" s="148">
        <v>1.8540563429871017E-2</v>
      </c>
      <c r="F53" s="148">
        <v>1.7108067279807165E-2</v>
      </c>
      <c r="G53" s="148">
        <v>1.7695872670921538E-2</v>
      </c>
      <c r="H53" s="148">
        <v>1.8245517527465224E-2</v>
      </c>
      <c r="I53" s="81">
        <f>$H53*P21/$O21</f>
        <v>1.6531981629289191E-2</v>
      </c>
      <c r="J53" s="81">
        <f>$H53*Q21/$O21</f>
        <v>1.5791219325713111E-2</v>
      </c>
      <c r="K53" s="81">
        <f t="shared" ref="K53:N64" si="9">$H53*R21/$O21</f>
        <v>1.4959327484246002E-2</v>
      </c>
      <c r="L53" s="81">
        <f t="shared" si="9"/>
        <v>1.3921908570849538E-2</v>
      </c>
      <c r="M53" s="81">
        <f t="shared" si="9"/>
        <v>1.2876765269065518E-2</v>
      </c>
      <c r="N53" s="81">
        <f>$H53*U21/$O21</f>
        <v>1.1972387876440921E-2</v>
      </c>
      <c r="O53" t="s">
        <v>108</v>
      </c>
      <c r="AD53" s="121" t="s">
        <v>199</v>
      </c>
      <c r="AE53" s="147">
        <f t="shared" si="8"/>
        <v>6.2499544120174916E-3</v>
      </c>
      <c r="AF53" s="147">
        <f t="shared" si="7"/>
        <v>6.2175743290314748E-3</v>
      </c>
      <c r="AG53" s="147">
        <f t="shared" si="7"/>
        <v>6.214172546744768E-3</v>
      </c>
      <c r="AH53" s="147">
        <f t="shared" si="7"/>
        <v>6.2423309166095182E-3</v>
      </c>
      <c r="AI53" s="147">
        <f t="shared" si="7"/>
        <v>6.2699227107618251E-3</v>
      </c>
      <c r="AJ53" s="147">
        <f t="shared" si="7"/>
        <v>6.2806006841597817E-3</v>
      </c>
      <c r="AK53" s="147">
        <f t="shared" si="7"/>
        <v>6.3028608188856385E-3</v>
      </c>
      <c r="AL53" s="147">
        <f t="shared" si="7"/>
        <v>6.3284815252977449E-3</v>
      </c>
      <c r="AM53" s="147">
        <f t="shared" si="7"/>
        <v>6.3581355094170624E-3</v>
      </c>
      <c r="AN53" s="147">
        <f t="shared" si="7"/>
        <v>6.3925585844822894E-3</v>
      </c>
      <c r="AO53" s="147">
        <f t="shared" si="7"/>
        <v>6.3444736534212344E-3</v>
      </c>
      <c r="AP53" s="147">
        <f t="shared" si="7"/>
        <v>6.3064144030867209E-3</v>
      </c>
      <c r="AQ53" s="147">
        <f t="shared" si="7"/>
        <v>6.278312471338492E-3</v>
      </c>
      <c r="AR53" s="147">
        <f t="shared" si="7"/>
        <v>6.2614109246499359E-3</v>
      </c>
      <c r="AS53" s="147">
        <f t="shared" si="7"/>
        <v>6.2517882394067109E-3</v>
      </c>
      <c r="AT53" s="147">
        <f t="shared" si="7"/>
        <v>6.2516658092723002E-3</v>
      </c>
      <c r="AU53" s="147">
        <f t="shared" si="7"/>
        <v>6.2559745709892187E-3</v>
      </c>
      <c r="AV53" s="147">
        <f t="shared" si="7"/>
        <v>6.2670380357721803E-3</v>
      </c>
      <c r="AW53" s="147">
        <f t="shared" si="7"/>
        <v>6.2799259310300564E-3</v>
      </c>
      <c r="AX53" s="147">
        <f t="shared" si="7"/>
        <v>6.2972824199931379E-3</v>
      </c>
      <c r="AY53" s="147">
        <f t="shared" si="7"/>
        <v>6.3097649239082345E-3</v>
      </c>
      <c r="AZ53" s="147">
        <f t="shared" si="7"/>
        <v>6.3250123079580858E-3</v>
      </c>
      <c r="BA53" s="147">
        <f t="shared" si="7"/>
        <v>6.3383702080519371E-3</v>
      </c>
      <c r="BB53" s="147">
        <f t="shared" si="7"/>
        <v>6.3557601668906873E-3</v>
      </c>
      <c r="BC53" s="147">
        <f t="shared" si="7"/>
        <v>6.3690969196212944E-3</v>
      </c>
      <c r="BD53" s="147">
        <f t="shared" si="7"/>
        <v>6.3810366911530884E-3</v>
      </c>
      <c r="BE53" s="147">
        <f t="shared" si="7"/>
        <v>6.3821019313197716E-3</v>
      </c>
      <c r="BF53" s="147">
        <f t="shared" si="7"/>
        <v>6.3960582480813996E-3</v>
      </c>
      <c r="BG53" s="147">
        <f t="shared" si="7"/>
        <v>6.3880276791864008E-3</v>
      </c>
      <c r="BH53" s="147">
        <f t="shared" si="7"/>
        <v>6.4073759469652405E-3</v>
      </c>
    </row>
    <row r="54" spans="1:60" x14ac:dyDescent="0.3">
      <c r="A54" s="104"/>
      <c r="B54" s="104" t="s">
        <v>93</v>
      </c>
      <c r="C54" s="104"/>
      <c r="D54" s="104"/>
      <c r="E54" s="148">
        <v>5.5851020806272807E-2</v>
      </c>
      <c r="F54" s="148">
        <v>5.7214665401109782E-2</v>
      </c>
      <c r="G54" s="148">
        <v>5.4243819253650828E-2</v>
      </c>
      <c r="H54" s="148">
        <v>5.5863793255042711E-2</v>
      </c>
      <c r="I54" s="81">
        <f t="shared" ref="I54:J64" si="10">$H54*P22/$O22</f>
        <v>6.2033315933252606E-2</v>
      </c>
      <c r="J54" s="81">
        <f t="shared" si="10"/>
        <v>6.1052314005782218E-2</v>
      </c>
      <c r="K54" s="81">
        <f t="shared" si="9"/>
        <v>6.0238693002716198E-2</v>
      </c>
      <c r="L54" s="81">
        <f t="shared" si="9"/>
        <v>5.8906536609879656E-2</v>
      </c>
      <c r="M54" s="81">
        <f t="shared" si="9"/>
        <v>5.7812382042849289E-2</v>
      </c>
      <c r="N54" s="81">
        <f t="shared" si="9"/>
        <v>5.697105654091468E-2</v>
      </c>
      <c r="O54" t="s">
        <v>108</v>
      </c>
      <c r="AD54" s="121" t="s">
        <v>200</v>
      </c>
      <c r="AE54" s="147">
        <f t="shared" si="8"/>
        <v>4.602965229599424E-4</v>
      </c>
      <c r="AF54" s="147">
        <f t="shared" si="7"/>
        <v>4.5626525977964996E-4</v>
      </c>
      <c r="AG54" s="147">
        <f t="shared" si="7"/>
        <v>4.5707060110690125E-4</v>
      </c>
      <c r="AH54" s="147">
        <f t="shared" si="7"/>
        <v>4.5883188637769269E-4</v>
      </c>
      <c r="AI54" s="147">
        <f t="shared" si="7"/>
        <v>4.5987356584222352E-4</v>
      </c>
      <c r="AJ54" s="147">
        <f t="shared" si="7"/>
        <v>4.5894188324318333E-4</v>
      </c>
      <c r="AK54" s="147">
        <f t="shared" si="7"/>
        <v>4.5778701265821744E-4</v>
      </c>
      <c r="AL54" s="147">
        <f t="shared" si="7"/>
        <v>4.5650475753187668E-4</v>
      </c>
      <c r="AM54" s="147">
        <f t="shared" si="7"/>
        <v>4.5522418898351249E-4</v>
      </c>
      <c r="AN54" s="147">
        <f t="shared" si="7"/>
        <v>4.5410505244914177E-4</v>
      </c>
      <c r="AO54" s="147">
        <f t="shared" si="7"/>
        <v>4.5044855816023195E-4</v>
      </c>
      <c r="AP54" s="147">
        <f t="shared" si="7"/>
        <v>4.47244971648742E-4</v>
      </c>
      <c r="AQ54" s="147">
        <f t="shared" si="7"/>
        <v>4.4452709203736694E-4</v>
      </c>
      <c r="AR54" s="147">
        <f t="shared" si="7"/>
        <v>4.4247540087101174E-4</v>
      </c>
      <c r="AS54" s="147">
        <f t="shared" si="7"/>
        <v>4.4083137415934346E-4</v>
      </c>
      <c r="AT54" s="147">
        <f t="shared" si="7"/>
        <v>4.3955589598492607E-4</v>
      </c>
      <c r="AU54" s="147">
        <f t="shared" si="7"/>
        <v>4.3868028168307221E-4</v>
      </c>
      <c r="AV54" s="147">
        <f t="shared" si="7"/>
        <v>4.3806619077904667E-4</v>
      </c>
      <c r="AW54" s="147">
        <f t="shared" si="7"/>
        <v>4.3769630098671163E-4</v>
      </c>
      <c r="AX54" s="147">
        <f t="shared" si="7"/>
        <v>4.3759612594247439E-4</v>
      </c>
      <c r="AY54" s="147">
        <f t="shared" si="7"/>
        <v>4.3786211401717365E-4</v>
      </c>
      <c r="AZ54" s="147">
        <f t="shared" si="7"/>
        <v>4.3825637664418344E-4</v>
      </c>
      <c r="BA54" s="147">
        <f t="shared" si="7"/>
        <v>4.3879272311892576E-4</v>
      </c>
      <c r="BB54" s="147">
        <f t="shared" si="7"/>
        <v>4.394363380969598E-4</v>
      </c>
      <c r="BC54" s="147">
        <f t="shared" si="7"/>
        <v>4.4019775624925254E-4</v>
      </c>
      <c r="BD54" s="147">
        <f t="shared" si="7"/>
        <v>4.4075054434937445E-4</v>
      </c>
      <c r="BE54" s="147">
        <f t="shared" si="7"/>
        <v>4.4133890346051798E-4</v>
      </c>
      <c r="BF54" s="147">
        <f t="shared" si="7"/>
        <v>4.4191874775172758E-4</v>
      </c>
      <c r="BG54" s="147">
        <f t="shared" si="7"/>
        <v>4.4250738218615986E-4</v>
      </c>
      <c r="BH54" s="147">
        <f t="shared" si="7"/>
        <v>4.4299900134573311E-4</v>
      </c>
    </row>
    <row r="55" spans="1:60" ht="28.8" x14ac:dyDescent="0.3">
      <c r="A55" s="104"/>
      <c r="B55" s="104" t="s">
        <v>94</v>
      </c>
      <c r="C55" s="104"/>
      <c r="D55" s="104"/>
      <c r="E55" s="148">
        <f>1-E56-E53-E54</f>
        <v>0.7881861478658464</v>
      </c>
      <c r="F55" s="148">
        <f>1-F56-F53-F54</f>
        <v>0.78708864599088446</v>
      </c>
      <c r="G55" s="148">
        <f>1-G56-G53-G54</f>
        <v>0.79424354857108603</v>
      </c>
      <c r="H55" s="148">
        <f>1-H56-H53-H54</f>
        <v>0.79677969884638189</v>
      </c>
      <c r="I55" s="81">
        <f>1-I56-I53-I54</f>
        <v>0.79495862862629685</v>
      </c>
      <c r="J55" s="81">
        <f t="shared" ref="J55:N55" si="11">1-J56-J53-J54</f>
        <v>0.7988904572577824</v>
      </c>
      <c r="K55" s="81">
        <f t="shared" si="11"/>
        <v>0.80232087121243478</v>
      </c>
      <c r="L55" s="81">
        <f t="shared" si="11"/>
        <v>0.80667527000368133</v>
      </c>
      <c r="M55" s="81">
        <f t="shared" si="11"/>
        <v>0.81050213251462855</v>
      </c>
      <c r="N55" s="81">
        <f t="shared" si="11"/>
        <v>0.81352216879664152</v>
      </c>
      <c r="O55" t="s">
        <v>110</v>
      </c>
      <c r="AD55" s="121" t="s">
        <v>201</v>
      </c>
      <c r="AE55" s="147">
        <f t="shared" si="8"/>
        <v>1.5051307751957151E-4</v>
      </c>
      <c r="AF55" s="147">
        <f t="shared" si="7"/>
        <v>1.5054625750228172E-4</v>
      </c>
      <c r="AG55" s="147">
        <f t="shared" si="7"/>
        <v>1.5302341760175218E-4</v>
      </c>
      <c r="AH55" s="147">
        <f t="shared" si="7"/>
        <v>1.5782955146793716E-4</v>
      </c>
      <c r="AI55" s="147">
        <f t="shared" si="7"/>
        <v>1.611853074451669E-4</v>
      </c>
      <c r="AJ55" s="147">
        <f t="shared" si="7"/>
        <v>1.6309444581330242E-4</v>
      </c>
      <c r="AK55" s="147">
        <f t="shared" si="7"/>
        <v>1.6428914423687515E-4</v>
      </c>
      <c r="AL55" s="147">
        <f t="shared" si="7"/>
        <v>1.6509547728665592E-4</v>
      </c>
      <c r="AM55" s="147">
        <f t="shared" si="7"/>
        <v>1.6569866898049211E-4</v>
      </c>
      <c r="AN55" s="147">
        <f t="shared" si="7"/>
        <v>1.6628716006299182E-4</v>
      </c>
      <c r="AO55" s="147">
        <f t="shared" si="7"/>
        <v>1.6392997238412279E-4</v>
      </c>
      <c r="AP55" s="147">
        <f t="shared" si="7"/>
        <v>1.6192858505847019E-4</v>
      </c>
      <c r="AQ55" s="147">
        <f t="shared" si="7"/>
        <v>1.6024877504699269E-4</v>
      </c>
      <c r="AR55" s="147">
        <f t="shared" si="7"/>
        <v>1.5901093006882909E-4</v>
      </c>
      <c r="AS55" s="147">
        <f t="shared" si="7"/>
        <v>1.5800413237134734E-4</v>
      </c>
      <c r="AT55" s="147">
        <f t="shared" si="7"/>
        <v>1.5723674948150637E-4</v>
      </c>
      <c r="AU55" s="147">
        <f t="shared" si="7"/>
        <v>1.5675158814780924E-4</v>
      </c>
      <c r="AV55" s="147">
        <f t="shared" si="7"/>
        <v>1.5641723192790153E-4</v>
      </c>
      <c r="AW55" s="147">
        <f t="shared" si="7"/>
        <v>1.5622529899787181E-4</v>
      </c>
      <c r="AX55" s="147">
        <f t="shared" si="7"/>
        <v>1.5622801001342331E-4</v>
      </c>
      <c r="AY55" s="147">
        <f t="shared" si="7"/>
        <v>1.5624380368391616E-4</v>
      </c>
      <c r="AZ55" s="147">
        <f t="shared" si="7"/>
        <v>1.5627067427529721E-4</v>
      </c>
      <c r="BA55" s="147">
        <f t="shared" si="7"/>
        <v>1.5632916375452191E-4</v>
      </c>
      <c r="BB55" s="147">
        <f t="shared" si="7"/>
        <v>1.5639396043419721E-4</v>
      </c>
      <c r="BC55" s="147">
        <f t="shared" si="7"/>
        <v>1.5647654482443607E-4</v>
      </c>
      <c r="BD55" s="147">
        <f t="shared" si="7"/>
        <v>1.5656323755009526E-4</v>
      </c>
      <c r="BE55" s="147">
        <f t="shared" si="7"/>
        <v>1.5664701163213137E-4</v>
      </c>
      <c r="BF55" s="147">
        <f t="shared" si="7"/>
        <v>1.5670095704654663E-4</v>
      </c>
      <c r="BG55" s="147">
        <f t="shared" si="7"/>
        <v>1.5673150520024569E-4</v>
      </c>
      <c r="BH55" s="147">
        <f t="shared" si="7"/>
        <v>1.5667734050899638E-4</v>
      </c>
    </row>
    <row r="56" spans="1:60" x14ac:dyDescent="0.3">
      <c r="A56" s="104"/>
      <c r="B56" s="104" t="s">
        <v>95</v>
      </c>
      <c r="C56" s="104"/>
      <c r="D56" s="104"/>
      <c r="E56" s="148">
        <v>0.13742226789800979</v>
      </c>
      <c r="F56" s="148">
        <v>0.1385886213281986</v>
      </c>
      <c r="G56" s="148">
        <v>0.13381675950434152</v>
      </c>
      <c r="H56" s="148">
        <v>0.12911099037111018</v>
      </c>
      <c r="I56" s="81">
        <f t="shared" si="10"/>
        <v>0.12647607381116147</v>
      </c>
      <c r="J56" s="81">
        <f t="shared" si="10"/>
        <v>0.12426600941072219</v>
      </c>
      <c r="K56" s="81">
        <f t="shared" si="9"/>
        <v>0.12248110830060296</v>
      </c>
      <c r="L56" s="81">
        <f t="shared" si="9"/>
        <v>0.12049628481558954</v>
      </c>
      <c r="M56" s="81">
        <f t="shared" si="9"/>
        <v>0.11880872017345658</v>
      </c>
      <c r="N56" s="81">
        <f>$H56*U24/$O24</f>
        <v>0.11753438678600277</v>
      </c>
      <c r="O56" t="s">
        <v>108</v>
      </c>
      <c r="AD56" s="121" t="s">
        <v>202</v>
      </c>
      <c r="AE56" s="147">
        <f t="shared" si="8"/>
        <v>7.0574659205988363E-2</v>
      </c>
      <c r="AF56" s="147">
        <f t="shared" si="7"/>
        <v>7.0189633260888826E-2</v>
      </c>
      <c r="AG56" s="147">
        <f t="shared" si="7"/>
        <v>6.9948590709908498E-2</v>
      </c>
      <c r="AH56" s="147">
        <f t="shared" si="7"/>
        <v>7.0229675435246774E-2</v>
      </c>
      <c r="AI56" s="147">
        <f t="shared" si="7"/>
        <v>6.9783604087668746E-2</v>
      </c>
      <c r="AJ56" s="147">
        <f t="shared" si="7"/>
        <v>6.971670918756824E-2</v>
      </c>
      <c r="AK56" s="147">
        <f t="shared" si="7"/>
        <v>6.9652055532348545E-2</v>
      </c>
      <c r="AL56" s="147">
        <f t="shared" si="7"/>
        <v>6.9578877816440454E-2</v>
      </c>
      <c r="AM56" s="147">
        <f t="shared" si="7"/>
        <v>6.950820152965087E-2</v>
      </c>
      <c r="AN56" s="147">
        <f t="shared" si="7"/>
        <v>6.9438752320848646E-2</v>
      </c>
      <c r="AO56" s="147">
        <f t="shared" si="7"/>
        <v>6.9381301743192098E-2</v>
      </c>
      <c r="AP56" s="147">
        <f t="shared" si="7"/>
        <v>6.931053433102688E-2</v>
      </c>
      <c r="AQ56" s="147">
        <f t="shared" si="7"/>
        <v>6.9249488718322316E-2</v>
      </c>
      <c r="AR56" s="147">
        <f t="shared" si="7"/>
        <v>6.9198006128409553E-2</v>
      </c>
      <c r="AS56" s="147">
        <f t="shared" si="7"/>
        <v>6.9157285026442153E-2</v>
      </c>
      <c r="AT56" s="147">
        <f t="shared" si="7"/>
        <v>6.9121013635355735E-2</v>
      </c>
      <c r="AU56" s="147">
        <f t="shared" si="7"/>
        <v>6.9091103884596008E-2</v>
      </c>
      <c r="AV56" s="147">
        <f t="shared" si="7"/>
        <v>6.9067385116845431E-2</v>
      </c>
      <c r="AW56" s="147">
        <f t="shared" si="7"/>
        <v>6.9047786489657259E-2</v>
      </c>
      <c r="AX56" s="147">
        <f t="shared" si="7"/>
        <v>6.9039428565140629E-2</v>
      </c>
      <c r="AY56" s="147">
        <f t="shared" si="7"/>
        <v>6.901202174597354E-2</v>
      </c>
      <c r="AZ56" s="147">
        <f t="shared" si="7"/>
        <v>6.902437673446532E-2</v>
      </c>
      <c r="BA56" s="147">
        <f t="shared" si="7"/>
        <v>6.9046310137536648E-2</v>
      </c>
      <c r="BB56" s="147">
        <f t="shared" si="7"/>
        <v>6.9073514191112115E-2</v>
      </c>
      <c r="BC56" s="147">
        <f t="shared" si="7"/>
        <v>6.9110699343781501E-2</v>
      </c>
      <c r="BD56" s="147">
        <f t="shared" si="7"/>
        <v>6.916109075778426E-2</v>
      </c>
      <c r="BE56" s="147">
        <f t="shared" si="7"/>
        <v>6.9205292140119765E-2</v>
      </c>
      <c r="BF56" s="147">
        <f t="shared" si="7"/>
        <v>6.9250679096223983E-2</v>
      </c>
      <c r="BG56" s="147">
        <f t="shared" si="7"/>
        <v>6.929811075649786E-2</v>
      </c>
      <c r="BH56" s="147">
        <f t="shared" si="7"/>
        <v>6.9335263051747864E-2</v>
      </c>
    </row>
    <row r="57" spans="1:60" x14ac:dyDescent="0.3">
      <c r="A57" s="104"/>
      <c r="C57" s="104" t="s">
        <v>96</v>
      </c>
      <c r="D57" s="104"/>
      <c r="E57" s="149">
        <v>0.12554976195873951</v>
      </c>
      <c r="F57" s="149">
        <v>0.13290116164269863</v>
      </c>
      <c r="G57" s="149">
        <v>0.15010351214905748</v>
      </c>
      <c r="H57" s="149">
        <v>0.14469911501288316</v>
      </c>
      <c r="I57" s="81">
        <f t="shared" si="10"/>
        <v>0.14068538452202337</v>
      </c>
      <c r="J57" s="81">
        <f t="shared" si="10"/>
        <v>0.1348974536578936</v>
      </c>
      <c r="K57" s="81">
        <f t="shared" si="9"/>
        <v>0.12904617476349442</v>
      </c>
      <c r="L57" s="81">
        <f t="shared" si="9"/>
        <v>0.12117375006340325</v>
      </c>
      <c r="M57" s="81">
        <f t="shared" si="9"/>
        <v>0.11316257435143363</v>
      </c>
      <c r="N57" s="81">
        <f>$H57*U25/$O25</f>
        <v>0.10645890576599114</v>
      </c>
      <c r="O57" t="s">
        <v>108</v>
      </c>
      <c r="AD57" s="113" t="s">
        <v>203</v>
      </c>
      <c r="AE57" s="145">
        <f>AE13/AE44</f>
        <v>6.425382837847801E-3</v>
      </c>
      <c r="AF57" s="145">
        <f t="shared" ref="AF57:BH57" si="12">AF13/AF44</f>
        <v>6.3574000217976757E-3</v>
      </c>
      <c r="AG57" s="145">
        <f t="shared" si="12"/>
        <v>6.3043086322257282E-3</v>
      </c>
      <c r="AH57" s="145">
        <f t="shared" si="12"/>
        <v>6.1734680946059061E-3</v>
      </c>
      <c r="AI57" s="145">
        <f t="shared" si="12"/>
        <v>6.1042672037239657E-3</v>
      </c>
      <c r="AJ57" s="145">
        <f t="shared" si="12"/>
        <v>6.0770149046836738E-3</v>
      </c>
      <c r="AK57" s="145">
        <f t="shared" si="12"/>
        <v>6.0608317783612132E-3</v>
      </c>
      <c r="AL57" s="145">
        <f t="shared" si="12"/>
        <v>6.0409121166311534E-3</v>
      </c>
      <c r="AM57" s="145">
        <f t="shared" si="12"/>
        <v>6.0171606551270287E-3</v>
      </c>
      <c r="AN57" s="145">
        <f t="shared" si="12"/>
        <v>5.9838780603469009E-3</v>
      </c>
      <c r="AO57" s="145">
        <f t="shared" si="12"/>
        <v>6.0406535190263653E-3</v>
      </c>
      <c r="AP57" s="145">
        <f t="shared" si="12"/>
        <v>6.0566711871655986E-3</v>
      </c>
      <c r="AQ57" s="145">
        <f t="shared" si="12"/>
        <v>6.0498035633025299E-3</v>
      </c>
      <c r="AR57" s="145">
        <f t="shared" si="12"/>
        <v>6.0296954534711589E-3</v>
      </c>
      <c r="AS57" s="145">
        <f t="shared" si="12"/>
        <v>6.0019368348668166E-3</v>
      </c>
      <c r="AT57" s="145">
        <f t="shared" si="12"/>
        <v>5.974020466012986E-3</v>
      </c>
      <c r="AU57" s="145">
        <f t="shared" si="12"/>
        <v>5.9515322262208899E-3</v>
      </c>
      <c r="AV57" s="145">
        <f t="shared" si="12"/>
        <v>5.9336224244132367E-3</v>
      </c>
      <c r="AW57" s="145">
        <f t="shared" si="12"/>
        <v>5.9209547483921555E-3</v>
      </c>
      <c r="AX57" s="145">
        <f t="shared" si="12"/>
        <v>5.9106214338493102E-3</v>
      </c>
      <c r="AY57" s="145">
        <f t="shared" si="12"/>
        <v>5.9050135525719428E-3</v>
      </c>
      <c r="AZ57" s="145">
        <f t="shared" si="12"/>
        <v>5.9005916667629627E-3</v>
      </c>
      <c r="BA57" s="145">
        <f t="shared" si="12"/>
        <v>5.896309942055972E-3</v>
      </c>
      <c r="BB57" s="145">
        <f t="shared" si="12"/>
        <v>5.8908563360288609E-3</v>
      </c>
      <c r="BC57" s="145">
        <f t="shared" si="12"/>
        <v>5.8854467159192786E-3</v>
      </c>
      <c r="BD57" s="145">
        <f t="shared" si="12"/>
        <v>5.8801313621450538E-3</v>
      </c>
      <c r="BE57" s="145">
        <f t="shared" si="12"/>
        <v>5.874513673508424E-3</v>
      </c>
      <c r="BF57" s="145">
        <f t="shared" si="12"/>
        <v>5.868909484031605E-3</v>
      </c>
      <c r="BG57" s="145">
        <f t="shared" si="12"/>
        <v>5.8633532896818384E-3</v>
      </c>
      <c r="BH57" s="145">
        <f t="shared" si="12"/>
        <v>5.8557248502723131E-3</v>
      </c>
    </row>
    <row r="58" spans="1:60" x14ac:dyDescent="0.3">
      <c r="A58" s="104"/>
      <c r="C58" s="104" t="s">
        <v>97</v>
      </c>
      <c r="D58" s="104"/>
      <c r="E58" s="149">
        <v>0.87445023804126043</v>
      </c>
      <c r="F58" s="149">
        <v>0.86709883835730128</v>
      </c>
      <c r="G58" s="149">
        <v>0.84989648785094241</v>
      </c>
      <c r="H58" s="149">
        <v>0.85530088498711687</v>
      </c>
      <c r="I58" s="81">
        <f>1-I57</f>
        <v>0.85931461547797661</v>
      </c>
      <c r="J58" s="81">
        <f t="shared" ref="J58:N58" si="13">1-J57</f>
        <v>0.86510254634210637</v>
      </c>
      <c r="K58" s="81">
        <f t="shared" si="13"/>
        <v>0.87095382523650555</v>
      </c>
      <c r="L58" s="81">
        <f t="shared" si="13"/>
        <v>0.87882624993659675</v>
      </c>
      <c r="M58" s="81">
        <f t="shared" si="13"/>
        <v>0.88683742564856638</v>
      </c>
      <c r="N58" s="81">
        <f t="shared" si="13"/>
        <v>0.89354109423400885</v>
      </c>
      <c r="O58" t="s">
        <v>110</v>
      </c>
      <c r="AD58" s="123" t="s">
        <v>204</v>
      </c>
      <c r="AE58" s="145">
        <f>AE14/AE44</f>
        <v>4.9252295367409035E-2</v>
      </c>
      <c r="AF58" s="145">
        <f t="shared" ref="AF58:BH58" si="14">AF14/AF44</f>
        <v>4.9002153141327665E-2</v>
      </c>
      <c r="AG58" s="145">
        <f t="shared" si="14"/>
        <v>5.0388936554378573E-2</v>
      </c>
      <c r="AH58" s="145">
        <f t="shared" si="14"/>
        <v>4.9867326551570487E-2</v>
      </c>
      <c r="AI58" s="145">
        <f t="shared" si="14"/>
        <v>5.0287087410579731E-2</v>
      </c>
      <c r="AJ58" s="145">
        <f t="shared" si="14"/>
        <v>5.0445431839164903E-2</v>
      </c>
      <c r="AK58" s="145">
        <f t="shared" si="14"/>
        <v>5.0089128563066271E-2</v>
      </c>
      <c r="AL58" s="145">
        <f t="shared" si="14"/>
        <v>4.9578232567830484E-2</v>
      </c>
      <c r="AM58" s="145">
        <f t="shared" si="14"/>
        <v>4.8768867460396589E-2</v>
      </c>
      <c r="AN58" s="145">
        <f t="shared" si="14"/>
        <v>4.8001329658102249E-2</v>
      </c>
      <c r="AO58" s="145">
        <f t="shared" si="14"/>
        <v>4.7411414535062361E-2</v>
      </c>
      <c r="AP58" s="145">
        <f t="shared" si="14"/>
        <v>4.6744956894674561E-2</v>
      </c>
      <c r="AQ58" s="145">
        <f t="shared" si="14"/>
        <v>4.6090529651944968E-2</v>
      </c>
      <c r="AR58" s="145">
        <f t="shared" si="14"/>
        <v>4.5498240192501135E-2</v>
      </c>
      <c r="AS58" s="145">
        <f t="shared" si="14"/>
        <v>4.5006998636734706E-2</v>
      </c>
      <c r="AT58" s="145">
        <f t="shared" si="14"/>
        <v>4.4385654993413674E-2</v>
      </c>
      <c r="AU58" s="145">
        <f t="shared" si="14"/>
        <v>4.376169738720715E-2</v>
      </c>
      <c r="AV58" s="145">
        <f t="shared" si="14"/>
        <v>4.3245815547543448E-2</v>
      </c>
      <c r="AW58" s="145">
        <f t="shared" si="14"/>
        <v>4.2710866983031545E-2</v>
      </c>
      <c r="AX58" s="145">
        <f t="shared" si="14"/>
        <v>4.2264981197568142E-2</v>
      </c>
      <c r="AY58" s="145">
        <f t="shared" si="14"/>
        <v>4.176869512979333E-2</v>
      </c>
      <c r="AZ58" s="145">
        <f t="shared" si="14"/>
        <v>4.1223733752164274E-2</v>
      </c>
      <c r="BA58" s="145">
        <f t="shared" si="14"/>
        <v>4.0690928098916432E-2</v>
      </c>
      <c r="BB58" s="145">
        <f t="shared" si="14"/>
        <v>4.0285984164907508E-2</v>
      </c>
      <c r="BC58" s="145">
        <f t="shared" si="14"/>
        <v>3.9873047083005861E-2</v>
      </c>
      <c r="BD58" s="145">
        <f t="shared" si="14"/>
        <v>3.9498297133462042E-2</v>
      </c>
      <c r="BE58" s="145">
        <f t="shared" si="14"/>
        <v>3.9182222389774618E-2</v>
      </c>
      <c r="BF58" s="145">
        <f t="shared" si="14"/>
        <v>3.8844974806909641E-2</v>
      </c>
      <c r="BG58" s="145">
        <f t="shared" si="14"/>
        <v>3.8523431127838806E-2</v>
      </c>
      <c r="BH58" s="145">
        <f t="shared" si="14"/>
        <v>3.8370288901444768E-2</v>
      </c>
    </row>
    <row r="59" spans="1:60" x14ac:dyDescent="0.3">
      <c r="A59" s="104"/>
      <c r="D59" t="s">
        <v>98</v>
      </c>
      <c r="E59" s="149">
        <v>1.4263036559002542E-2</v>
      </c>
      <c r="F59" s="149">
        <v>1.1430776950094559E-2</v>
      </c>
      <c r="G59" s="149">
        <v>9.8691464175519866E-3</v>
      </c>
      <c r="H59" s="149">
        <v>1.8221975435514078E-2</v>
      </c>
      <c r="I59" s="81">
        <f t="shared" si="10"/>
        <v>1.6035800044908906E-2</v>
      </c>
      <c r="J59" s="81">
        <f t="shared" si="10"/>
        <v>1.5070138746035555E-2</v>
      </c>
      <c r="K59" s="81">
        <f t="shared" si="9"/>
        <v>1.4091151827932335E-2</v>
      </c>
      <c r="L59" s="81">
        <f t="shared" si="9"/>
        <v>1.2962143907715615E-2</v>
      </c>
      <c r="M59" s="81">
        <f t="shared" si="9"/>
        <v>1.1903392517945354E-2</v>
      </c>
      <c r="N59" s="81">
        <f t="shared" si="9"/>
        <v>1.0997789744248941E-2</v>
      </c>
      <c r="O59" t="s">
        <v>236</v>
      </c>
      <c r="AD59" s="124" t="s">
        <v>205</v>
      </c>
      <c r="AE59" s="150">
        <f>AE15/AE44</f>
        <v>2.8070756737763304E-2</v>
      </c>
      <c r="AF59" s="150">
        <f t="shared" ref="AF59:BH59" si="15">AF15/AF44</f>
        <v>2.7649323243821872E-2</v>
      </c>
      <c r="AG59" s="150">
        <f t="shared" si="15"/>
        <v>2.7110381826523221E-2</v>
      </c>
      <c r="AH59" s="150">
        <f t="shared" si="15"/>
        <v>2.672886752517448E-2</v>
      </c>
      <c r="AI59" s="150">
        <f t="shared" si="15"/>
        <v>2.6461441468166591E-2</v>
      </c>
      <c r="AJ59" s="150">
        <f t="shared" si="15"/>
        <v>2.6324419137887162E-2</v>
      </c>
      <c r="AK59" s="150">
        <f t="shared" si="15"/>
        <v>2.6241865767003273E-2</v>
      </c>
      <c r="AL59" s="150">
        <f t="shared" si="15"/>
        <v>2.6218407093356232E-2</v>
      </c>
      <c r="AM59" s="150">
        <f t="shared" si="15"/>
        <v>2.6269282251465732E-2</v>
      </c>
      <c r="AN59" s="150">
        <f t="shared" si="15"/>
        <v>2.6419459930914893E-2</v>
      </c>
      <c r="AO59" s="150">
        <f t="shared" si="15"/>
        <v>2.6133691175761989E-2</v>
      </c>
      <c r="AP59" s="150">
        <f t="shared" si="15"/>
        <v>2.588565257181305E-2</v>
      </c>
      <c r="AQ59" s="150">
        <f t="shared" si="15"/>
        <v>2.5648713258284193E-2</v>
      </c>
      <c r="AR59" s="150">
        <f t="shared" si="15"/>
        <v>2.5429843267878782E-2</v>
      </c>
      <c r="AS59" s="150">
        <f t="shared" si="15"/>
        <v>2.5225065939073296E-2</v>
      </c>
      <c r="AT59" s="150">
        <f t="shared" si="15"/>
        <v>2.5037726466929078E-2</v>
      </c>
      <c r="AU59" s="150">
        <f t="shared" si="15"/>
        <v>2.4872074147624993E-2</v>
      </c>
      <c r="AV59" s="150">
        <f t="shared" si="15"/>
        <v>2.4721083799577617E-2</v>
      </c>
      <c r="AW59" s="150">
        <f t="shared" si="15"/>
        <v>2.4588398102465426E-2</v>
      </c>
      <c r="AX59" s="150">
        <f t="shared" si="15"/>
        <v>2.4467784119603E-2</v>
      </c>
      <c r="AY59" s="150">
        <f t="shared" si="15"/>
        <v>2.4365193611344847E-2</v>
      </c>
      <c r="AZ59" s="150">
        <f t="shared" si="15"/>
        <v>2.4269691407874543E-2</v>
      </c>
      <c r="BA59" s="150">
        <f t="shared" si="15"/>
        <v>2.4182896601224402E-2</v>
      </c>
      <c r="BB59" s="150">
        <f t="shared" si="15"/>
        <v>2.4101102522614545E-2</v>
      </c>
      <c r="BC59" s="150">
        <f t="shared" si="15"/>
        <v>2.4026505301185851E-2</v>
      </c>
      <c r="BD59" s="150">
        <f t="shared" si="15"/>
        <v>2.3949936123650227E-2</v>
      </c>
      <c r="BE59" s="150">
        <f t="shared" si="15"/>
        <v>2.386736164607417E-2</v>
      </c>
      <c r="BF59" s="150">
        <f t="shared" si="15"/>
        <v>2.3786737097046467E-2</v>
      </c>
      <c r="BG59" s="150">
        <f t="shared" si="15"/>
        <v>2.3707357918514388E-2</v>
      </c>
      <c r="BH59" s="150">
        <f t="shared" si="15"/>
        <v>2.3625274033179672E-2</v>
      </c>
    </row>
    <row r="60" spans="1:60" x14ac:dyDescent="0.3">
      <c r="A60" s="104"/>
      <c r="D60" t="s">
        <v>99</v>
      </c>
      <c r="E60" s="149">
        <v>9.508691039335028E-3</v>
      </c>
      <c r="F60" s="149">
        <v>7.620517966729707E-3</v>
      </c>
      <c r="G60" s="149">
        <v>6.579430945034658E-3</v>
      </c>
      <c r="H60" s="149">
        <v>1.2147983623676053E-2</v>
      </c>
      <c r="I60" s="81">
        <f t="shared" si="10"/>
        <v>1.0890225011311629E-2</v>
      </c>
      <c r="J60" s="81">
        <f t="shared" si="10"/>
        <v>1.0509097777001451E-2</v>
      </c>
      <c r="K60" s="81">
        <f t="shared" si="9"/>
        <v>1.0007652026107285E-2</v>
      </c>
      <c r="L60" s="81">
        <f t="shared" si="9"/>
        <v>9.3269172059413704E-3</v>
      </c>
      <c r="M60" s="81">
        <f t="shared" si="9"/>
        <v>8.6333295177880472E-3</v>
      </c>
      <c r="N60" s="81">
        <f t="shared" si="9"/>
        <v>8.0177413706970929E-3</v>
      </c>
      <c r="O60" t="s">
        <v>237</v>
      </c>
      <c r="AD60" s="118" t="s">
        <v>206</v>
      </c>
      <c r="AE60" s="147">
        <f>AE16/AE$44</f>
        <v>2.9952997764428153E-3</v>
      </c>
      <c r="AF60" s="147">
        <f t="shared" ref="AF60:BH64" si="16">AF16/AF$44</f>
        <v>2.9305384002155759E-3</v>
      </c>
      <c r="AG60" s="147">
        <f t="shared" si="16"/>
        <v>2.8822510823119855E-3</v>
      </c>
      <c r="AH60" s="147">
        <f t="shared" si="16"/>
        <v>2.8815136352939321E-3</v>
      </c>
      <c r="AI60" s="147">
        <f t="shared" si="16"/>
        <v>2.9084536850752349E-3</v>
      </c>
      <c r="AJ60" s="147">
        <f t="shared" si="16"/>
        <v>2.942103007648203E-3</v>
      </c>
      <c r="AK60" s="147">
        <f t="shared" si="16"/>
        <v>2.982692374557941E-3</v>
      </c>
      <c r="AL60" s="147">
        <f t="shared" si="16"/>
        <v>3.0269858503844406E-3</v>
      </c>
      <c r="AM60" s="147">
        <f t="shared" si="16"/>
        <v>3.0769194740200428E-3</v>
      </c>
      <c r="AN60" s="147">
        <f t="shared" si="16"/>
        <v>3.1318698527800187E-3</v>
      </c>
      <c r="AO60" s="147">
        <f t="shared" si="16"/>
        <v>3.1037828801665683E-3</v>
      </c>
      <c r="AP60" s="147">
        <f t="shared" si="16"/>
        <v>3.0738006110229712E-3</v>
      </c>
      <c r="AQ60" s="147">
        <f t="shared" si="16"/>
        <v>3.0373992538862082E-3</v>
      </c>
      <c r="AR60" s="147">
        <f t="shared" si="16"/>
        <v>3.0001605610392268E-3</v>
      </c>
      <c r="AS60" s="147">
        <f t="shared" si="16"/>
        <v>2.9635250822135019E-3</v>
      </c>
      <c r="AT60" s="147">
        <f t="shared" si="16"/>
        <v>2.9289823902269711E-3</v>
      </c>
      <c r="AU60" s="147">
        <f t="shared" si="16"/>
        <v>2.8969160709641246E-3</v>
      </c>
      <c r="AV60" s="147">
        <f t="shared" si="16"/>
        <v>2.8671186395400048E-3</v>
      </c>
      <c r="AW60" s="147">
        <f t="shared" si="16"/>
        <v>2.8398980998403261E-3</v>
      </c>
      <c r="AX60" s="147">
        <f t="shared" si="16"/>
        <v>2.8142145766495126E-3</v>
      </c>
      <c r="AY60" s="147">
        <f t="shared" si="16"/>
        <v>2.7915769755159363E-3</v>
      </c>
      <c r="AZ60" s="147">
        <f t="shared" si="16"/>
        <v>2.77063730878348E-3</v>
      </c>
      <c r="BA60" s="147">
        <f t="shared" si="16"/>
        <v>2.7511359013116217E-3</v>
      </c>
      <c r="BB60" s="147">
        <f t="shared" si="16"/>
        <v>2.7324734844503657E-3</v>
      </c>
      <c r="BC60" s="147">
        <f t="shared" si="16"/>
        <v>2.7148783926758974E-3</v>
      </c>
      <c r="BD60" s="147">
        <f t="shared" si="16"/>
        <v>2.698239537057643E-3</v>
      </c>
      <c r="BE60" s="147">
        <f t="shared" si="16"/>
        <v>2.6825125073704744E-3</v>
      </c>
      <c r="BF60" s="147">
        <f t="shared" si="16"/>
        <v>2.6677133247388044E-3</v>
      </c>
      <c r="BG60" s="147">
        <f t="shared" si="16"/>
        <v>2.6535573965459883E-3</v>
      </c>
      <c r="BH60" s="147">
        <f t="shared" si="16"/>
        <v>2.6393822747052095E-3</v>
      </c>
    </row>
    <row r="61" spans="1:60" x14ac:dyDescent="0.3">
      <c r="A61" s="104"/>
      <c r="D61" t="s">
        <v>100</v>
      </c>
      <c r="E61" s="149">
        <v>0.175268628498951</v>
      </c>
      <c r="F61" s="149">
        <v>0.17450306843181906</v>
      </c>
      <c r="G61" s="149">
        <v>0.1846907291390672</v>
      </c>
      <c r="H61" s="149">
        <v>0.18518257612172842</v>
      </c>
      <c r="I61" s="81">
        <f t="shared" si="10"/>
        <v>0.168388143800802</v>
      </c>
      <c r="J61" s="81">
        <f t="shared" si="10"/>
        <v>0.16343642683633935</v>
      </c>
      <c r="K61" s="81">
        <f t="shared" si="9"/>
        <v>0.1589046486090063</v>
      </c>
      <c r="L61" s="81">
        <f t="shared" si="9"/>
        <v>0.15261687363671714</v>
      </c>
      <c r="M61" s="81">
        <f t="shared" si="9"/>
        <v>0.14644624554203861</v>
      </c>
      <c r="N61" s="81">
        <f t="shared" si="9"/>
        <v>0.14154439959098841</v>
      </c>
      <c r="O61" t="s">
        <v>238</v>
      </c>
      <c r="AD61" s="121" t="s">
        <v>207</v>
      </c>
      <c r="AE61" s="147">
        <f t="shared" ref="AE61:AT64" si="17">AE17/AE$44</f>
        <v>5.7403371650841216E-3</v>
      </c>
      <c r="AF61" s="147">
        <f t="shared" si="17"/>
        <v>5.6923544165994556E-3</v>
      </c>
      <c r="AG61" s="147">
        <f t="shared" si="17"/>
        <v>5.6293769312911876E-3</v>
      </c>
      <c r="AH61" s="147">
        <f t="shared" si="17"/>
        <v>5.6018200879648389E-3</v>
      </c>
      <c r="AI61" s="147">
        <f t="shared" si="17"/>
        <v>5.6672324809941849E-3</v>
      </c>
      <c r="AJ61" s="147">
        <f t="shared" si="17"/>
        <v>5.7579037412026505E-3</v>
      </c>
      <c r="AK61" s="147">
        <f t="shared" si="17"/>
        <v>5.839556423199172E-3</v>
      </c>
      <c r="AL61" s="147">
        <f t="shared" si="17"/>
        <v>5.9472657832785351E-3</v>
      </c>
      <c r="AM61" s="147">
        <f t="shared" si="17"/>
        <v>6.1016367838382128E-3</v>
      </c>
      <c r="AN61" s="147">
        <f t="shared" si="17"/>
        <v>6.3436321386790492E-3</v>
      </c>
      <c r="AO61" s="147">
        <f t="shared" si="17"/>
        <v>6.130231190385976E-3</v>
      </c>
      <c r="AP61" s="147">
        <f t="shared" si="17"/>
        <v>5.9504323673034831E-3</v>
      </c>
      <c r="AQ61" s="147">
        <f t="shared" si="17"/>
        <v>5.7896616605953941E-3</v>
      </c>
      <c r="AR61" s="147">
        <f t="shared" si="17"/>
        <v>5.6444876277465649E-3</v>
      </c>
      <c r="AS61" s="147">
        <f t="shared" si="17"/>
        <v>5.5102215174685828E-3</v>
      </c>
      <c r="AT61" s="147">
        <f t="shared" si="17"/>
        <v>5.3857896254209912E-3</v>
      </c>
      <c r="AU61" s="147">
        <f t="shared" si="16"/>
        <v>5.2702385681559546E-3</v>
      </c>
      <c r="AV61" s="147">
        <f t="shared" si="16"/>
        <v>5.1611481532611607E-3</v>
      </c>
      <c r="AW61" s="147">
        <f t="shared" si="16"/>
        <v>5.0586983863172641E-3</v>
      </c>
      <c r="AX61" s="147">
        <f t="shared" si="16"/>
        <v>4.9604566901021215E-3</v>
      </c>
      <c r="AY61" s="147">
        <f t="shared" si="16"/>
        <v>4.8726078374114103E-3</v>
      </c>
      <c r="AZ61" s="147">
        <f t="shared" si="16"/>
        <v>4.7889326055543845E-3</v>
      </c>
      <c r="BA61" s="147">
        <f t="shared" si="16"/>
        <v>4.7084398955860775E-3</v>
      </c>
      <c r="BB61" s="147">
        <f t="shared" si="16"/>
        <v>4.6298980243232903E-3</v>
      </c>
      <c r="BC61" s="147">
        <f t="shared" si="16"/>
        <v>4.5539948275143977E-3</v>
      </c>
      <c r="BD61" s="147">
        <f t="shared" si="16"/>
        <v>4.4794812936104454E-3</v>
      </c>
      <c r="BE61" s="147">
        <f t="shared" si="16"/>
        <v>4.4070797914692716E-3</v>
      </c>
      <c r="BF61" s="147">
        <f t="shared" si="16"/>
        <v>4.3371216157354333E-3</v>
      </c>
      <c r="BG61" s="147">
        <f t="shared" si="16"/>
        <v>4.269447613064103E-3</v>
      </c>
      <c r="BH61" s="147">
        <f t="shared" si="16"/>
        <v>4.203082347491476E-3</v>
      </c>
    </row>
    <row r="62" spans="1:60" x14ac:dyDescent="0.3">
      <c r="A62" s="104"/>
      <c r="D62" t="s">
        <v>101</v>
      </c>
      <c r="E62" s="149">
        <v>3.213969479654432E-2</v>
      </c>
      <c r="F62" s="149">
        <v>3.3281871164460221E-2</v>
      </c>
      <c r="G62" s="149">
        <v>3.4230476662592622E-2</v>
      </c>
      <c r="H62" s="149">
        <v>3.3527539739105924E-2</v>
      </c>
      <c r="I62" s="81">
        <f t="shared" si="10"/>
        <v>3.2565325550710407E-2</v>
      </c>
      <c r="J62" s="81">
        <f t="shared" si="10"/>
        <v>3.2483314681291106E-2</v>
      </c>
      <c r="K62" s="81">
        <f t="shared" si="9"/>
        <v>3.223448179152745E-2</v>
      </c>
      <c r="L62" s="81">
        <f t="shared" si="9"/>
        <v>3.1824282886976696E-2</v>
      </c>
      <c r="M62" s="81">
        <f t="shared" si="9"/>
        <v>3.1602165328731988E-2</v>
      </c>
      <c r="N62" s="81">
        <f t="shared" si="9"/>
        <v>3.1392072702679248E-2</v>
      </c>
      <c r="O62" t="s">
        <v>239</v>
      </c>
      <c r="T62" s="83"/>
      <c r="U62" s="83"/>
      <c r="V62" s="83"/>
      <c r="W62" s="83"/>
      <c r="AD62" s="121" t="s">
        <v>208</v>
      </c>
      <c r="AE62" s="147">
        <f t="shared" si="17"/>
        <v>1.0106537561462675E-2</v>
      </c>
      <c r="AF62" s="147">
        <f t="shared" si="16"/>
        <v>1.0002760506402102E-2</v>
      </c>
      <c r="AG62" s="147">
        <f t="shared" si="16"/>
        <v>9.7404935692202207E-3</v>
      </c>
      <c r="AH62" s="147">
        <f t="shared" si="16"/>
        <v>9.5104292628078301E-3</v>
      </c>
      <c r="AI62" s="147">
        <f t="shared" si="16"/>
        <v>9.2810140866945879E-3</v>
      </c>
      <c r="AJ62" s="147">
        <f t="shared" si="16"/>
        <v>9.1150408248688464E-3</v>
      </c>
      <c r="AK62" s="147">
        <f t="shared" si="16"/>
        <v>8.9855233806937392E-3</v>
      </c>
      <c r="AL62" s="147">
        <f t="shared" si="16"/>
        <v>8.8777493779059052E-3</v>
      </c>
      <c r="AM62" s="147">
        <f t="shared" si="16"/>
        <v>8.7857234491912316E-3</v>
      </c>
      <c r="AN62" s="147">
        <f t="shared" si="16"/>
        <v>8.7013813237217189E-3</v>
      </c>
      <c r="AO62" s="147">
        <f t="shared" si="16"/>
        <v>8.6631338789949237E-3</v>
      </c>
      <c r="AP62" s="147">
        <f t="shared" si="16"/>
        <v>8.6359767550954637E-3</v>
      </c>
      <c r="AQ62" s="147">
        <f t="shared" si="16"/>
        <v>8.6108461254608554E-3</v>
      </c>
      <c r="AR62" s="147">
        <f t="shared" si="16"/>
        <v>8.589208262321046E-3</v>
      </c>
      <c r="AS62" s="147">
        <f t="shared" si="16"/>
        <v>8.5721027091013955E-3</v>
      </c>
      <c r="AT62" s="147">
        <f t="shared" si="16"/>
        <v>8.5637622084244504E-3</v>
      </c>
      <c r="AU62" s="147">
        <f t="shared" si="16"/>
        <v>8.566402679808599E-3</v>
      </c>
      <c r="AV62" s="147">
        <f t="shared" si="16"/>
        <v>8.5780401220758133E-3</v>
      </c>
      <c r="AW62" s="147">
        <f t="shared" si="16"/>
        <v>8.5992180458956836E-3</v>
      </c>
      <c r="AX62" s="147">
        <f t="shared" si="16"/>
        <v>8.628983180863645E-3</v>
      </c>
      <c r="AY62" s="147">
        <f t="shared" si="16"/>
        <v>8.6555859345425097E-3</v>
      </c>
      <c r="AZ62" s="147">
        <f t="shared" si="16"/>
        <v>8.6814371097601994E-3</v>
      </c>
      <c r="BA62" s="147">
        <f t="shared" si="16"/>
        <v>8.7109154257064281E-3</v>
      </c>
      <c r="BB62" s="147">
        <f t="shared" si="16"/>
        <v>8.7437530189758434E-3</v>
      </c>
      <c r="BC62" s="147">
        <f t="shared" si="16"/>
        <v>8.7807759056928534E-3</v>
      </c>
      <c r="BD62" s="147">
        <f t="shared" si="16"/>
        <v>8.8035955281430909E-3</v>
      </c>
      <c r="BE62" s="147">
        <f t="shared" si="16"/>
        <v>8.8141149008040785E-3</v>
      </c>
      <c r="BF62" s="147">
        <f t="shared" si="16"/>
        <v>8.8202560383904682E-3</v>
      </c>
      <c r="BG62" s="147">
        <f t="shared" si="16"/>
        <v>8.8230625592743486E-3</v>
      </c>
      <c r="BH62" s="147">
        <f t="shared" si="16"/>
        <v>8.8217890315406937E-3</v>
      </c>
    </row>
    <row r="63" spans="1:60" x14ac:dyDescent="0.3">
      <c r="A63" s="104"/>
      <c r="D63" t="s">
        <v>102</v>
      </c>
      <c r="E63" s="149">
        <v>1.8211696009061973E-2</v>
      </c>
      <c r="F63" s="149">
        <v>1.7499710525300086E-2</v>
      </c>
      <c r="G63" s="149">
        <v>1.8551123494670987E-2</v>
      </c>
      <c r="H63" s="149">
        <v>1.7917820026188858E-2</v>
      </c>
      <c r="I63" s="81">
        <f t="shared" si="10"/>
        <v>1.7646975023273937E-2</v>
      </c>
      <c r="J63" s="81">
        <f t="shared" si="10"/>
        <v>1.7494515234131602E-2</v>
      </c>
      <c r="K63" s="81">
        <f t="shared" si="9"/>
        <v>1.7468224252203721E-2</v>
      </c>
      <c r="L63" s="81">
        <f t="shared" si="9"/>
        <v>1.7391842352170825E-2</v>
      </c>
      <c r="M63" s="81">
        <f t="shared" si="9"/>
        <v>1.735989564445941E-2</v>
      </c>
      <c r="N63" s="81">
        <f t="shared" si="9"/>
        <v>1.7415328153470844E-2</v>
      </c>
      <c r="O63" t="s">
        <v>240</v>
      </c>
      <c r="T63" s="23"/>
      <c r="U63" s="23"/>
      <c r="V63" s="23"/>
      <c r="W63" s="23"/>
      <c r="AD63" s="121" t="s">
        <v>209</v>
      </c>
      <c r="AE63" s="147">
        <f t="shared" si="17"/>
        <v>4.9898205093021107E-3</v>
      </c>
      <c r="AF63" s="147">
        <f t="shared" si="16"/>
        <v>4.8326141536753995E-3</v>
      </c>
      <c r="AG63" s="147">
        <f t="shared" si="16"/>
        <v>4.7124705177851792E-3</v>
      </c>
      <c r="AH63" s="147">
        <f t="shared" si="16"/>
        <v>4.6401139354069285E-3</v>
      </c>
      <c r="AI63" s="147">
        <f t="shared" si="16"/>
        <v>4.5605912809180849E-3</v>
      </c>
      <c r="AJ63" s="147">
        <f t="shared" si="16"/>
        <v>4.5032658823283113E-3</v>
      </c>
      <c r="AK63" s="147">
        <f t="shared" si="16"/>
        <v>4.4562323891244532E-3</v>
      </c>
      <c r="AL63" s="147">
        <f t="shared" si="16"/>
        <v>4.4140272797247347E-3</v>
      </c>
      <c r="AM63" s="147">
        <f t="shared" si="16"/>
        <v>4.3763219674336669E-3</v>
      </c>
      <c r="AN63" s="147">
        <f t="shared" si="16"/>
        <v>4.3393365174806018E-3</v>
      </c>
      <c r="AO63" s="147">
        <f t="shared" si="16"/>
        <v>4.3277921861338015E-3</v>
      </c>
      <c r="AP63" s="147">
        <f t="shared" si="16"/>
        <v>4.3148857456906673E-3</v>
      </c>
      <c r="AQ63" s="147">
        <f t="shared" si="16"/>
        <v>4.3014718605726802E-3</v>
      </c>
      <c r="AR63" s="147">
        <f t="shared" si="16"/>
        <v>4.289102569825262E-3</v>
      </c>
      <c r="AS63" s="147">
        <f t="shared" si="16"/>
        <v>4.2767222028495316E-3</v>
      </c>
      <c r="AT63" s="147">
        <f t="shared" si="16"/>
        <v>4.2628076167375442E-3</v>
      </c>
      <c r="AU63" s="147">
        <f t="shared" si="16"/>
        <v>4.2486405537204754E-3</v>
      </c>
      <c r="AV63" s="147">
        <f t="shared" si="16"/>
        <v>4.2329549290630293E-3</v>
      </c>
      <c r="AW63" s="147">
        <f t="shared" si="16"/>
        <v>4.2168533243327798E-3</v>
      </c>
      <c r="AX63" s="147">
        <f t="shared" si="16"/>
        <v>4.1992329916571113E-3</v>
      </c>
      <c r="AY63" s="147">
        <f t="shared" si="16"/>
        <v>4.1873850829536093E-3</v>
      </c>
      <c r="AZ63" s="147">
        <f t="shared" si="16"/>
        <v>4.1769162542018689E-3</v>
      </c>
      <c r="BA63" s="147">
        <f t="shared" si="16"/>
        <v>4.1666578898748351E-3</v>
      </c>
      <c r="BB63" s="147">
        <f t="shared" si="16"/>
        <v>4.1555432641313091E-3</v>
      </c>
      <c r="BC63" s="147">
        <f t="shared" si="16"/>
        <v>4.1435887072004789E-3</v>
      </c>
      <c r="BD63" s="147">
        <f t="shared" si="16"/>
        <v>4.1399657220859004E-3</v>
      </c>
      <c r="BE63" s="147">
        <f t="shared" si="16"/>
        <v>4.1385567978365484E-3</v>
      </c>
      <c r="BF63" s="147">
        <f t="shared" si="16"/>
        <v>4.138878866468897E-3</v>
      </c>
      <c r="BG63" s="147">
        <f t="shared" si="16"/>
        <v>4.1402925380024987E-3</v>
      </c>
      <c r="BH63" s="147">
        <f t="shared" si="16"/>
        <v>4.1417831461291379E-3</v>
      </c>
    </row>
    <row r="64" spans="1:60" x14ac:dyDescent="0.3">
      <c r="A64" s="104"/>
      <c r="D64" t="s">
        <v>103</v>
      </c>
      <c r="E64" s="149">
        <v>0.17822812881404607</v>
      </c>
      <c r="F64" s="149">
        <v>0.178378169747964</v>
      </c>
      <c r="G64" s="149">
        <v>0.19760087520619479</v>
      </c>
      <c r="H64" s="149">
        <v>0.18042962987518854</v>
      </c>
      <c r="I64" s="81">
        <f t="shared" si="10"/>
        <v>0.17933642867442265</v>
      </c>
      <c r="J64" s="81">
        <f t="shared" si="10"/>
        <v>0.1764873612364326</v>
      </c>
      <c r="K64" s="81">
        <f t="shared" si="9"/>
        <v>0.17468761114419845</v>
      </c>
      <c r="L64" s="81">
        <f t="shared" si="9"/>
        <v>0.17307676276293285</v>
      </c>
      <c r="M64" s="81">
        <f t="shared" si="9"/>
        <v>0.17362986796322979</v>
      </c>
      <c r="N64" s="81">
        <f t="shared" si="9"/>
        <v>0.17486743656742484</v>
      </c>
      <c r="O64" t="s">
        <v>241</v>
      </c>
      <c r="T64" s="83"/>
      <c r="U64" s="83"/>
      <c r="V64" s="83"/>
      <c r="W64" s="83"/>
      <c r="AD64" s="126" t="s">
        <v>210</v>
      </c>
      <c r="AE64" s="147">
        <f t="shared" si="17"/>
        <v>4.2387617254715827E-3</v>
      </c>
      <c r="AF64" s="147">
        <f t="shared" si="16"/>
        <v>4.1910557669293429E-3</v>
      </c>
      <c r="AG64" s="147">
        <f t="shared" si="16"/>
        <v>4.1457897259146457E-3</v>
      </c>
      <c r="AH64" s="147">
        <f t="shared" si="16"/>
        <v>4.0949906037009492E-3</v>
      </c>
      <c r="AI64" s="147">
        <f t="shared" si="16"/>
        <v>4.0441499344845032E-3</v>
      </c>
      <c r="AJ64" s="147">
        <f t="shared" si="16"/>
        <v>4.0061056818391522E-3</v>
      </c>
      <c r="AK64" s="147">
        <f t="shared" si="16"/>
        <v>3.9778611994279733E-3</v>
      </c>
      <c r="AL64" s="147">
        <f t="shared" si="16"/>
        <v>3.9523788020626163E-3</v>
      </c>
      <c r="AM64" s="147">
        <f t="shared" si="16"/>
        <v>3.9286805769825775E-3</v>
      </c>
      <c r="AN64" s="147">
        <f t="shared" si="16"/>
        <v>3.9032400982535027E-3</v>
      </c>
      <c r="AO64" s="147">
        <f t="shared" si="16"/>
        <v>3.9087510400807228E-3</v>
      </c>
      <c r="AP64" s="147">
        <f t="shared" si="16"/>
        <v>3.9105570927004604E-3</v>
      </c>
      <c r="AQ64" s="147">
        <f t="shared" si="16"/>
        <v>3.9093343577690561E-3</v>
      </c>
      <c r="AR64" s="147">
        <f t="shared" si="16"/>
        <v>3.9068842469466873E-3</v>
      </c>
      <c r="AS64" s="147">
        <f t="shared" si="16"/>
        <v>3.9024944274402788E-3</v>
      </c>
      <c r="AT64" s="147">
        <f t="shared" si="16"/>
        <v>3.8963846261191207E-3</v>
      </c>
      <c r="AU64" s="147">
        <f t="shared" si="16"/>
        <v>3.8898762749758386E-3</v>
      </c>
      <c r="AV64" s="147">
        <f t="shared" si="16"/>
        <v>3.8818219556376004E-3</v>
      </c>
      <c r="AW64" s="147">
        <f t="shared" si="16"/>
        <v>3.8737302460793745E-3</v>
      </c>
      <c r="AX64" s="147">
        <f t="shared" si="16"/>
        <v>3.8648966803306083E-3</v>
      </c>
      <c r="AY64" s="147">
        <f t="shared" si="16"/>
        <v>3.8580377809213817E-3</v>
      </c>
      <c r="AZ64" s="147">
        <f t="shared" si="16"/>
        <v>3.8517681295746073E-3</v>
      </c>
      <c r="BA64" s="147">
        <f t="shared" si="16"/>
        <v>3.8457474887454413E-3</v>
      </c>
      <c r="BB64" s="147">
        <f t="shared" si="16"/>
        <v>3.8394347307337349E-3</v>
      </c>
      <c r="BC64" s="147">
        <f t="shared" si="16"/>
        <v>3.833267468102225E-3</v>
      </c>
      <c r="BD64" s="147">
        <f t="shared" si="16"/>
        <v>3.8286540427531503E-3</v>
      </c>
      <c r="BE64" s="147">
        <f t="shared" si="16"/>
        <v>3.8250976485937993E-3</v>
      </c>
      <c r="BF64" s="147">
        <f t="shared" si="16"/>
        <v>3.8227672517128592E-3</v>
      </c>
      <c r="BG64" s="147">
        <f t="shared" si="16"/>
        <v>3.8209978116274489E-3</v>
      </c>
      <c r="BH64" s="147">
        <f t="shared" si="16"/>
        <v>3.8192372333131492E-3</v>
      </c>
    </row>
    <row r="65" spans="1:60" x14ac:dyDescent="0.3">
      <c r="A65" s="104"/>
      <c r="D65" t="s">
        <v>104</v>
      </c>
      <c r="E65" s="149">
        <v>0.57238012428305907</v>
      </c>
      <c r="F65" s="149">
        <v>0.57728588521363233</v>
      </c>
      <c r="G65" s="149">
        <v>0.54847821813488773</v>
      </c>
      <c r="H65" s="149">
        <v>0.55257247517859809</v>
      </c>
      <c r="I65" s="81">
        <f>1-I64-I63-I62-I61-I60-I59</f>
        <v>0.57513710189457035</v>
      </c>
      <c r="J65" s="81">
        <f t="shared" ref="J65:N65" si="18">1-J64-J63-J62-J61-J60-J59</f>
        <v>0.58451914548876827</v>
      </c>
      <c r="K65" s="81">
        <f t="shared" si="18"/>
        <v>0.59260623034902449</v>
      </c>
      <c r="L65" s="81">
        <f t="shared" si="18"/>
        <v>0.60280117724754545</v>
      </c>
      <c r="M65" s="81">
        <f t="shared" si="18"/>
        <v>0.61042510348580692</v>
      </c>
      <c r="N65" s="81">
        <f t="shared" si="18"/>
        <v>0.61576523187049059</v>
      </c>
      <c r="O65" t="s">
        <v>110</v>
      </c>
      <c r="T65" s="23"/>
      <c r="U65" s="23"/>
      <c r="V65" s="23"/>
      <c r="W65" s="23"/>
      <c r="AD65" s="124" t="s">
        <v>211</v>
      </c>
      <c r="AE65" s="150">
        <f>AE21/AE44</f>
        <v>0.60716806609547636</v>
      </c>
      <c r="AF65" s="150">
        <f t="shared" ref="AF65:BH65" si="19">AF21/AF44</f>
        <v>0.60893591152237925</v>
      </c>
      <c r="AG65" s="150">
        <f t="shared" si="19"/>
        <v>0.6091080573751454</v>
      </c>
      <c r="AH65" s="150">
        <f t="shared" si="19"/>
        <v>0.61018262588904226</v>
      </c>
      <c r="AI65" s="150">
        <f t="shared" si="19"/>
        <v>0.61070595073698641</v>
      </c>
      <c r="AJ65" s="150">
        <f t="shared" si="19"/>
        <v>0.61140063032141245</v>
      </c>
      <c r="AK65" s="150">
        <f t="shared" si="19"/>
        <v>0.61250193202381498</v>
      </c>
      <c r="AL65" s="150">
        <f t="shared" si="19"/>
        <v>0.61376153293173874</v>
      </c>
      <c r="AM65" s="150">
        <f t="shared" si="19"/>
        <v>0.61520134564732121</v>
      </c>
      <c r="AN65" s="150">
        <f t="shared" si="19"/>
        <v>0.61656552495156647</v>
      </c>
      <c r="AO65" s="150">
        <f t="shared" si="19"/>
        <v>0.6181098438677749</v>
      </c>
      <c r="AP65" s="150">
        <f t="shared" si="19"/>
        <v>0.61960834185304481</v>
      </c>
      <c r="AQ65" s="150">
        <f t="shared" si="19"/>
        <v>0.62101499857793319</v>
      </c>
      <c r="AR65" s="150">
        <f t="shared" si="19"/>
        <v>0.62240489082146022</v>
      </c>
      <c r="AS65" s="150">
        <f t="shared" si="19"/>
        <v>0.62360134393591149</v>
      </c>
      <c r="AT65" s="150">
        <f t="shared" si="19"/>
        <v>0.62464334410234967</v>
      </c>
      <c r="AU65" s="150">
        <f t="shared" si="19"/>
        <v>0.62562778216465387</v>
      </c>
      <c r="AV65" s="150">
        <f t="shared" si="19"/>
        <v>0.62649998735610024</v>
      </c>
      <c r="AW65" s="150">
        <f t="shared" si="19"/>
        <v>0.62735201148057462</v>
      </c>
      <c r="AX65" s="150">
        <f t="shared" si="19"/>
        <v>0.62814795551346081</v>
      </c>
      <c r="AY65" s="150">
        <f t="shared" si="19"/>
        <v>0.62894276031326179</v>
      </c>
      <c r="AZ65" s="150">
        <f t="shared" si="19"/>
        <v>0.62974259449647429</v>
      </c>
      <c r="BA65" s="150">
        <f t="shared" si="19"/>
        <v>0.63052731686644392</v>
      </c>
      <c r="BB65" s="150">
        <f t="shared" si="19"/>
        <v>0.63123551057690774</v>
      </c>
      <c r="BC65" s="150">
        <f t="shared" si="19"/>
        <v>0.63195657973585428</v>
      </c>
      <c r="BD65" s="150">
        <f t="shared" si="19"/>
        <v>0.63258674791504288</v>
      </c>
      <c r="BE65" s="150">
        <f t="shared" si="19"/>
        <v>0.6331638709466384</v>
      </c>
      <c r="BF65" s="150">
        <f t="shared" si="19"/>
        <v>0.63373118536882056</v>
      </c>
      <c r="BG65" s="150">
        <f t="shared" si="19"/>
        <v>0.63428075026674813</v>
      </c>
      <c r="BH65" s="150">
        <f t="shared" si="19"/>
        <v>0.63471123360344617</v>
      </c>
    </row>
    <row r="66" spans="1:60" x14ac:dyDescent="0.3">
      <c r="G66" s="81"/>
      <c r="I66" s="160"/>
      <c r="J66" s="160"/>
      <c r="K66" s="160"/>
      <c r="L66" s="160"/>
      <c r="M66" s="160"/>
      <c r="N66" s="160"/>
      <c r="T66" s="83"/>
      <c r="U66" s="83"/>
      <c r="V66" s="83"/>
      <c r="W66" s="83"/>
      <c r="AD66" s="124" t="s">
        <v>212</v>
      </c>
      <c r="AE66" s="150">
        <f>AE22/AE44</f>
        <v>0.17973361147017589</v>
      </c>
      <c r="AF66" s="150">
        <f t="shared" ref="AF66:BH66" si="20">AF22/AF44</f>
        <v>0.1794285173941183</v>
      </c>
      <c r="AG66" s="150">
        <f t="shared" si="20"/>
        <v>0.178884480505351</v>
      </c>
      <c r="AH66" s="150">
        <f t="shared" si="20"/>
        <v>0.17854733652051064</v>
      </c>
      <c r="AI66" s="150">
        <f t="shared" si="20"/>
        <v>0.17834386661804627</v>
      </c>
      <c r="AJ66" s="150">
        <f t="shared" si="20"/>
        <v>0.17786034419206256</v>
      </c>
      <c r="AK66" s="150">
        <f t="shared" si="20"/>
        <v>0.17737608982590994</v>
      </c>
      <c r="AL66" s="150">
        <f t="shared" si="20"/>
        <v>0.17682466180140274</v>
      </c>
      <c r="AM66" s="150">
        <f t="shared" si="20"/>
        <v>0.17629582777510944</v>
      </c>
      <c r="AN66" s="150">
        <f t="shared" si="20"/>
        <v>0.17570520088605895</v>
      </c>
      <c r="AO66" s="150">
        <f t="shared" si="20"/>
        <v>0.17526002621178341</v>
      </c>
      <c r="AP66" s="150">
        <f t="shared" si="20"/>
        <v>0.17494798232011416</v>
      </c>
      <c r="AQ66" s="150">
        <f t="shared" si="20"/>
        <v>0.17470319183585925</v>
      </c>
      <c r="AR66" s="150">
        <f t="shared" si="20"/>
        <v>0.17458195084956488</v>
      </c>
      <c r="AS66" s="150">
        <f t="shared" si="20"/>
        <v>0.17450356537681708</v>
      </c>
      <c r="AT66" s="150">
        <f t="shared" si="20"/>
        <v>0.17447232451481337</v>
      </c>
      <c r="AU66" s="150">
        <f t="shared" si="20"/>
        <v>0.17449656936201605</v>
      </c>
      <c r="AV66" s="150">
        <f t="shared" si="20"/>
        <v>0.17450697678597141</v>
      </c>
      <c r="AW66" s="150">
        <f t="shared" si="20"/>
        <v>0.17453166917438459</v>
      </c>
      <c r="AX66" s="150">
        <f t="shared" si="20"/>
        <v>0.17450614096322481</v>
      </c>
      <c r="AY66" s="150">
        <f t="shared" si="20"/>
        <v>0.17454601388751981</v>
      </c>
      <c r="AZ66" s="150">
        <f t="shared" si="20"/>
        <v>0.17457859576134321</v>
      </c>
      <c r="BA66" s="150">
        <f t="shared" si="20"/>
        <v>0.17459801125642832</v>
      </c>
      <c r="BB66" s="150">
        <f t="shared" si="20"/>
        <v>0.17455488757988596</v>
      </c>
      <c r="BC66" s="150">
        <f t="shared" si="20"/>
        <v>0.17449419889968654</v>
      </c>
      <c r="BD66" s="150">
        <f t="shared" si="20"/>
        <v>0.17442745566009596</v>
      </c>
      <c r="BE66" s="150">
        <f t="shared" si="20"/>
        <v>0.17436678734991223</v>
      </c>
      <c r="BF66" s="150">
        <f t="shared" si="20"/>
        <v>0.17431434381817965</v>
      </c>
      <c r="BG66" s="150">
        <f t="shared" si="20"/>
        <v>0.1742800734066271</v>
      </c>
      <c r="BH66" s="150">
        <f t="shared" si="20"/>
        <v>0.17418036758760214</v>
      </c>
    </row>
    <row r="67" spans="1:60" x14ac:dyDescent="0.3">
      <c r="I67" s="160"/>
      <c r="J67" s="160"/>
      <c r="K67" s="160"/>
      <c r="L67" s="160"/>
      <c r="M67" s="160"/>
      <c r="N67" s="160"/>
      <c r="T67" s="23"/>
      <c r="U67" s="23"/>
      <c r="V67" s="23"/>
      <c r="W67" s="23"/>
      <c r="AD67" s="113" t="s">
        <v>213</v>
      </c>
      <c r="AE67" s="145">
        <f>AE23/AE44</f>
        <v>1.243386718235113E-2</v>
      </c>
      <c r="AF67" s="145">
        <f>AF23/AF44</f>
        <v>1.2110573086600735E-2</v>
      </c>
      <c r="AG67" s="145">
        <f>AG23/AG44</f>
        <v>1.1904837213618482E-2</v>
      </c>
      <c r="AH67" s="145">
        <f>AH23/AH44</f>
        <v>1.1819702202919597E-2</v>
      </c>
      <c r="AI67" s="145">
        <f>AI23/AI44</f>
        <v>1.1692092370690032E-2</v>
      </c>
      <c r="AJ67" s="145">
        <f>AJ23/AJ44</f>
        <v>1.1486504571751507E-2</v>
      </c>
      <c r="AK67" s="145">
        <f>AK23/AK44</f>
        <v>1.1305193084658429E-2</v>
      </c>
      <c r="AL67" s="145">
        <f>AL23/AL44</f>
        <v>1.1136917445288406E-2</v>
      </c>
      <c r="AM67" s="145">
        <f>AM23/AM44</f>
        <v>1.0984739332489876E-2</v>
      </c>
      <c r="AN67" s="145">
        <f>AN23/AN44</f>
        <v>1.0837562267137271E-2</v>
      </c>
      <c r="AO67" s="145">
        <f>AO23/AO44</f>
        <v>1.0680555932954224E-2</v>
      </c>
      <c r="AP67" s="145">
        <f>AP23/AP44</f>
        <v>1.0507245221322339E-2</v>
      </c>
      <c r="AQ67" s="145">
        <f>AQ23/AQ44</f>
        <v>1.0335780602695277E-2</v>
      </c>
      <c r="AR67" s="145">
        <f>AR23/AR44</f>
        <v>9.9572861260287995E-3</v>
      </c>
      <c r="AS67" s="145">
        <f>AS23/AS44</f>
        <v>9.6117484707171196E-3</v>
      </c>
      <c r="AT67" s="145">
        <f>AT23/AT44</f>
        <v>9.4829887664147697E-3</v>
      </c>
      <c r="AU67" s="145">
        <f>AU23/AU44</f>
        <v>9.3236317350807469E-3</v>
      </c>
      <c r="AV67" s="145">
        <f>AV23/AV44</f>
        <v>9.1550126157196789E-3</v>
      </c>
      <c r="AW67" s="145">
        <f>AW23/AW44</f>
        <v>8.9823921752324835E-3</v>
      </c>
      <c r="AX67" s="145">
        <f>AX23/AX44</f>
        <v>8.7978668222903102E-3</v>
      </c>
      <c r="AY67" s="145">
        <f>AY23/AY44</f>
        <v>8.6004431991138046E-3</v>
      </c>
      <c r="AZ67" s="145">
        <f>AZ23/AZ44</f>
        <v>8.409448014517552E-3</v>
      </c>
      <c r="BA67" s="145">
        <f>BA23/BA44</f>
        <v>8.2195874562166777E-3</v>
      </c>
      <c r="BB67" s="145">
        <f>BB23/BB44</f>
        <v>8.0302068087916602E-3</v>
      </c>
      <c r="BC67" s="145">
        <f>BC23/BC44</f>
        <v>7.8387009932406118E-3</v>
      </c>
      <c r="BD67" s="145">
        <f>BD23/BD44</f>
        <v>7.7024926305965897E-3</v>
      </c>
      <c r="BE67" s="145">
        <f>BE23/BE44</f>
        <v>7.5775740959989693E-3</v>
      </c>
      <c r="BF67" s="145">
        <f>BF23/BF44</f>
        <v>7.4599988321527918E-3</v>
      </c>
      <c r="BG67" s="145">
        <f>BG23/BG44</f>
        <v>7.3444026469186409E-3</v>
      </c>
      <c r="BH67" s="145">
        <f>BH23/BH44</f>
        <v>7.2376374631136159E-3</v>
      </c>
    </row>
    <row r="68" spans="1:60" x14ac:dyDescent="0.3">
      <c r="B68" s="105" t="s">
        <v>109</v>
      </c>
      <c r="C68" s="105"/>
      <c r="D68" s="105"/>
      <c r="T68" s="83"/>
      <c r="U68" s="83"/>
      <c r="V68" s="83"/>
      <c r="W68" s="83"/>
    </row>
    <row r="69" spans="1:60" x14ac:dyDescent="0.3">
      <c r="E69" s="151" t="s">
        <v>45</v>
      </c>
      <c r="F69" s="151"/>
      <c r="G69" s="151"/>
      <c r="H69" s="151"/>
      <c r="I69" s="152" t="s">
        <v>242</v>
      </c>
      <c r="J69" s="152"/>
      <c r="K69" s="152"/>
      <c r="L69" s="152"/>
      <c r="M69" s="152"/>
      <c r="N69" s="152"/>
      <c r="T69" s="23"/>
      <c r="U69" s="23"/>
      <c r="V69" s="23"/>
      <c r="W69" s="23"/>
      <c r="AD69" s="153" t="s">
        <v>243</v>
      </c>
      <c r="AE69" s="84">
        <f>AE49+AE57+AE67</f>
        <v>0.11830939405369977</v>
      </c>
      <c r="AF69" s="84">
        <f>AF49+AF57+AF67</f>
        <v>0.11765794762032279</v>
      </c>
      <c r="AG69" s="84">
        <f>AG49+AG57+AG67</f>
        <v>0.11731133702955192</v>
      </c>
      <c r="AH69" s="84">
        <f>AH49+AH57+AH67</f>
        <v>0.11756732665272403</v>
      </c>
      <c r="AI69" s="84">
        <f>AI49+AI57+AI67</f>
        <v>0.11713359827384456</v>
      </c>
      <c r="AJ69" s="84">
        <f>AJ49+AJ57+AJ67</f>
        <v>0.11695781945608551</v>
      </c>
      <c r="AK69" s="84">
        <f>AK49+AK57+AK67</f>
        <v>0.11683144074331051</v>
      </c>
      <c r="AL69" s="84">
        <f>AL49+AL57+AL67</f>
        <v>0.11671313466146463</v>
      </c>
      <c r="AM69" s="84">
        <f>AM49+AM57+AM67</f>
        <v>0.11661473617007639</v>
      </c>
      <c r="AN69" s="84">
        <f>AN49+AN57+AN67</f>
        <v>0.11651740519764817</v>
      </c>
      <c r="AO69" s="84">
        <f>AO49+AO57+AO67</f>
        <v>0.11635341834542551</v>
      </c>
      <c r="AP69" s="84">
        <f>AP49+AP57+AP67</f>
        <v>0.11613365292356272</v>
      </c>
      <c r="AQ69" s="84">
        <f>AQ49+AQ57+AQ67</f>
        <v>0.11591283583668564</v>
      </c>
      <c r="AR69" s="84">
        <f>AR49+AR57+AR67</f>
        <v>0.11549941220527268</v>
      </c>
      <c r="AS69" s="84">
        <f>AS49+AS57+AS67</f>
        <v>0.11512324080686091</v>
      </c>
      <c r="AT69" s="84">
        <f>AT49+AT57+AT67</f>
        <v>0.1149669294624894</v>
      </c>
      <c r="AU69" s="84">
        <f>AU49+AU57+AU67</f>
        <v>0.11479327350966174</v>
      </c>
      <c r="AV69" s="84">
        <f>AV49+AV57+AV67</f>
        <v>0.11462373628919646</v>
      </c>
      <c r="AW69" s="84">
        <f>AW49+AW57+AW67</f>
        <v>0.11445849012995842</v>
      </c>
      <c r="AX69" s="84">
        <f>AX49+AX57+AX67</f>
        <v>0.11429861483253087</v>
      </c>
      <c r="AY69" s="84">
        <f>AY49+AY57+AY67</f>
        <v>0.11410385128975198</v>
      </c>
      <c r="AZ69" s="84">
        <f>AZ49+AZ57+AZ67</f>
        <v>0.1139528718269377</v>
      </c>
      <c r="BA69" s="84">
        <f>BA49+BA57+BA67</f>
        <v>0.11380779293390815</v>
      </c>
      <c r="BB69" s="84">
        <f>BB49+BB57+BB67</f>
        <v>0.11366962824179459</v>
      </c>
      <c r="BC69" s="84">
        <f>BC49+BC57+BC67</f>
        <v>0.11353441651876944</v>
      </c>
      <c r="BD69" s="84">
        <f>BD49+BD57+BD67</f>
        <v>0.11346100684971337</v>
      </c>
      <c r="BE69" s="84">
        <f>BE49+BE57+BE67</f>
        <v>0.1133809473683077</v>
      </c>
      <c r="BF69" s="84">
        <f>BF49+BF57+BF67</f>
        <v>0.11332086361359103</v>
      </c>
      <c r="BG69" s="84">
        <f>BG49+BG57+BG67</f>
        <v>0.11324245026111286</v>
      </c>
      <c r="BH69" s="84">
        <f>BH49+BH57+BH67</f>
        <v>0.11318647462529578</v>
      </c>
    </row>
    <row r="70" spans="1:60" x14ac:dyDescent="0.3">
      <c r="E70" s="154">
        <v>2018</v>
      </c>
      <c r="F70" s="154">
        <v>2019</v>
      </c>
      <c r="G70" s="154">
        <v>2020</v>
      </c>
      <c r="H70" s="154">
        <v>2021</v>
      </c>
      <c r="I70" s="56">
        <v>2025</v>
      </c>
      <c r="J70" s="56">
        <v>2030</v>
      </c>
      <c r="K70" s="56">
        <v>2035</v>
      </c>
      <c r="L70" s="56">
        <v>2040</v>
      </c>
      <c r="M70" s="56">
        <v>2045</v>
      </c>
      <c r="N70" s="57">
        <v>2050</v>
      </c>
      <c r="AD70" s="153" t="s">
        <v>96</v>
      </c>
      <c r="AE70" s="84">
        <f>AE67/AE69</f>
        <v>0.10509619529204493</v>
      </c>
      <c r="AF70" s="84">
        <f t="shared" ref="AF70:BH70" si="21">AF67/AF69</f>
        <v>0.10293034454145877</v>
      </c>
      <c r="AG70" s="84">
        <f t="shared" si="21"/>
        <v>0.10148070523328476</v>
      </c>
      <c r="AH70" s="84">
        <f t="shared" si="21"/>
        <v>0.1005356040614345</v>
      </c>
      <c r="AI70" s="84">
        <f t="shared" si="21"/>
        <v>9.9818434189610533E-2</v>
      </c>
      <c r="AJ70" s="84">
        <f t="shared" si="21"/>
        <v>9.8210659408406453E-2</v>
      </c>
      <c r="AK70" s="84">
        <f t="shared" si="21"/>
        <v>9.6764989053734138E-2</v>
      </c>
      <c r="AL70" s="84">
        <f t="shared" si="21"/>
        <v>9.5421286366713459E-2</v>
      </c>
      <c r="AM70" s="84">
        <f t="shared" si="21"/>
        <v>9.4196837323108268E-2</v>
      </c>
      <c r="AN70" s="84">
        <f t="shared" si="21"/>
        <v>9.3012389425884856E-2</v>
      </c>
      <c r="AO70" s="84">
        <f t="shared" si="21"/>
        <v>9.1794088088123074E-2</v>
      </c>
      <c r="AP70" s="84">
        <f t="shared" si="21"/>
        <v>9.0475456138782079E-2</v>
      </c>
      <c r="AQ70" s="84">
        <f t="shared" si="21"/>
        <v>8.9168559530868371E-2</v>
      </c>
      <c r="AR70" s="84">
        <f t="shared" si="21"/>
        <v>8.6210708227086874E-2</v>
      </c>
      <c r="AS70" s="84">
        <f t="shared" si="21"/>
        <v>8.3490947643165156E-2</v>
      </c>
      <c r="AT70" s="84">
        <f t="shared" si="21"/>
        <v>8.2484491938256146E-2</v>
      </c>
      <c r="AU70" s="84">
        <f t="shared" si="21"/>
        <v>8.1221063308173802E-2</v>
      </c>
      <c r="AV70" s="84">
        <f t="shared" si="21"/>
        <v>7.9870129103290791E-2</v>
      </c>
      <c r="AW70" s="84">
        <f t="shared" si="21"/>
        <v>7.8477290457297663E-2</v>
      </c>
      <c r="AX70" s="84">
        <f t="shared" si="21"/>
        <v>7.6972646039331724E-2</v>
      </c>
      <c r="AY70" s="84">
        <f t="shared" si="21"/>
        <v>7.5373820444273099E-2</v>
      </c>
      <c r="AZ70" s="84">
        <f t="shared" si="21"/>
        <v>7.3797596143861416E-2</v>
      </c>
      <c r="BA70" s="84">
        <f t="shared" si="21"/>
        <v>7.2223414972910127E-2</v>
      </c>
      <c r="BB70" s="84">
        <f t="shared" si="21"/>
        <v>7.0645140069518372E-2</v>
      </c>
      <c r="BC70" s="84">
        <f t="shared" si="21"/>
        <v>6.904250916676638E-2</v>
      </c>
      <c r="BD70" s="84">
        <f t="shared" si="21"/>
        <v>6.7886693803088247E-2</v>
      </c>
      <c r="BE70" s="84">
        <f t="shared" si="21"/>
        <v>6.6832869824097599E-2</v>
      </c>
      <c r="BF70" s="84">
        <f t="shared" si="21"/>
        <v>6.5830762264488099E-2</v>
      </c>
      <c r="BG70" s="84">
        <f t="shared" si="21"/>
        <v>6.48555610549226E-2</v>
      </c>
      <c r="BH70" s="84">
        <f t="shared" si="21"/>
        <v>6.3944366913748663E-2</v>
      </c>
    </row>
    <row r="71" spans="1:60" x14ac:dyDescent="0.3">
      <c r="A71" s="104" t="s">
        <v>107</v>
      </c>
      <c r="B71" s="104" t="s">
        <v>90</v>
      </c>
      <c r="C71" s="104"/>
      <c r="D71" s="104"/>
      <c r="E71" s="155"/>
      <c r="F71" s="155"/>
      <c r="G71" s="155"/>
      <c r="H71" s="155"/>
      <c r="AD71" s="153" t="s">
        <v>97</v>
      </c>
      <c r="AE71" s="84">
        <f>(AE49+AE57)/AE69</f>
        <v>0.89490380470795505</v>
      </c>
      <c r="AF71" s="84">
        <f>(AF49+AF57)/AF69</f>
        <v>0.89706965545854123</v>
      </c>
      <c r="AG71" s="84">
        <f>(AG49+AG57)/AG69</f>
        <v>0.89851929476671522</v>
      </c>
      <c r="AH71" s="84">
        <f>(AH49+AH57)/AH69</f>
        <v>0.89946439593856553</v>
      </c>
      <c r="AI71" s="84">
        <f>(AI49+AI57)/AI69</f>
        <v>0.90018156581038944</v>
      </c>
      <c r="AJ71" s="84">
        <f>(AJ49+AJ57)/AJ69</f>
        <v>0.90178934059159355</v>
      </c>
      <c r="AK71" s="84">
        <f>(AK49+AK57)/AK69</f>
        <v>0.9032350109462659</v>
      </c>
      <c r="AL71" s="84">
        <f>(AL49+AL57)/AL69</f>
        <v>0.90457871363328646</v>
      </c>
      <c r="AM71" s="84">
        <f>(AM49+AM57)/AM69</f>
        <v>0.90580316267689176</v>
      </c>
      <c r="AN71" s="84">
        <f>(AN49+AN57)/AN69</f>
        <v>0.90698761057411514</v>
      </c>
      <c r="AO71" s="84">
        <f>(AO49+AO57)/AO69</f>
        <v>0.90820591191187694</v>
      </c>
      <c r="AP71" s="84">
        <f>(AP49+AP57)/AP69</f>
        <v>0.90952454386121795</v>
      </c>
      <c r="AQ71" s="84">
        <f>(AQ49+AQ57)/AQ69</f>
        <v>0.91083144046913167</v>
      </c>
      <c r="AR71" s="84">
        <f>(AR49+AR57)/AR69</f>
        <v>0.91378929177291313</v>
      </c>
      <c r="AS71" s="84">
        <f>(AS49+AS57)/AS69</f>
        <v>0.91650905235683477</v>
      </c>
      <c r="AT71" s="84">
        <f>(AT49+AT57)/AT69</f>
        <v>0.91751550806174376</v>
      </c>
      <c r="AU71" s="84">
        <f>(AU49+AU57)/AU69</f>
        <v>0.9187789366918262</v>
      </c>
      <c r="AV71" s="84">
        <f>(AV49+AV57)/AV69</f>
        <v>0.92012987089670928</v>
      </c>
      <c r="AW71" s="84">
        <f>(AW49+AW57)/AW69</f>
        <v>0.92152270954270232</v>
      </c>
      <c r="AX71" s="84">
        <f>(AX49+AX57)/AX69</f>
        <v>0.92302735396066826</v>
      </c>
      <c r="AY71" s="84">
        <f>(AY49+AY57)/AY69</f>
        <v>0.9246261795557269</v>
      </c>
      <c r="AZ71" s="84">
        <f>(AZ49+AZ57)/AZ69</f>
        <v>0.92620240385613861</v>
      </c>
      <c r="BA71" s="84">
        <f>(BA49+BA57)/BA69</f>
        <v>0.92777658502708993</v>
      </c>
      <c r="BB71" s="84">
        <f>(BB49+BB57)/BB69</f>
        <v>0.92935485993048161</v>
      </c>
      <c r="BC71" s="84">
        <f>(BC49+BC57)/BC69</f>
        <v>0.93095749083323365</v>
      </c>
      <c r="BD71" s="84">
        <f>(BD49+BD57)/BD69</f>
        <v>0.93211330619691168</v>
      </c>
      <c r="BE71" s="84">
        <f>(BE49+BE57)/BE69</f>
        <v>0.93316713017590236</v>
      </c>
      <c r="BF71" s="84">
        <f>(BF49+BF57)/BF69</f>
        <v>0.93416923773551197</v>
      </c>
      <c r="BG71" s="84">
        <f>(BG49+BG57)/BG69</f>
        <v>0.93514443894507737</v>
      </c>
      <c r="BH71" s="84">
        <f>(BH49+BH57)/BH69</f>
        <v>0.93605563308625128</v>
      </c>
    </row>
    <row r="72" spans="1:60" x14ac:dyDescent="0.3">
      <c r="A72" s="104"/>
      <c r="B72" s="104" t="s">
        <v>91</v>
      </c>
      <c r="C72" s="104"/>
      <c r="D72" s="104"/>
      <c r="E72" s="156">
        <f>H7</f>
        <v>2101.8000000000002</v>
      </c>
      <c r="F72" s="156">
        <f>I7</f>
        <v>2169.3000000000002</v>
      </c>
      <c r="G72" s="156">
        <f>J7</f>
        <v>2068.8000000000002</v>
      </c>
      <c r="H72" s="156">
        <f>'PIB Branches'!H39</f>
        <v>2217.8000000000002</v>
      </c>
      <c r="I72" s="61">
        <f>'PIB Branches'!I39</f>
        <v>2245.9710575485378</v>
      </c>
      <c r="J72" s="61">
        <f>'PIB Branches'!J39</f>
        <v>2346.7092653596519</v>
      </c>
      <c r="K72" s="61">
        <f>'PIB Branches'!K39</f>
        <v>2473.2121981011369</v>
      </c>
      <c r="L72" s="61">
        <f>'PIB Branches'!L39</f>
        <v>2642.8254222363512</v>
      </c>
      <c r="M72" s="61">
        <f>'PIB Branches'!M39</f>
        <v>2848.0098700459739</v>
      </c>
      <c r="N72" s="61">
        <f>'PIB Branches'!N39</f>
        <v>3069.6741468275895</v>
      </c>
      <c r="O72" t="s">
        <v>229</v>
      </c>
      <c r="AD72" s="157" t="s">
        <v>98</v>
      </c>
      <c r="AE72" s="158">
        <f>AE10/(AE5+AE13)</f>
        <v>4.3475252172228383E-3</v>
      </c>
      <c r="AF72" s="158">
        <f>AF10/(AF5+AF13)</f>
        <v>4.3228480272038856E-3</v>
      </c>
      <c r="AG72" s="158">
        <f>AG10/(AG5+AG13)</f>
        <v>4.3362658081338703E-3</v>
      </c>
      <c r="AH72" s="158">
        <f>AH10/(AH5+AH13)</f>
        <v>4.3389332740565532E-3</v>
      </c>
      <c r="AI72" s="158">
        <f>AI10/(AI5+AI13)</f>
        <v>4.3614093131845652E-3</v>
      </c>
      <c r="AJ72" s="158">
        <f>AJ10/(AJ5+AJ13)</f>
        <v>4.3513431471531921E-3</v>
      </c>
      <c r="AK72" s="158">
        <f>AK10/(AK5+AK13)</f>
        <v>4.3381340928470282E-3</v>
      </c>
      <c r="AL72" s="158">
        <f>AL10/(AL5+AL13)</f>
        <v>4.3239355374624254E-3</v>
      </c>
      <c r="AM72" s="158">
        <f>AM10/(AM5+AM13)</f>
        <v>4.3096109307231298E-3</v>
      </c>
      <c r="AN72" s="158">
        <f>AN10/(AN5+AN13)</f>
        <v>4.2969883362500424E-3</v>
      </c>
      <c r="AO72" s="158">
        <f>AO10/(AO5+AO13)</f>
        <v>4.2626701678809727E-3</v>
      </c>
      <c r="AP72" s="158">
        <f>AP10/(AP5+AP13)</f>
        <v>4.2342154900270809E-3</v>
      </c>
      <c r="AQ72" s="158">
        <f>AQ10/(AQ5+AQ13)</f>
        <v>4.210451703281189E-3</v>
      </c>
      <c r="AR72" s="158">
        <f>AR10/(AR5+AR13)</f>
        <v>4.1924056043630325E-3</v>
      </c>
      <c r="AS72" s="158">
        <f>AS10/(AS5+AS13)</f>
        <v>4.1780413147311088E-3</v>
      </c>
      <c r="AT72" s="158">
        <f>AT10/(AT5+AT13)</f>
        <v>4.167040907690352E-3</v>
      </c>
      <c r="AU72" s="158">
        <f>AU10/(AU5+AU13)</f>
        <v>4.1593037987239807E-3</v>
      </c>
      <c r="AV72" s="158">
        <f>AV10/(AV5+AV13)</f>
        <v>4.1535175123126227E-3</v>
      </c>
      <c r="AW72" s="158">
        <f>AW10/(AW5+AW13)</f>
        <v>4.1497202633964175E-3</v>
      </c>
      <c r="AX72" s="158">
        <f>AX10/(AX5+AX13)</f>
        <v>4.1478011691443032E-3</v>
      </c>
      <c r="AY72" s="158">
        <f>AY10/(AY5+AY13)</f>
        <v>4.1502177222654786E-3</v>
      </c>
      <c r="AZ72" s="158">
        <f>AZ10/(AZ5+AZ13)</f>
        <v>4.1523797581466204E-3</v>
      </c>
      <c r="BA72" s="158">
        <f>BA10/(BA5+BA13)</f>
        <v>4.1556982726790757E-3</v>
      </c>
      <c r="BB72" s="158">
        <f>BB10/(BB5+BB13)</f>
        <v>4.1597760773013377E-3</v>
      </c>
      <c r="BC72" s="158">
        <f>BC10/(BC5+BC13)</f>
        <v>4.1647644283455462E-3</v>
      </c>
      <c r="BD72" s="158">
        <f>BD10/(BD5+BD13)</f>
        <v>4.1675183090810197E-3</v>
      </c>
      <c r="BE72" s="158">
        <f>BE10/(BE5+BE13)</f>
        <v>4.1713122163376899E-3</v>
      </c>
      <c r="BF72" s="158">
        <f>BF10/(BF5+BF13)</f>
        <v>4.1745242556266559E-3</v>
      </c>
      <c r="BG72" s="158">
        <f>BG10/(BG5+BG13)</f>
        <v>4.1786170014984072E-3</v>
      </c>
      <c r="BH72" s="158">
        <f>BH10/(BH5+BH13)</f>
        <v>4.1812540204439266E-3</v>
      </c>
    </row>
    <row r="73" spans="1:60" x14ac:dyDescent="0.3">
      <c r="A73" s="104"/>
      <c r="B73" s="104" t="s">
        <v>92</v>
      </c>
      <c r="C73" s="104"/>
      <c r="D73" s="104"/>
      <c r="E73" s="141">
        <f>E$72*E86</f>
        <v>38.968556216902904</v>
      </c>
      <c r="F73" s="141">
        <f t="shared" ref="E73:N76" si="22">F$72*F86</f>
        <v>37.112530350085684</v>
      </c>
      <c r="G73" s="141">
        <f t="shared" si="22"/>
        <v>36.609221381602481</v>
      </c>
      <c r="H73" s="141">
        <f t="shared" si="22"/>
        <v>40.464908772412379</v>
      </c>
      <c r="I73" s="61">
        <f t="shared" si="22"/>
        <v>40.045526575419622</v>
      </c>
      <c r="J73" s="61">
        <f t="shared" si="22"/>
        <v>41.162686344120985</v>
      </c>
      <c r="K73" s="61">
        <f t="shared" si="22"/>
        <v>42.732377348798522</v>
      </c>
      <c r="L73" s="61">
        <f t="shared" si="22"/>
        <v>45.041067327517482</v>
      </c>
      <c r="M73" s="61">
        <f t="shared" si="22"/>
        <v>47.945120084499301</v>
      </c>
      <c r="N73" s="61">
        <f t="shared" si="22"/>
        <v>51.071033435130701</v>
      </c>
      <c r="T73" s="158"/>
      <c r="U73" s="158"/>
      <c r="V73" s="158"/>
      <c r="W73" s="158"/>
      <c r="AD73" s="157" t="s">
        <v>99</v>
      </c>
      <c r="AE73" s="158">
        <f>AE11/(AE5+AE13)</f>
        <v>1.421604047387295E-3</v>
      </c>
      <c r="AF73" s="158">
        <f>AF11/(AF5+AF13)</f>
        <v>1.4263382501682473E-3</v>
      </c>
      <c r="AG73" s="158">
        <f>AG11/(AG5+AG13)</f>
        <v>1.4517455552453596E-3</v>
      </c>
      <c r="AH73" s="158">
        <f>AH11/(AH5+AH13)</f>
        <v>1.4925115555939003E-3</v>
      </c>
      <c r="AI73" s="158">
        <f>AI11/(AI5+AI13)</f>
        <v>1.5286703852011722E-3</v>
      </c>
      <c r="AJ73" s="158">
        <f>AJ11/(AJ5+AJ13)</f>
        <v>1.5463393624338645E-3</v>
      </c>
      <c r="AK73" s="158">
        <f>AK11/(AK5+AK13)</f>
        <v>1.5568557385675706E-3</v>
      </c>
      <c r="AL73" s="158">
        <f>AL11/(AL5+AL13)</f>
        <v>1.5637563235345799E-3</v>
      </c>
      <c r="AM73" s="158">
        <f>AM11/(AM5+AM13)</f>
        <v>1.5686705854518329E-3</v>
      </c>
      <c r="AN73" s="158">
        <f>AN11/(AN5+AN13)</f>
        <v>1.5734993112388792E-3</v>
      </c>
      <c r="AO73" s="158">
        <f>AO11/(AO5+AO13)</f>
        <v>1.5512967912637531E-3</v>
      </c>
      <c r="AP73" s="158">
        <f>AP11/(AP5+AP13)</f>
        <v>1.5330312616040583E-3</v>
      </c>
      <c r="AQ73" s="158">
        <f>AQ11/(AQ5+AQ13)</f>
        <v>1.5178371350842608E-3</v>
      </c>
      <c r="AR73" s="158">
        <f>AR11/(AR5+AR13)</f>
        <v>1.5066110185182305E-3</v>
      </c>
      <c r="AS73" s="158">
        <f>AS11/(AS5+AS13)</f>
        <v>1.4975063746418245E-3</v>
      </c>
      <c r="AT73" s="158">
        <f>AT11/(AT5+AT13)</f>
        <v>1.4906226335868928E-3</v>
      </c>
      <c r="AU73" s="158">
        <f>AU11/(AU5+AU13)</f>
        <v>1.4862247136747894E-3</v>
      </c>
      <c r="AV73" s="158">
        <f>AV11/(AV5+AV13)</f>
        <v>1.4830674581040491E-3</v>
      </c>
      <c r="AW73" s="158">
        <f>AW11/(AW5+AW13)</f>
        <v>1.4811440888240787E-3</v>
      </c>
      <c r="AX73" s="158">
        <f>AX11/(AX5+AX13)</f>
        <v>1.4808237188826266E-3</v>
      </c>
      <c r="AY73" s="158">
        <f>AY11/(AY5+AY13)</f>
        <v>1.4809360807537782E-3</v>
      </c>
      <c r="AZ73" s="158">
        <f>AZ11/(AZ5+AZ13)</f>
        <v>1.4806291915736354E-3</v>
      </c>
      <c r="BA73" s="158">
        <f>BA11/(BA5+BA13)</f>
        <v>1.4805551723061619E-3</v>
      </c>
      <c r="BB73" s="158">
        <f>BB11/(BB5+BB13)</f>
        <v>1.4804507475780057E-3</v>
      </c>
      <c r="BC73" s="158">
        <f>BC11/(BC5+BC13)</f>
        <v>1.4804435926888831E-3</v>
      </c>
      <c r="BD73" s="158">
        <f>BD11/(BD5+BD13)</f>
        <v>1.4803842386223226E-3</v>
      </c>
      <c r="BE73" s="158">
        <f>BE11/(BE5+BE13)</f>
        <v>1.4805483680465001E-3</v>
      </c>
      <c r="BF73" s="158">
        <f>BF11/(BF5+BF13)</f>
        <v>1.4802538914647403E-3</v>
      </c>
      <c r="BG73" s="158">
        <f>BG11/(BG5+BG13)</f>
        <v>1.4800226135541891E-3</v>
      </c>
      <c r="BH73" s="158">
        <f>BH11/(BH5+BH13)</f>
        <v>1.478801888775439E-3</v>
      </c>
    </row>
    <row r="74" spans="1:60" x14ac:dyDescent="0.3">
      <c r="A74" s="104"/>
      <c r="B74" s="104" t="s">
        <v>93</v>
      </c>
      <c r="C74" s="104"/>
      <c r="D74" s="104"/>
      <c r="E74" s="141">
        <f t="shared" si="22"/>
        <v>117.38767553062419</v>
      </c>
      <c r="F74" s="141">
        <f t="shared" si="22"/>
        <v>124.11577365462746</v>
      </c>
      <c r="G74" s="141">
        <f t="shared" si="22"/>
        <v>112.21961327195284</v>
      </c>
      <c r="H74" s="141">
        <f t="shared" si="22"/>
        <v>123.89472068103373</v>
      </c>
      <c r="I74" s="61">
        <f t="shared" si="22"/>
        <v>128.10455857574686</v>
      </c>
      <c r="J74" s="61">
        <f t="shared" si="22"/>
        <v>127.76635413744306</v>
      </c>
      <c r="K74" s="61">
        <f t="shared" si="22"/>
        <v>126.25406749757285</v>
      </c>
      <c r="L74" s="61">
        <f t="shared" si="22"/>
        <v>126.69314070361733</v>
      </c>
      <c r="M74" s="61">
        <f t="shared" si="22"/>
        <v>128.80266890640144</v>
      </c>
      <c r="N74" s="61">
        <f t="shared" si="22"/>
        <v>133.59533464261685</v>
      </c>
      <c r="T74" s="158"/>
      <c r="U74" s="158"/>
      <c r="V74" s="158"/>
      <c r="W74" s="158"/>
      <c r="AD74" s="157" t="s">
        <v>100</v>
      </c>
      <c r="AE74" s="158">
        <f>AE9/(AE5+AE13)</f>
        <v>5.9031152870785059E-2</v>
      </c>
      <c r="AF74" s="158">
        <f>AF9/(AF5+AF13)</f>
        <v>5.8907901371293515E-2</v>
      </c>
      <c r="AG74" s="158">
        <f>AG9/(AG5+AG13)</f>
        <v>5.8954358199886106E-2</v>
      </c>
      <c r="AH74" s="158">
        <f>AH9/(AH5+AH13)</f>
        <v>5.9030460013525757E-2</v>
      </c>
      <c r="AI74" s="158">
        <f>AI9/(AI5+AI13)</f>
        <v>5.9463516354940876E-2</v>
      </c>
      <c r="AJ74" s="158">
        <f>AJ9/(AJ5+AJ13)</f>
        <v>5.9547950938579404E-2</v>
      </c>
      <c r="AK74" s="158">
        <f>AK9/(AK5+AK13)</f>
        <v>5.9727896696124667E-2</v>
      </c>
      <c r="AL74" s="158">
        <f>AL9/(AL5+AL13)</f>
        <v>5.9942302273812718E-2</v>
      </c>
      <c r="AM74" s="158">
        <f>AM9/(AM5+AM13)</f>
        <v>6.0192518221818543E-2</v>
      </c>
      <c r="AN74" s="158">
        <f>AN9/(AN5+AN13)</f>
        <v>6.0489856979496798E-2</v>
      </c>
      <c r="AO74" s="158">
        <f>AO9/(AO5+AO13)</f>
        <v>6.0038817048950047E-2</v>
      </c>
      <c r="AP74" s="158">
        <f>AP9/(AP5+AP13)</f>
        <v>5.9704902782118936E-2</v>
      </c>
      <c r="AQ74" s="158">
        <f>AQ9/(AQ5+AQ13)</f>
        <v>5.9466637494518783E-2</v>
      </c>
      <c r="AR74" s="158">
        <f>AR9/(AR5+AR13)</f>
        <v>5.932617768139993E-2</v>
      </c>
      <c r="AS74" s="158">
        <f>AS9/(AS5+AS13)</f>
        <v>5.9252201831146989E-2</v>
      </c>
      <c r="AT74" s="158">
        <f>AT9/(AT5+AT13)</f>
        <v>5.9266517424532886E-2</v>
      </c>
      <c r="AU74" s="158">
        <f>AU9/(AU5+AU13)</f>
        <v>5.9315405511284829E-2</v>
      </c>
      <c r="AV74" s="158">
        <f>AV9/(AV5+AV13)</f>
        <v>5.9420819912208836E-2</v>
      </c>
      <c r="AW74" s="158">
        <f>AW9/(AW5+AW13)</f>
        <v>5.9538853378190225E-2</v>
      </c>
      <c r="AX74" s="158">
        <f>AX9/(AX5+AX13)</f>
        <v>5.9689457551352E-2</v>
      </c>
      <c r="AY74" s="158">
        <f>AY9/(AY5+AY13)</f>
        <v>5.9806266338690253E-2</v>
      </c>
      <c r="AZ74" s="158">
        <f>AZ9/(AZ5+AZ13)</f>
        <v>5.9928056902904557E-2</v>
      </c>
      <c r="BA74" s="158">
        <f>BA9/(BA5+BA13)</f>
        <v>6.0029149840898653E-2</v>
      </c>
      <c r="BB74" s="158">
        <f>BB9/(BB5+BB13)</f>
        <v>6.0164662780944352E-2</v>
      </c>
      <c r="BC74" s="158">
        <f>BC9/(BC5+BC13)</f>
        <v>6.0258799403112594E-2</v>
      </c>
      <c r="BD74" s="158">
        <f>BD9/(BD5+BD13)</f>
        <v>6.0335914685152231E-2</v>
      </c>
      <c r="BE74" s="158">
        <f>BE9/(BE5+BE13)</f>
        <v>6.0320401268246907E-2</v>
      </c>
      <c r="BF74" s="158">
        <f>BF9/(BF5+BF13)</f>
        <v>6.0419478541827394E-2</v>
      </c>
      <c r="BG74" s="158">
        <f>BG9/(BG5+BG13)</f>
        <v>6.0322431084462898E-2</v>
      </c>
      <c r="BH74" s="158">
        <f>BH9/(BH5+BH13)</f>
        <v>6.0476132806980137E-2</v>
      </c>
    </row>
    <row r="75" spans="1:60" x14ac:dyDescent="0.3">
      <c r="A75" s="104"/>
      <c r="B75" s="104" t="s">
        <v>94</v>
      </c>
      <c r="C75" s="104"/>
      <c r="D75" s="104"/>
      <c r="E75" s="141">
        <f t="shared" si="22"/>
        <v>1656.6096455844361</v>
      </c>
      <c r="F75" s="141">
        <f t="shared" si="22"/>
        <v>1707.4313997480258</v>
      </c>
      <c r="G75" s="141">
        <f t="shared" si="22"/>
        <v>1643.1310532838629</v>
      </c>
      <c r="H75" s="141">
        <f t="shared" si="22"/>
        <v>1767.0980161015059</v>
      </c>
      <c r="I75" s="61">
        <f t="shared" si="22"/>
        <v>1790.7233322976456</v>
      </c>
      <c r="J75" s="61">
        <f t="shared" si="22"/>
        <v>1879.3834843173736</v>
      </c>
      <c r="K75" s="61">
        <f t="shared" si="22"/>
        <v>1993.5063536340476</v>
      </c>
      <c r="L75" s="61">
        <f t="shared" si="22"/>
        <v>2141.4409520115623</v>
      </c>
      <c r="M75" s="61">
        <f t="shared" si="22"/>
        <v>2318.3934888133617</v>
      </c>
      <c r="N75" s="61">
        <f t="shared" si="22"/>
        <v>2505.8405518358895</v>
      </c>
      <c r="T75" s="158"/>
      <c r="U75" s="158"/>
      <c r="V75" s="158"/>
      <c r="W75" s="158"/>
      <c r="AD75" s="157" t="s">
        <v>101</v>
      </c>
      <c r="AE75" s="158">
        <f>AE7/(AE5+AE13)</f>
        <v>3.6160971739728986E-2</v>
      </c>
      <c r="AF75" s="158">
        <f>AF7/(AF5+AF13)</f>
        <v>3.6182150260399268E-2</v>
      </c>
      <c r="AG75" s="158">
        <f>AG7/(AG5+AG13)</f>
        <v>3.6798074955229736E-2</v>
      </c>
      <c r="AH75" s="158">
        <f>AH7/(AH5+AH13)</f>
        <v>3.6591577732936163E-2</v>
      </c>
      <c r="AI75" s="158">
        <f>AI7/(AI5+AI13)</f>
        <v>3.6906480601373089E-2</v>
      </c>
      <c r="AJ75" s="158">
        <f>AJ7/(AJ5+AJ13)</f>
        <v>3.6935856691495232E-2</v>
      </c>
      <c r="AK75" s="158">
        <f>AK7/(AK5+AK13)</f>
        <v>3.6793338748211224E-2</v>
      </c>
      <c r="AL75" s="158">
        <f>AL7/(AL5+AL13)</f>
        <v>3.6609526550763036E-2</v>
      </c>
      <c r="AM75" s="158">
        <f>AM7/(AM5+AM13)</f>
        <v>3.6336985362256817E-2</v>
      </c>
      <c r="AN75" s="158">
        <f>AN7/(AN5+AN13)</f>
        <v>3.6089197580321197E-2</v>
      </c>
      <c r="AO75" s="158">
        <f>AO7/(AO5+AO13)</f>
        <v>3.5844752937017145E-2</v>
      </c>
      <c r="AP75" s="158">
        <f>AP7/(AP5+AP13)</f>
        <v>3.5598097680224351E-2</v>
      </c>
      <c r="AQ75" s="158">
        <f>AQ7/(AQ5+AQ13)</f>
        <v>3.5367941950280889E-2</v>
      </c>
      <c r="AR75" s="158">
        <f>AR7/(AR5+AR13)</f>
        <v>3.517013587756871E-2</v>
      </c>
      <c r="AS75" s="158">
        <f>AS7/(AS5+AS13)</f>
        <v>3.5009965527441761E-2</v>
      </c>
      <c r="AT75" s="158">
        <f>AT7/(AT5+AT13)</f>
        <v>3.480909067229198E-2</v>
      </c>
      <c r="AU75" s="158">
        <f>AU7/(AU5+AU13)</f>
        <v>3.4608652283789031E-2</v>
      </c>
      <c r="AV75" s="158">
        <f>AV7/(AV5+AV13)</f>
        <v>3.4441889427994032E-2</v>
      </c>
      <c r="AW75" s="158">
        <f>AW7/(AW5+AW13)</f>
        <v>3.4268969496406225E-2</v>
      </c>
      <c r="AX75" s="158">
        <f>AX7/(AX5+AX13)</f>
        <v>3.4121788077000212E-2</v>
      </c>
      <c r="AY75" s="158">
        <f>AY7/(AY5+AY13)</f>
        <v>3.3978442593347868E-2</v>
      </c>
      <c r="AZ75" s="158">
        <f>AZ7/(AZ5+AZ13)</f>
        <v>3.380956067117688E-2</v>
      </c>
      <c r="BA75" s="158">
        <f>BA7/(BA5+BA13)</f>
        <v>3.3637751863860282E-2</v>
      </c>
      <c r="BB75" s="158">
        <f>BB7/(BB5+BB13)</f>
        <v>3.3506731969016997E-2</v>
      </c>
      <c r="BC75" s="158">
        <f>BC7/(BC5+BC13)</f>
        <v>3.3368458012439102E-2</v>
      </c>
      <c r="BD75" s="158">
        <f>BD7/(BD5+BD13)</f>
        <v>3.3246055016442122E-2</v>
      </c>
      <c r="BE75" s="158">
        <f>BE7/(BE5+BE13)</f>
        <v>3.3147865987569157E-2</v>
      </c>
      <c r="BF75" s="158">
        <f>BF7/(BF5+BF13)</f>
        <v>3.3037912647973441E-2</v>
      </c>
      <c r="BG75" s="158">
        <f>BG7/(BG5+BG13)</f>
        <v>3.2938771215646478E-2</v>
      </c>
      <c r="BH75" s="158">
        <f>BH7/(BH5+BH13)</f>
        <v>3.2886977931200545E-2</v>
      </c>
    </row>
    <row r="76" spans="1:60" x14ac:dyDescent="0.3">
      <c r="A76" s="104"/>
      <c r="B76" s="104" t="s">
        <v>95</v>
      </c>
      <c r="C76" s="104"/>
      <c r="D76" s="104"/>
      <c r="E76" s="141">
        <f t="shared" si="22"/>
        <v>288.83412266803703</v>
      </c>
      <c r="F76" s="141">
        <f t="shared" si="22"/>
        <v>300.64029624726123</v>
      </c>
      <c r="G76" s="141">
        <f t="shared" si="22"/>
        <v>276.84011206258174</v>
      </c>
      <c r="H76" s="141">
        <f t="shared" si="22"/>
        <v>286.34235444504816</v>
      </c>
      <c r="I76" s="61">
        <f t="shared" si="22"/>
        <v>287.09764009972571</v>
      </c>
      <c r="J76" s="61">
        <f t="shared" si="22"/>
        <v>298.39674056071442</v>
      </c>
      <c r="K76" s="61">
        <f t="shared" si="22"/>
        <v>310.71939962071781</v>
      </c>
      <c r="L76" s="61">
        <f t="shared" si="22"/>
        <v>329.65026219365404</v>
      </c>
      <c r="M76" s="61">
        <f t="shared" si="22"/>
        <v>352.86859224171167</v>
      </c>
      <c r="N76" s="61">
        <f t="shared" si="22"/>
        <v>379.16722691395233</v>
      </c>
      <c r="T76" s="158"/>
      <c r="U76" s="158"/>
      <c r="V76" s="158"/>
      <c r="W76" s="158"/>
      <c r="AD76" s="157" t="s">
        <v>102</v>
      </c>
      <c r="AE76" s="158">
        <f>AE8/(AE5+AE13)</f>
        <v>1.1186342852050871E-2</v>
      </c>
      <c r="AF76" s="158">
        <f>AF8/(AF5+AF13)</f>
        <v>1.1198750647387099E-2</v>
      </c>
      <c r="AG76" s="158">
        <f>AG8/(AG5+AG13)</f>
        <v>1.1232067728692187E-2</v>
      </c>
      <c r="AH76" s="158">
        <f>AH8/(AH5+AH13)</f>
        <v>1.1235774666805922E-2</v>
      </c>
      <c r="AI76" s="158">
        <f>AI8/(AI5+AI13)</f>
        <v>1.1283223988261124E-2</v>
      </c>
      <c r="AJ76" s="158">
        <f>AJ8/(AJ5+AJ13)</f>
        <v>1.1272810724781044E-2</v>
      </c>
      <c r="AK76" s="158">
        <f>AK8/(AK5+AK13)</f>
        <v>1.1263176328855271E-2</v>
      </c>
      <c r="AL76" s="158">
        <f>AL8/(AL5+AL13)</f>
        <v>1.1255937272760435E-2</v>
      </c>
      <c r="AM76" s="158">
        <f>AM8/(AM5+AM13)</f>
        <v>1.1252753327530033E-2</v>
      </c>
      <c r="AN76" s="158">
        <f>AN8/(AN5+AN13)</f>
        <v>1.1252228717684472E-2</v>
      </c>
      <c r="AO76" s="158">
        <f>AO8/(AO5+AO13)</f>
        <v>1.1221395295438332E-2</v>
      </c>
      <c r="AP76" s="158">
        <f>AP8/(AP5+AP13)</f>
        <v>1.1203300427897685E-2</v>
      </c>
      <c r="AQ76" s="158">
        <f>AQ8/(AQ5+AQ13)</f>
        <v>1.1191864279689863E-2</v>
      </c>
      <c r="AR76" s="158">
        <f>AR8/(AR5+AR13)</f>
        <v>1.1187555866547865E-2</v>
      </c>
      <c r="AS76" s="158">
        <f>AS8/(AS5+AS13)</f>
        <v>1.1185544496592007E-2</v>
      </c>
      <c r="AT76" s="158">
        <f>AT8/(AT5+AT13)</f>
        <v>1.118571631491057E-2</v>
      </c>
      <c r="AU76" s="158">
        <f>AU8/(AU5+AU13)</f>
        <v>1.1188104194557309E-2</v>
      </c>
      <c r="AV76" s="158">
        <f>AV8/(AV5+AV13)</f>
        <v>1.1189915914160836E-2</v>
      </c>
      <c r="AW76" s="158">
        <f>AW8/(AW5+AW13)</f>
        <v>1.1192843229027076E-2</v>
      </c>
      <c r="AX76" s="158">
        <f>AX8/(AX5+AX13)</f>
        <v>1.1195358099199852E-2</v>
      </c>
      <c r="AY76" s="158">
        <f>AY8/(AY5+AY13)</f>
        <v>1.1204351076993227E-2</v>
      </c>
      <c r="AZ76" s="158">
        <f>AZ8/(AZ5+AZ13)</f>
        <v>1.1210285918378474E-2</v>
      </c>
      <c r="BA76" s="158">
        <f>BA8/(BA5+BA13)</f>
        <v>1.1216136564286791E-2</v>
      </c>
      <c r="BB76" s="158">
        <f>BB8/(BB5+BB13)</f>
        <v>1.1220029714507123E-2</v>
      </c>
      <c r="BC76" s="158">
        <f>BC8/(BC5+BC13)</f>
        <v>1.1223407873260139E-2</v>
      </c>
      <c r="BD76" s="158">
        <f>BD8/(BD5+BD13)</f>
        <v>1.1228210564299441E-2</v>
      </c>
      <c r="BE76" s="158">
        <f>BE8/(BE5+BE13)</f>
        <v>1.1234686514122983E-2</v>
      </c>
      <c r="BF76" s="158">
        <f>BF8/(BF5+BF13)</f>
        <v>1.1239859668848018E-2</v>
      </c>
      <c r="BG76" s="158">
        <f>BG8/(BG5+BG13)</f>
        <v>1.124695453847788E-2</v>
      </c>
      <c r="BH76" s="158">
        <f>BH8/(BH5+BH13)</f>
        <v>1.124979420584162E-2</v>
      </c>
    </row>
    <row r="77" spans="1:60" x14ac:dyDescent="0.3">
      <c r="A77" s="104"/>
      <c r="C77" s="104" t="s">
        <v>96</v>
      </c>
      <c r="D77" s="104"/>
      <c r="E77" s="143">
        <f t="shared" ref="E77:N85" si="23">E$76*E90</f>
        <v>36.26305534653342</v>
      </c>
      <c r="F77" s="143">
        <f t="shared" si="23"/>
        <v>39.95544460786607</v>
      </c>
      <c r="G77" s="143">
        <f t="shared" si="23"/>
        <v>41.554673124332176</v>
      </c>
      <c r="H77" s="143">
        <f t="shared" si="23"/>
        <v>41.433485278903781</v>
      </c>
      <c r="I77" s="16">
        <f t="shared" si="23"/>
        <v>39.456563441148212</v>
      </c>
      <c r="J77" s="16">
        <f t="shared" si="23"/>
        <v>38.213230788384415</v>
      </c>
      <c r="K77" s="16">
        <f t="shared" si="23"/>
        <v>35.717959504222698</v>
      </c>
      <c r="L77" s="16">
        <f t="shared" si="23"/>
        <v>34.935641540118638</v>
      </c>
      <c r="M77" s="16">
        <f t="shared" si="23"/>
        <v>33.543505894974373</v>
      </c>
      <c r="N77" s="16">
        <f t="shared" si="23"/>
        <v>33.381970215354073</v>
      </c>
      <c r="T77" s="158"/>
      <c r="U77" s="158"/>
      <c r="V77" s="158"/>
      <c r="W77" s="158"/>
      <c r="AD77" s="157" t="s">
        <v>103</v>
      </c>
      <c r="AE77" s="158">
        <f>AE6/(AE5+AE13)</f>
        <v>0.16058289804145662</v>
      </c>
      <c r="AF77" s="158">
        <f>AF6/(AF5+AF13)</f>
        <v>0.16272338167327402</v>
      </c>
      <c r="AG77" s="158">
        <f>AG6/(AG5+AG13)</f>
        <v>0.16381005642465771</v>
      </c>
      <c r="AH77" s="158">
        <f>AH6/(AH5+AH13)</f>
        <v>0.16480615764350121</v>
      </c>
      <c r="AI77" s="158">
        <f>AI6/(AI5+AI13)</f>
        <v>0.16674134019767856</v>
      </c>
      <c r="AJ77" s="158">
        <f>AJ6/(AJ5+AJ13)</f>
        <v>0.16772638377600452</v>
      </c>
      <c r="AK77" s="158">
        <f>AK6/(AK5+AK13)</f>
        <v>0.16884140255001776</v>
      </c>
      <c r="AL77" s="158">
        <f>AL6/(AL5+AL13)</f>
        <v>0.17004673391965661</v>
      </c>
      <c r="AM77" s="158">
        <f>AM6/(AM5+AM13)</f>
        <v>0.17134027151351511</v>
      </c>
      <c r="AN77" s="158">
        <f>AN6/(AN5+AN13)</f>
        <v>0.17260838728759031</v>
      </c>
      <c r="AO77" s="158">
        <f>AO6/(AO5+AO13)</f>
        <v>0.17335046994688078</v>
      </c>
      <c r="AP77" s="158">
        <f>AP6/(AP5+AP13)</f>
        <v>0.17420028823209088</v>
      </c>
      <c r="AQ77" s="158">
        <f>AQ6/(AQ5+AQ13)</f>
        <v>0.17502881984122498</v>
      </c>
      <c r="AR77" s="158">
        <f>AR6/(AR5+AR13)</f>
        <v>0.17584294143400747</v>
      </c>
      <c r="AS77" s="158">
        <f>AS6/(AS5+AS13)</f>
        <v>0.1765446503939867</v>
      </c>
      <c r="AT77" s="158">
        <f>AT6/(AT5+AT13)</f>
        <v>0.17717137342497069</v>
      </c>
      <c r="AU77" s="158">
        <f>AU6/(AU5+AU13)</f>
        <v>0.17773296094813246</v>
      </c>
      <c r="AV77" s="158">
        <f>AV6/(AV5+AV13)</f>
        <v>0.17818994817429049</v>
      </c>
      <c r="AW77" s="158">
        <f>AW6/(AW5+AW13)</f>
        <v>0.1786032564602528</v>
      </c>
      <c r="AX77" s="158">
        <f>AX6/(AX5+AX13)</f>
        <v>0.17894279417043199</v>
      </c>
      <c r="AY77" s="158">
        <f>AY6/(AY5+AY13)</f>
        <v>0.17928864643837727</v>
      </c>
      <c r="AZ77" s="158">
        <f>AZ6/(AZ5+AZ13)</f>
        <v>0.17952200733432189</v>
      </c>
      <c r="BA77" s="158">
        <f>BA6/(BA5+BA13)</f>
        <v>0.17971753217605399</v>
      </c>
      <c r="BB77" s="158">
        <f>BB6/(BB5+BB13)</f>
        <v>0.17984338569735364</v>
      </c>
      <c r="BC77" s="158">
        <f>BC6/(BC5+BC13)</f>
        <v>0.17995648148227533</v>
      </c>
      <c r="BD77" s="158">
        <f>BD6/(BD5+BD13)</f>
        <v>0.17998937974762555</v>
      </c>
      <c r="BE77" s="158">
        <f>BE6/(BE5+BE13)</f>
        <v>0.18002881433780327</v>
      </c>
      <c r="BF77" s="158">
        <f>BF6/(BF5+BF13)</f>
        <v>0.1800411797088449</v>
      </c>
      <c r="BG77" s="158">
        <f>BG6/(BG5+BG13)</f>
        <v>0.18008013689864863</v>
      </c>
      <c r="BH77" s="158">
        <f>BH6/(BH5+BH13)</f>
        <v>0.18003555110408276</v>
      </c>
    </row>
    <row r="78" spans="1:60" x14ac:dyDescent="0.3">
      <c r="A78" s="104"/>
      <c r="C78" s="104" t="s">
        <v>97</v>
      </c>
      <c r="D78" s="104"/>
      <c r="E78" s="143">
        <f t="shared" si="23"/>
        <v>252.57106732150359</v>
      </c>
      <c r="F78" s="143">
        <f t="shared" si="23"/>
        <v>260.68485163939516</v>
      </c>
      <c r="G78" s="143">
        <f t="shared" si="23"/>
        <v>235.28543893824954</v>
      </c>
      <c r="H78" s="143">
        <f t="shared" si="23"/>
        <v>244.9088691661444</v>
      </c>
      <c r="I78" s="16">
        <f t="shared" si="23"/>
        <v>247.6410766585775</v>
      </c>
      <c r="J78" s="16">
        <f t="shared" si="23"/>
        <v>260.18350977233001</v>
      </c>
      <c r="K78" s="16">
        <f t="shared" si="23"/>
        <v>275.00144011649513</v>
      </c>
      <c r="L78" s="16">
        <f t="shared" si="23"/>
        <v>294.71462065353541</v>
      </c>
      <c r="M78" s="16">
        <f t="shared" si="23"/>
        <v>319.32508634673729</v>
      </c>
      <c r="N78" s="16">
        <f t="shared" si="23"/>
        <v>345.78525669859829</v>
      </c>
      <c r="T78" s="158"/>
      <c r="U78" s="158"/>
      <c r="V78" s="158"/>
      <c r="W78" s="158"/>
      <c r="AD78" s="157" t="s">
        <v>104</v>
      </c>
      <c r="AE78" s="158">
        <f>1-AE77-AE76-AE75-AE74-AE73-AE72</f>
        <v>0.72726950523136824</v>
      </c>
      <c r="AF78" s="158">
        <f t="shared" ref="AF78:BH78" si="24">1-AF77-AF76-AF75-AF74-AF73-AF72</f>
        <v>0.72523862977027398</v>
      </c>
      <c r="AG78" s="158">
        <f t="shared" si="24"/>
        <v>0.72341743132815495</v>
      </c>
      <c r="AH78" s="158">
        <f t="shared" si="24"/>
        <v>0.72250458511358051</v>
      </c>
      <c r="AI78" s="158">
        <f t="shared" si="24"/>
        <v>0.71971535915936069</v>
      </c>
      <c r="AJ78" s="158">
        <f t="shared" si="24"/>
        <v>0.71861931535955259</v>
      </c>
      <c r="AK78" s="158">
        <f t="shared" si="24"/>
        <v>0.71747919584537645</v>
      </c>
      <c r="AL78" s="158">
        <f t="shared" si="24"/>
        <v>0.71625780812201023</v>
      </c>
      <c r="AM78" s="158">
        <f t="shared" si="24"/>
        <v>0.71499919005870449</v>
      </c>
      <c r="AN78" s="158">
        <f t="shared" si="24"/>
        <v>0.71368984178741834</v>
      </c>
      <c r="AO78" s="158">
        <f t="shared" si="24"/>
        <v>0.71373059781256898</v>
      </c>
      <c r="AP78" s="158">
        <f t="shared" si="24"/>
        <v>0.71352616412603698</v>
      </c>
      <c r="AQ78" s="158">
        <f t="shared" si="24"/>
        <v>0.71321644759592007</v>
      </c>
      <c r="AR78" s="158">
        <f t="shared" si="24"/>
        <v>0.71277417251759478</v>
      </c>
      <c r="AS78" s="158">
        <f t="shared" si="24"/>
        <v>0.71233209006145959</v>
      </c>
      <c r="AT78" s="158">
        <f t="shared" si="24"/>
        <v>0.71190963862201651</v>
      </c>
      <c r="AU78" s="158">
        <f t="shared" si="24"/>
        <v>0.71150934854983772</v>
      </c>
      <c r="AV78" s="158">
        <f t="shared" si="24"/>
        <v>0.71112084160092925</v>
      </c>
      <c r="AW78" s="158">
        <f t="shared" si="24"/>
        <v>0.71076521308390328</v>
      </c>
      <c r="AX78" s="158">
        <f t="shared" si="24"/>
        <v>0.71042197721398914</v>
      </c>
      <c r="AY78" s="158">
        <f t="shared" si="24"/>
        <v>0.71009113974957216</v>
      </c>
      <c r="AZ78" s="158">
        <f t="shared" si="24"/>
        <v>0.70989708022349784</v>
      </c>
      <c r="BA78" s="158">
        <f t="shared" si="24"/>
        <v>0.70976317610991502</v>
      </c>
      <c r="BB78" s="158">
        <f t="shared" si="24"/>
        <v>0.70962496301329869</v>
      </c>
      <c r="BC78" s="158">
        <f t="shared" si="24"/>
        <v>0.70954764520787827</v>
      </c>
      <c r="BD78" s="158">
        <f t="shared" si="24"/>
        <v>0.70955253743877744</v>
      </c>
      <c r="BE78" s="158">
        <f t="shared" si="24"/>
        <v>0.70961637130787358</v>
      </c>
      <c r="BF78" s="158">
        <f t="shared" si="24"/>
        <v>0.70960679128541482</v>
      </c>
      <c r="BG78" s="158">
        <f t="shared" si="24"/>
        <v>0.70975306664771154</v>
      </c>
      <c r="BH78" s="158">
        <f t="shared" si="24"/>
        <v>0.70969148804267557</v>
      </c>
    </row>
    <row r="79" spans="1:60" x14ac:dyDescent="0.3">
      <c r="A79" s="104"/>
      <c r="D79" t="s">
        <v>98</v>
      </c>
      <c r="E79" s="143">
        <f t="shared" si="23"/>
        <v>4.1196516511016368</v>
      </c>
      <c r="F79" s="143">
        <f t="shared" si="23"/>
        <v>3.4365521686127933</v>
      </c>
      <c r="G79" s="143">
        <f t="shared" si="23"/>
        <v>2.7321756001971189</v>
      </c>
      <c r="H79" s="143">
        <f t="shared" si="23"/>
        <v>5.2177233488449328</v>
      </c>
      <c r="I79" s="16">
        <f t="shared" si="23"/>
        <v>5.2481932264251938</v>
      </c>
      <c r="J79" s="16">
        <f t="shared" si="23"/>
        <v>5.3741724331105072</v>
      </c>
      <c r="K79" s="16">
        <f t="shared" si="23"/>
        <v>5.4411969553422637</v>
      </c>
      <c r="L79" s="16">
        <f t="shared" si="23"/>
        <v>5.7309247011297906</v>
      </c>
      <c r="M79" s="16">
        <f t="shared" si="23"/>
        <v>6.1596607470776847</v>
      </c>
      <c r="N79" s="16">
        <f t="shared" si="23"/>
        <v>6.6449343119506885</v>
      </c>
      <c r="T79" s="158"/>
      <c r="U79" s="158"/>
      <c r="V79" s="158"/>
      <c r="W79" s="158"/>
    </row>
    <row r="80" spans="1:60" x14ac:dyDescent="0.3">
      <c r="A80" s="104"/>
      <c r="D80" t="s">
        <v>99</v>
      </c>
      <c r="E80" s="143">
        <f t="shared" si="23"/>
        <v>2.746434434067758</v>
      </c>
      <c r="F80" s="143">
        <f t="shared" si="23"/>
        <v>2.2910347790751957</v>
      </c>
      <c r="G80" s="143">
        <f t="shared" si="23"/>
        <v>1.8214504001314127</v>
      </c>
      <c r="H80" s="143">
        <f t="shared" si="23"/>
        <v>3.4784822325632887</v>
      </c>
      <c r="I80" s="16">
        <f t="shared" si="23"/>
        <v>3.7503260048161651</v>
      </c>
      <c r="J80" s="16">
        <f t="shared" si="23"/>
        <v>4.0122333050927326</v>
      </c>
      <c r="K80" s="16">
        <f t="shared" si="23"/>
        <v>3.976148495062982</v>
      </c>
      <c r="L80" s="16">
        <f t="shared" si="23"/>
        <v>4.1714047763602888</v>
      </c>
      <c r="M80" s="16">
        <f t="shared" si="23"/>
        <v>4.464064038686943</v>
      </c>
      <c r="N80" s="16">
        <f t="shared" si="23"/>
        <v>4.791443103470538</v>
      </c>
      <c r="T80" s="158"/>
      <c r="U80" s="158"/>
      <c r="V80" s="158"/>
      <c r="W80" s="158"/>
      <c r="AE80" s="84"/>
      <c r="AF80" s="84"/>
      <c r="AG80" s="84"/>
      <c r="AH80" s="84"/>
      <c r="AI80" s="84"/>
    </row>
    <row r="81" spans="1:15" x14ac:dyDescent="0.3">
      <c r="A81" s="104"/>
      <c r="D81" t="s">
        <v>100</v>
      </c>
      <c r="E81" s="143">
        <f t="shared" si="23"/>
        <v>50.623560543724622</v>
      </c>
      <c r="F81" s="143">
        <f t="shared" si="23"/>
        <v>52.462654189398187</v>
      </c>
      <c r="G81" s="143">
        <f t="shared" si="23"/>
        <v>51.129802151779295</v>
      </c>
      <c r="H81" s="143">
        <f t="shared" si="23"/>
        <v>53.025614848895074</v>
      </c>
      <c r="I81" s="16">
        <f t="shared" si="23"/>
        <v>53.554881972724893</v>
      </c>
      <c r="J81" s="16">
        <f t="shared" si="23"/>
        <v>56.623340755333793</v>
      </c>
      <c r="K81" s="16">
        <f t="shared" si="23"/>
        <v>57.755283360962643</v>
      </c>
      <c r="L81" s="16">
        <f t="shared" si="23"/>
        <v>61.726252915800707</v>
      </c>
      <c r="M81" s="16">
        <f t="shared" si="23"/>
        <v>66.704070340435479</v>
      </c>
      <c r="N81" s="16">
        <f t="shared" si="23"/>
        <v>71.933908931238989</v>
      </c>
    </row>
    <row r="82" spans="1:15" x14ac:dyDescent="0.3">
      <c r="A82" s="104"/>
      <c r="D82" t="s">
        <v>101</v>
      </c>
      <c r="E82" s="143">
        <f t="shared" si="23"/>
        <v>9.2830405493783541</v>
      </c>
      <c r="F82" s="143">
        <f t="shared" si="23"/>
        <v>10.005871606546503</v>
      </c>
      <c r="G82" s="143">
        <f t="shared" si="23"/>
        <v>9.4763689952277304</v>
      </c>
      <c r="H82" s="143">
        <f t="shared" si="23"/>
        <v>9.6003546676455063</v>
      </c>
      <c r="I82" s="16">
        <f t="shared" si="23"/>
        <v>9.8241243036221011</v>
      </c>
      <c r="J82" s="16">
        <f t="shared" si="23"/>
        <v>9.9846511131997939</v>
      </c>
      <c r="K82" s="16">
        <f t="shared" si="23"/>
        <v>10.086062280608015</v>
      </c>
      <c r="L82" s="16">
        <f t="shared" si="23"/>
        <v>10.429099242547808</v>
      </c>
      <c r="M82" s="16">
        <f t="shared" si="23"/>
        <v>10.917186667909565</v>
      </c>
      <c r="N82" s="16">
        <f t="shared" si="23"/>
        <v>11.561557742539293</v>
      </c>
    </row>
    <row r="83" spans="1:15" x14ac:dyDescent="0.3">
      <c r="A83" s="104"/>
      <c r="D83" t="s">
        <v>102</v>
      </c>
      <c r="E83" s="143">
        <f t="shared" si="23"/>
        <v>5.2601592390744063</v>
      </c>
      <c r="F83" s="143">
        <f t="shared" si="23"/>
        <v>5.2611181565675338</v>
      </c>
      <c r="G83" s="143">
        <f t="shared" si="23"/>
        <v>5.1356951071515091</v>
      </c>
      <c r="H83" s="143">
        <f t="shared" si="23"/>
        <v>5.1306307728215517</v>
      </c>
      <c r="I83" s="16">
        <f t="shared" si="23"/>
        <v>5.1887157103926791</v>
      </c>
      <c r="J83" s="16">
        <f t="shared" si="23"/>
        <v>5.3781098706794435</v>
      </c>
      <c r="K83" s="16">
        <f t="shared" si="23"/>
        <v>5.5670169415756359</v>
      </c>
      <c r="L83" s="16">
        <f t="shared" si="23"/>
        <v>5.9113743014327227</v>
      </c>
      <c r="M83" s="16">
        <f t="shared" si="23"/>
        <v>6.3435854595421013</v>
      </c>
      <c r="N83" s="16">
        <f t="shared" si="23"/>
        <v>6.8323863176285888</v>
      </c>
    </row>
    <row r="84" spans="1:15" x14ac:dyDescent="0.3">
      <c r="A84" s="104"/>
      <c r="D84" t="s">
        <v>103</v>
      </c>
      <c r="E84" s="143">
        <f t="shared" si="23"/>
        <v>51.478365220770883</v>
      </c>
      <c r="F84" s="143">
        <f t="shared" si="23"/>
        <v>53.627665797072147</v>
      </c>
      <c r="G84" s="143">
        <f t="shared" si="23"/>
        <v>54.703848435747197</v>
      </c>
      <c r="H84" s="143">
        <f t="shared" si="23"/>
        <v>51.664645030110087</v>
      </c>
      <c r="I84" s="16">
        <f t="shared" si="23"/>
        <v>53.787514651687459</v>
      </c>
      <c r="J84" s="16">
        <f t="shared" si="23"/>
        <v>57.871473015221156</v>
      </c>
      <c r="K84" s="16">
        <f t="shared" si="23"/>
        <v>61.635581569083918</v>
      </c>
      <c r="L84" s="16">
        <f t="shared" si="23"/>
        <v>66.279039619635626</v>
      </c>
      <c r="M84" s="16">
        <f t="shared" si="23"/>
        <v>71.349192931795045</v>
      </c>
      <c r="N84" s="16">
        <f t="shared" si="23"/>
        <v>76.70040049289149</v>
      </c>
    </row>
    <row r="85" spans="1:15" x14ac:dyDescent="0.3">
      <c r="A85" s="104"/>
      <c r="D85" t="s">
        <v>104</v>
      </c>
      <c r="E85" s="143">
        <f t="shared" si="23"/>
        <v>165.32291102991937</v>
      </c>
      <c r="F85" s="143">
        <f t="shared" si="23"/>
        <v>173.55539954998886</v>
      </c>
      <c r="G85" s="143">
        <f t="shared" si="23"/>
        <v>151.84077137234746</v>
      </c>
      <c r="H85" s="143">
        <f t="shared" si="23"/>
        <v>158.22490354416772</v>
      </c>
      <c r="I85" s="16">
        <f t="shared" si="23"/>
        <v>155.7438842300572</v>
      </c>
      <c r="J85" s="16">
        <f t="shared" si="23"/>
        <v>159.15276006807696</v>
      </c>
      <c r="K85" s="16">
        <f t="shared" si="23"/>
        <v>166.25811001808231</v>
      </c>
      <c r="L85" s="16">
        <f t="shared" si="23"/>
        <v>175.4021666367471</v>
      </c>
      <c r="M85" s="16">
        <f t="shared" si="23"/>
        <v>186.93083205626482</v>
      </c>
      <c r="N85" s="16">
        <f t="shared" si="23"/>
        <v>200.70259601423271</v>
      </c>
    </row>
    <row r="86" spans="1:15" x14ac:dyDescent="0.3">
      <c r="A86" s="104" t="s">
        <v>105</v>
      </c>
      <c r="B86" s="104" t="s">
        <v>92</v>
      </c>
      <c r="C86" s="104"/>
      <c r="D86" s="104"/>
      <c r="E86" s="148">
        <v>1.8540563429871017E-2</v>
      </c>
      <c r="F86" s="148">
        <v>1.7108067279807165E-2</v>
      </c>
      <c r="G86" s="148">
        <v>1.7695872670921538E-2</v>
      </c>
      <c r="H86" s="148">
        <v>1.8245517527465224E-2</v>
      </c>
      <c r="I86" s="81">
        <f>H86*AI48/AE48</f>
        <v>1.7829938832394858E-2</v>
      </c>
      <c r="J86" s="81">
        <f>H86*AN48/AE48</f>
        <v>1.7540599064286934E-2</v>
      </c>
      <c r="K86" s="81">
        <f>H86*AS48/AE48</f>
        <v>1.7278087736105799E-2</v>
      </c>
      <c r="L86" s="81">
        <f>H86*AX48/AE48</f>
        <v>1.7042770569916744E-2</v>
      </c>
      <c r="M86" s="81">
        <f>H86*BC48/AE48</f>
        <v>1.6834604608910765E-2</v>
      </c>
      <c r="N86" s="81">
        <f>H86*BH48/AE48</f>
        <v>1.6637281676268795E-2</v>
      </c>
      <c r="O86" t="s">
        <v>244</v>
      </c>
    </row>
    <row r="87" spans="1:15" x14ac:dyDescent="0.3">
      <c r="A87" s="104"/>
      <c r="B87" s="104" t="s">
        <v>93</v>
      </c>
      <c r="C87" s="104"/>
      <c r="D87" s="104"/>
      <c r="E87" s="148">
        <v>5.5851020806272807E-2</v>
      </c>
      <c r="F87" s="148">
        <v>5.7214665401109782E-2</v>
      </c>
      <c r="G87" s="148">
        <v>5.4243819253650828E-2</v>
      </c>
      <c r="H87" s="148">
        <v>5.5863793255042711E-2</v>
      </c>
      <c r="I87" s="81">
        <f>H87*AI58/AE58</f>
        <v>5.7037493045690502E-2</v>
      </c>
      <c r="J87" s="81">
        <f>H87*AN58/AE58</f>
        <v>5.444490121696513E-2</v>
      </c>
      <c r="K87" s="81">
        <f>H87*AS58/AE58</f>
        <v>5.104861911748098E-2</v>
      </c>
      <c r="L87" s="81">
        <f>H87*AX58/AE58</f>
        <v>4.793852050825588E-2</v>
      </c>
      <c r="M87" s="81">
        <f>H87*BC58/AE58</f>
        <v>4.5225499483371609E-2</v>
      </c>
      <c r="N87" s="81">
        <f>H87*BH58/AE58</f>
        <v>4.3521015017402867E-2</v>
      </c>
      <c r="O87" t="s">
        <v>244</v>
      </c>
    </row>
    <row r="88" spans="1:15" x14ac:dyDescent="0.3">
      <c r="A88" s="104"/>
      <c r="B88" s="104" t="s">
        <v>94</v>
      </c>
      <c r="C88" s="104"/>
      <c r="D88" s="104"/>
      <c r="E88" s="148">
        <f>1-E89-E86-E87</f>
        <v>0.7881861478658464</v>
      </c>
      <c r="F88" s="148">
        <f>1-F89-F86-F87</f>
        <v>0.78708864599088446</v>
      </c>
      <c r="G88" s="148">
        <f>1-G89-G86-G87</f>
        <v>0.79424354857108603</v>
      </c>
      <c r="H88" s="148">
        <f>1-H89-H86-H87</f>
        <v>0.79677969884638189</v>
      </c>
      <c r="I88" s="81">
        <f t="shared" ref="I88:N88" si="25">1-I89-I86-I87</f>
        <v>0.79730472317493173</v>
      </c>
      <c r="J88" s="81">
        <f t="shared" si="25"/>
        <v>0.80085910600832055</v>
      </c>
      <c r="K88" s="81">
        <f t="shared" si="25"/>
        <v>0.80603935043042652</v>
      </c>
      <c r="L88" s="81">
        <f t="shared" si="25"/>
        <v>0.81028468017364585</v>
      </c>
      <c r="M88" s="81">
        <f t="shared" si="25"/>
        <v>0.81403983644759526</v>
      </c>
      <c r="N88" s="81">
        <f t="shared" si="25"/>
        <v>0.81632135268350747</v>
      </c>
      <c r="O88" t="s">
        <v>110</v>
      </c>
    </row>
    <row r="89" spans="1:15" x14ac:dyDescent="0.3">
      <c r="A89" s="104"/>
      <c r="B89" s="104" t="s">
        <v>95</v>
      </c>
      <c r="C89" s="104"/>
      <c r="D89" s="104"/>
      <c r="E89" s="148">
        <v>0.13742226789800979</v>
      </c>
      <c r="F89" s="148">
        <v>0.1385886213281986</v>
      </c>
      <c r="G89" s="148">
        <v>0.13381675950434152</v>
      </c>
      <c r="H89" s="148">
        <v>0.12911099037111018</v>
      </c>
      <c r="I89" s="81">
        <f>H89*AI69/AE69</f>
        <v>0.1278278449469829</v>
      </c>
      <c r="J89" s="81">
        <f>H89*AN69/AE69</f>
        <v>0.12715539371042742</v>
      </c>
      <c r="K89" s="81">
        <f>H89*AS69/AE69</f>
        <v>0.12563394271598671</v>
      </c>
      <c r="L89" s="81">
        <f>H89*AX69/AE69</f>
        <v>0.12473402874818154</v>
      </c>
      <c r="M89" s="81">
        <f>H89*BC69/AE69</f>
        <v>0.12390005946012242</v>
      </c>
      <c r="N89" s="81">
        <f>H89*BH69/AE69</f>
        <v>0.12352035062282085</v>
      </c>
      <c r="O89" t="s">
        <v>244</v>
      </c>
    </row>
    <row r="90" spans="1:15" x14ac:dyDescent="0.3">
      <c r="A90" s="104"/>
      <c r="C90" s="104" t="s">
        <v>96</v>
      </c>
      <c r="D90" s="104"/>
      <c r="E90" s="149">
        <v>0.12554976195873951</v>
      </c>
      <c r="F90" s="149">
        <v>0.13290116164269863</v>
      </c>
      <c r="G90" s="149">
        <v>0.15010351214905748</v>
      </c>
      <c r="H90" s="149">
        <v>0.14469911501288316</v>
      </c>
      <c r="I90" s="81">
        <f>$H90*AI70/$AE70</f>
        <v>0.13743255927649789</v>
      </c>
      <c r="J90" s="81">
        <f>$H90*AN70/$AE70</f>
        <v>0.12806182372025346</v>
      </c>
      <c r="K90" s="81">
        <f>$H90*AS70/$AE70</f>
        <v>0.11495246047662978</v>
      </c>
      <c r="L90" s="81">
        <f>$H90*AX70/$AE70</f>
        <v>0.10597789702225564</v>
      </c>
      <c r="M90" s="81">
        <f>$H90*BC70/$AE70</f>
        <v>9.5059482856999042E-2</v>
      </c>
      <c r="N90" s="81">
        <f>$H90*BH70/$AE70</f>
        <v>8.8040230921460225E-2</v>
      </c>
    </row>
    <row r="91" spans="1:15" x14ac:dyDescent="0.3">
      <c r="A91" s="104"/>
      <c r="C91" s="104" t="s">
        <v>97</v>
      </c>
      <c r="D91" s="104"/>
      <c r="E91" s="149">
        <v>0.87445023804126043</v>
      </c>
      <c r="F91" s="149">
        <v>0.86709883835730128</v>
      </c>
      <c r="G91" s="149">
        <v>0.84989648785094241</v>
      </c>
      <c r="H91" s="149">
        <v>0.85530088498711687</v>
      </c>
      <c r="I91" s="81">
        <f>1-I90</f>
        <v>0.86256744072350211</v>
      </c>
      <c r="J91" s="81">
        <f t="shared" ref="J91:N91" si="26">1-J90</f>
        <v>0.87193817627974657</v>
      </c>
      <c r="K91" s="81">
        <f t="shared" si="26"/>
        <v>0.88504753952337023</v>
      </c>
      <c r="L91" s="81">
        <f t="shared" si="26"/>
        <v>0.89402210297774432</v>
      </c>
      <c r="M91" s="81">
        <f t="shared" si="26"/>
        <v>0.90494051714300094</v>
      </c>
      <c r="N91" s="81">
        <f t="shared" si="26"/>
        <v>0.91195976907853982</v>
      </c>
    </row>
    <row r="92" spans="1:15" x14ac:dyDescent="0.3">
      <c r="A92" s="104"/>
      <c r="D92" t="s">
        <v>98</v>
      </c>
      <c r="E92" s="149">
        <v>1.4263036559002542E-2</v>
      </c>
      <c r="F92" s="149">
        <v>1.1430776950094559E-2</v>
      </c>
      <c r="G92" s="149">
        <v>9.8691464175519866E-3</v>
      </c>
      <c r="H92" s="149">
        <v>1.8221975435514078E-2</v>
      </c>
      <c r="I92" s="81">
        <f>$H92*AI72/$AE72</f>
        <v>1.8280168463252401E-2</v>
      </c>
      <c r="J92" s="81">
        <f>$H92*AN72/$AE72</f>
        <v>1.8010157962891793E-2</v>
      </c>
      <c r="K92" s="81">
        <f>$H92*AS72/$AE72</f>
        <v>1.7511610031379132E-2</v>
      </c>
      <c r="L92" s="81">
        <f>$H92*AX72/$AE72</f>
        <v>1.7384863166779892E-2</v>
      </c>
      <c r="M92" s="81">
        <f>$H92*BC72/$AE72</f>
        <v>1.7455962028092246E-2</v>
      </c>
      <c r="N92" s="81">
        <f>$H92*BH72/$AE72</f>
        <v>1.7525075587449652E-2</v>
      </c>
    </row>
    <row r="93" spans="1:15" x14ac:dyDescent="0.3">
      <c r="A93" s="104"/>
      <c r="D93" t="s">
        <v>99</v>
      </c>
      <c r="E93" s="149">
        <v>9.508691039335028E-3</v>
      </c>
      <c r="F93" s="149">
        <v>7.620517966729707E-3</v>
      </c>
      <c r="G93" s="149">
        <v>6.579430945034658E-3</v>
      </c>
      <c r="H93" s="149">
        <v>1.2147983623676053E-2</v>
      </c>
      <c r="I93" s="81">
        <f t="shared" ref="I93:I97" si="27">$H93*AI73/$AE73</f>
        <v>1.3062893876499502E-2</v>
      </c>
      <c r="J93" s="81">
        <f t="shared" ref="J93:J97" si="28">$H93*AN73/$AE73</f>
        <v>1.3445968939048676E-2</v>
      </c>
      <c r="K93" s="81">
        <f t="shared" ref="K93:K97" si="29">$H93*AS73/$AE73</f>
        <v>1.2796589140930693E-2</v>
      </c>
      <c r="L93" s="81">
        <f t="shared" ref="L93:L97" si="30">$H93*AX73/$AE73</f>
        <v>1.2654031422883518E-2</v>
      </c>
      <c r="M93" s="81">
        <f t="shared" ref="M93:M97" si="31">$H93*BC73/$AE73</f>
        <v>1.2650783143740662E-2</v>
      </c>
      <c r="N93" s="81">
        <f t="shared" ref="N93:N97" si="32">$H93*BH73/$AE73</f>
        <v>1.26367543483865E-2</v>
      </c>
    </row>
    <row r="94" spans="1:15" x14ac:dyDescent="0.3">
      <c r="A94" s="104"/>
      <c r="D94" t="s">
        <v>100</v>
      </c>
      <c r="E94" s="149">
        <v>0.175268628498951</v>
      </c>
      <c r="F94" s="149">
        <v>0.17450306843181906</v>
      </c>
      <c r="G94" s="149">
        <v>0.1846907291390672</v>
      </c>
      <c r="H94" s="149">
        <v>0.18518257612172842</v>
      </c>
      <c r="I94" s="81">
        <f t="shared" si="27"/>
        <v>0.18653891391835253</v>
      </c>
      <c r="J94" s="81">
        <f t="shared" si="28"/>
        <v>0.18975857661492354</v>
      </c>
      <c r="K94" s="81">
        <f t="shared" si="29"/>
        <v>0.18587601363629727</v>
      </c>
      <c r="L94" s="81">
        <f t="shared" si="30"/>
        <v>0.1872476985306914</v>
      </c>
      <c r="M94" s="81">
        <f t="shared" si="31"/>
        <v>0.18903374175830254</v>
      </c>
      <c r="N94" s="81">
        <f t="shared" si="32"/>
        <v>0.18971552345573256</v>
      </c>
    </row>
    <row r="95" spans="1:15" x14ac:dyDescent="0.3">
      <c r="A95" s="104"/>
      <c r="D95" t="s">
        <v>101</v>
      </c>
      <c r="E95" s="149">
        <v>3.213969479654432E-2</v>
      </c>
      <c r="F95" s="149">
        <v>3.3281871164460221E-2</v>
      </c>
      <c r="G95" s="149">
        <v>3.4230476662592622E-2</v>
      </c>
      <c r="H95" s="149">
        <v>3.3527539739105924E-2</v>
      </c>
      <c r="I95" s="81">
        <f t="shared" si="27"/>
        <v>3.421875672753566E-2</v>
      </c>
      <c r="J95" s="81">
        <f t="shared" si="28"/>
        <v>3.3460992551184482E-2</v>
      </c>
      <c r="K95" s="81">
        <f t="shared" si="29"/>
        <v>3.2460355848137099E-2</v>
      </c>
      <c r="L95" s="81">
        <f t="shared" si="30"/>
        <v>3.1636860147319409E-2</v>
      </c>
      <c r="M95" s="81">
        <f t="shared" si="31"/>
        <v>3.0938391537072233E-2</v>
      </c>
      <c r="N95" s="81">
        <f t="shared" si="32"/>
        <v>3.0491975365695454E-2</v>
      </c>
    </row>
    <row r="96" spans="1:15" x14ac:dyDescent="0.3">
      <c r="A96" s="104"/>
      <c r="D96" t="s">
        <v>102</v>
      </c>
      <c r="E96" s="149">
        <v>1.8211696009061973E-2</v>
      </c>
      <c r="F96" s="149">
        <v>1.7499710525300086E-2</v>
      </c>
      <c r="G96" s="149">
        <v>1.8551123494670987E-2</v>
      </c>
      <c r="H96" s="149">
        <v>1.7917820026188858E-2</v>
      </c>
      <c r="I96" s="81">
        <f t="shared" si="27"/>
        <v>1.8073000212019633E-2</v>
      </c>
      <c r="J96" s="81">
        <f t="shared" si="28"/>
        <v>1.8023353273140617E-2</v>
      </c>
      <c r="K96" s="81">
        <f t="shared" si="29"/>
        <v>1.791654125352669E-2</v>
      </c>
      <c r="L96" s="81">
        <f t="shared" si="30"/>
        <v>1.7932260275164192E-2</v>
      </c>
      <c r="M96" s="81">
        <f t="shared" si="31"/>
        <v>1.7977189239887933E-2</v>
      </c>
      <c r="N96" s="81">
        <f t="shared" si="32"/>
        <v>1.801945377304226E-2</v>
      </c>
    </row>
    <row r="97" spans="1:14" x14ac:dyDescent="0.3">
      <c r="A97" s="104"/>
      <c r="D97" t="s">
        <v>103</v>
      </c>
      <c r="E97" s="149">
        <v>0.17822812881404607</v>
      </c>
      <c r="F97" s="149">
        <v>0.178378169747964</v>
      </c>
      <c r="G97" s="149">
        <v>0.19760087520619479</v>
      </c>
      <c r="H97" s="149">
        <v>0.18042962987518854</v>
      </c>
      <c r="I97" s="81">
        <f t="shared" si="27"/>
        <v>0.18734920507533231</v>
      </c>
      <c r="J97" s="81">
        <f t="shared" si="28"/>
        <v>0.19394137116402624</v>
      </c>
      <c r="K97" s="81">
        <f t="shared" si="29"/>
        <v>0.1983641241722271</v>
      </c>
      <c r="L97" s="81">
        <f t="shared" si="30"/>
        <v>0.20105865889073615</v>
      </c>
      <c r="M97" s="81">
        <f t="shared" si="31"/>
        <v>0.20219762965733579</v>
      </c>
      <c r="N97" s="81">
        <f t="shared" si="32"/>
        <v>0.20228647163721714</v>
      </c>
    </row>
    <row r="98" spans="1:14" x14ac:dyDescent="0.3">
      <c r="A98" s="104"/>
      <c r="D98" t="s">
        <v>104</v>
      </c>
      <c r="E98" s="149">
        <v>0.57238012428305907</v>
      </c>
      <c r="F98" s="149">
        <v>0.57728588521363233</v>
      </c>
      <c r="G98" s="149">
        <v>0.54847821813488773</v>
      </c>
      <c r="H98" s="149">
        <v>0.55257247517859809</v>
      </c>
      <c r="I98" s="81">
        <f>1-I97-I96-I95-I94-I93-I92</f>
        <v>0.54247706172700794</v>
      </c>
      <c r="J98" s="81">
        <f t="shared" ref="J98:N98" si="33">1-J97-J96-J95-J94-J93-J92</f>
        <v>0.53335957949478452</v>
      </c>
      <c r="K98" s="81">
        <f t="shared" si="33"/>
        <v>0.53507476591750192</v>
      </c>
      <c r="L98" s="81">
        <f t="shared" si="33"/>
        <v>0.53208562756642541</v>
      </c>
      <c r="M98" s="81">
        <f t="shared" si="33"/>
        <v>0.52974630263556854</v>
      </c>
      <c r="N98" s="81">
        <f t="shared" si="33"/>
        <v>0.52932474583247635</v>
      </c>
    </row>
    <row r="100" spans="1:14" x14ac:dyDescent="0.3">
      <c r="E100" s="159">
        <f t="shared" ref="E100:N100" si="34">SUM(E92:E98)</f>
        <v>1</v>
      </c>
      <c r="F100" s="159">
        <f t="shared" si="34"/>
        <v>1</v>
      </c>
      <c r="G100" s="159">
        <f t="shared" si="34"/>
        <v>1</v>
      </c>
      <c r="H100" s="159">
        <f t="shared" si="34"/>
        <v>1</v>
      </c>
      <c r="I100" s="159">
        <f t="shared" si="34"/>
        <v>1</v>
      </c>
      <c r="J100" s="159">
        <f t="shared" si="34"/>
        <v>0.99999999999999989</v>
      </c>
      <c r="K100" s="159">
        <f t="shared" si="34"/>
        <v>1</v>
      </c>
      <c r="L100" s="159">
        <f t="shared" si="34"/>
        <v>1</v>
      </c>
      <c r="M100" s="159">
        <f t="shared" si="34"/>
        <v>1</v>
      </c>
      <c r="N100" s="159">
        <f t="shared" si="34"/>
        <v>1</v>
      </c>
    </row>
    <row r="101" spans="1:14" x14ac:dyDescent="0.3">
      <c r="D101" t="s">
        <v>245</v>
      </c>
      <c r="E101" s="158">
        <f>E78/E72</f>
        <v>0.12016893487558453</v>
      </c>
      <c r="F101" s="158">
        <f t="shared" ref="F101:N101" si="35">F78/F72</f>
        <v>0.12017003256322092</v>
      </c>
      <c r="G101" s="158">
        <f t="shared" si="35"/>
        <v>0.11373039391833407</v>
      </c>
      <c r="H101" s="158">
        <f t="shared" si="35"/>
        <v>0.11042874432597366</v>
      </c>
      <c r="I101" s="158">
        <f t="shared" si="35"/>
        <v>0.11026013706911969</v>
      </c>
      <c r="J101" s="158">
        <f t="shared" si="35"/>
        <v>0.11087164209600324</v>
      </c>
      <c r="K101" s="158">
        <f t="shared" si="35"/>
        <v>0.11119201188140408</v>
      </c>
      <c r="L101" s="158">
        <f t="shared" si="35"/>
        <v>0.11151497869433569</v>
      </c>
      <c r="M101" s="158">
        <f t="shared" si="35"/>
        <v>0.11212218388189174</v>
      </c>
      <c r="N101" s="158">
        <f t="shared" si="35"/>
        <v>0.11264559043048798</v>
      </c>
    </row>
  </sheetData>
  <mergeCells count="56">
    <mergeCell ref="N4:U4"/>
    <mergeCell ref="E4:L4"/>
    <mergeCell ref="C77:D77"/>
    <mergeCell ref="C78:D78"/>
    <mergeCell ref="A86:A98"/>
    <mergeCell ref="B86:D86"/>
    <mergeCell ref="B87:D87"/>
    <mergeCell ref="B88:D88"/>
    <mergeCell ref="B89:D89"/>
    <mergeCell ref="C90:D90"/>
    <mergeCell ref="C91:D91"/>
    <mergeCell ref="B68:D68"/>
    <mergeCell ref="E69:H69"/>
    <mergeCell ref="I69:N69"/>
    <mergeCell ref="A71:A85"/>
    <mergeCell ref="B71:D71"/>
    <mergeCell ref="B72:D72"/>
    <mergeCell ref="B73:D73"/>
    <mergeCell ref="B74:D74"/>
    <mergeCell ref="B75:D75"/>
    <mergeCell ref="B76:D76"/>
    <mergeCell ref="A53:A65"/>
    <mergeCell ref="B53:D53"/>
    <mergeCell ref="B54:D54"/>
    <mergeCell ref="B55:D55"/>
    <mergeCell ref="B56:D56"/>
    <mergeCell ref="C57:D57"/>
    <mergeCell ref="C58:D58"/>
    <mergeCell ref="B36:D36"/>
    <mergeCell ref="A38:A52"/>
    <mergeCell ref="B38:D38"/>
    <mergeCell ref="B39:D39"/>
    <mergeCell ref="B40:D40"/>
    <mergeCell ref="B41:D41"/>
    <mergeCell ref="B42:D42"/>
    <mergeCell ref="B43:D43"/>
    <mergeCell ref="C44:D44"/>
    <mergeCell ref="C45:D45"/>
    <mergeCell ref="C12:D12"/>
    <mergeCell ref="C13:D13"/>
    <mergeCell ref="A21:A33"/>
    <mergeCell ref="B21:D21"/>
    <mergeCell ref="B22:D22"/>
    <mergeCell ref="B23:D23"/>
    <mergeCell ref="B24:D24"/>
    <mergeCell ref="C25:D25"/>
    <mergeCell ref="C26:D26"/>
    <mergeCell ref="B2:I2"/>
    <mergeCell ref="B4:D4"/>
    <mergeCell ref="A6:A20"/>
    <mergeCell ref="B6:D6"/>
    <mergeCell ref="B7:D7"/>
    <mergeCell ref="B8:D8"/>
    <mergeCell ref="B9:D9"/>
    <mergeCell ref="B10:D10"/>
    <mergeCell ref="B11:D11"/>
  </mergeCell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D966"/>
  </sheetPr>
  <dimension ref="A2:J38"/>
  <sheetViews>
    <sheetView zoomScale="72" zoomScaleNormal="72" workbookViewId="0">
      <selection activeCell="G48" sqref="G48"/>
    </sheetView>
  </sheetViews>
  <sheetFormatPr baseColWidth="10" defaultColWidth="8.88671875" defaultRowHeight="14.4" x14ac:dyDescent="0.3"/>
  <cols>
    <col min="1" max="1" width="10.44140625" customWidth="1"/>
    <col min="2" max="3" width="14.88671875" customWidth="1"/>
    <col min="4" max="1025" width="10.44140625" customWidth="1"/>
  </cols>
  <sheetData>
    <row r="2" spans="2:9" ht="42.45" customHeight="1" x14ac:dyDescent="0.3">
      <c r="B2" s="106" t="s">
        <v>111</v>
      </c>
      <c r="C2" s="106"/>
      <c r="D2" s="106"/>
      <c r="E2" s="106"/>
      <c r="F2" s="106"/>
      <c r="G2" s="106"/>
      <c r="H2" s="106"/>
      <c r="I2" s="106"/>
    </row>
    <row r="30" spans="1:10" ht="14.4" customHeight="1" x14ac:dyDescent="0.3">
      <c r="A30" s="99"/>
    </row>
    <row r="31" spans="1:10" x14ac:dyDescent="0.3">
      <c r="A31" s="99"/>
      <c r="D31" s="13"/>
      <c r="E31" s="13"/>
      <c r="F31" s="13"/>
      <c r="G31" s="13"/>
      <c r="H31" s="13"/>
      <c r="I31" s="13"/>
      <c r="J31" s="13"/>
    </row>
    <row r="32" spans="1:10" x14ac:dyDescent="0.3">
      <c r="A32" s="99"/>
      <c r="D32" s="13"/>
      <c r="E32" s="13"/>
      <c r="F32" s="13"/>
      <c r="G32" s="13"/>
      <c r="H32" s="13"/>
      <c r="I32" s="13"/>
      <c r="J32" s="13"/>
    </row>
    <row r="33" spans="1:10" ht="14.4" customHeight="1" x14ac:dyDescent="0.3">
      <c r="A33" s="99"/>
    </row>
    <row r="34" spans="1:10" x14ac:dyDescent="0.3">
      <c r="A34" s="99"/>
      <c r="D34" s="13"/>
      <c r="E34" s="13"/>
      <c r="F34" s="13"/>
      <c r="G34" s="13"/>
      <c r="H34" s="13"/>
      <c r="I34" s="13"/>
      <c r="J34" s="13"/>
    </row>
    <row r="35" spans="1:10" x14ac:dyDescent="0.3">
      <c r="A35" s="99"/>
      <c r="D35" s="13"/>
      <c r="E35" s="13"/>
      <c r="F35" s="13"/>
      <c r="G35" s="13"/>
      <c r="H35" s="13"/>
      <c r="I35" s="13"/>
      <c r="J35" s="13"/>
    </row>
    <row r="36" spans="1:10" ht="14.4" customHeight="1" x14ac:dyDescent="0.3">
      <c r="A36" s="99"/>
    </row>
    <row r="37" spans="1:10" x14ac:dyDescent="0.3">
      <c r="A37" s="99"/>
      <c r="D37" s="13"/>
      <c r="E37" s="13"/>
      <c r="F37" s="13"/>
      <c r="G37" s="13"/>
      <c r="H37" s="13"/>
      <c r="I37" s="13"/>
      <c r="J37" s="13"/>
    </row>
    <row r="38" spans="1:10" x14ac:dyDescent="0.3">
      <c r="A38" s="99"/>
      <c r="D38" s="13"/>
      <c r="E38" s="13"/>
      <c r="F38" s="13"/>
      <c r="G38" s="13"/>
      <c r="H38" s="13"/>
    </row>
  </sheetData>
  <mergeCells count="4">
    <mergeCell ref="B2:I2"/>
    <mergeCell ref="A30:A32"/>
    <mergeCell ref="A33:A35"/>
    <mergeCell ref="A36:A38"/>
  </mergeCell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C5BCD"/>
  </sheetPr>
  <dimension ref="A2:W20"/>
  <sheetViews>
    <sheetView zoomScale="72" zoomScaleNormal="72" workbookViewId="0">
      <selection activeCell="A19" sqref="A19"/>
    </sheetView>
  </sheetViews>
  <sheetFormatPr baseColWidth="10" defaultColWidth="8.88671875" defaultRowHeight="14.4" x14ac:dyDescent="0.3"/>
  <cols>
    <col min="1" max="1025" width="10.44140625" customWidth="1"/>
  </cols>
  <sheetData>
    <row r="2" spans="1:23" x14ac:dyDescent="0.3">
      <c r="B2" s="97" t="s">
        <v>68</v>
      </c>
      <c r="C2" s="97"/>
      <c r="D2" s="97"/>
      <c r="E2" s="97"/>
      <c r="F2" s="97"/>
      <c r="G2" s="97"/>
      <c r="H2" s="97"/>
      <c r="I2" s="97"/>
      <c r="J2" s="97"/>
    </row>
    <row r="3" spans="1:23" x14ac:dyDescent="0.3">
      <c r="B3" s="1" t="s">
        <v>112</v>
      </c>
      <c r="C3" s="2">
        <v>2018</v>
      </c>
      <c r="D3" s="2">
        <v>2020</v>
      </c>
      <c r="E3" s="2">
        <v>2025</v>
      </c>
      <c r="F3" s="2">
        <v>2030</v>
      </c>
      <c r="G3" s="2">
        <v>2035</v>
      </c>
      <c r="H3" s="2">
        <v>2040</v>
      </c>
      <c r="I3" s="2">
        <v>2045</v>
      </c>
      <c r="J3" s="3">
        <v>2050</v>
      </c>
      <c r="W3" t="s">
        <v>113</v>
      </c>
    </row>
    <row r="4" spans="1:23" x14ac:dyDescent="0.3">
      <c r="B4" s="1" t="s">
        <v>114</v>
      </c>
      <c r="C4" s="2">
        <v>44.6</v>
      </c>
      <c r="D4" s="2">
        <f t="shared" ref="D4:J4" si="0">C4</f>
        <v>44.6</v>
      </c>
      <c r="E4" s="2">
        <f t="shared" si="0"/>
        <v>44.6</v>
      </c>
      <c r="F4" s="2">
        <f t="shared" si="0"/>
        <v>44.6</v>
      </c>
      <c r="G4" s="2">
        <f t="shared" si="0"/>
        <v>44.6</v>
      </c>
      <c r="H4" s="2">
        <f t="shared" si="0"/>
        <v>44.6</v>
      </c>
      <c r="I4" s="2">
        <f t="shared" si="0"/>
        <v>44.6</v>
      </c>
      <c r="J4" s="3">
        <f t="shared" si="0"/>
        <v>44.6</v>
      </c>
      <c r="W4" s="46">
        <v>1.6E-2</v>
      </c>
    </row>
    <row r="5" spans="1:23" x14ac:dyDescent="0.3">
      <c r="B5" s="49" t="s">
        <v>115</v>
      </c>
      <c r="C5" s="85">
        <f t="shared" ref="C5:J5" si="1">C17</f>
        <v>15.5</v>
      </c>
      <c r="D5" s="85">
        <f t="shared" si="1"/>
        <v>55</v>
      </c>
      <c r="E5" s="85">
        <f t="shared" si="1"/>
        <v>65</v>
      </c>
      <c r="F5" s="85">
        <f t="shared" si="1"/>
        <v>85</v>
      </c>
      <c r="G5" s="85">
        <f t="shared" si="1"/>
        <v>96</v>
      </c>
      <c r="H5" s="85">
        <f t="shared" si="1"/>
        <v>105</v>
      </c>
      <c r="I5" s="85">
        <f t="shared" si="1"/>
        <v>125</v>
      </c>
      <c r="J5" s="85">
        <f t="shared" si="1"/>
        <v>150</v>
      </c>
    </row>
    <row r="7" spans="1:23" ht="36" customHeight="1" x14ac:dyDescent="0.3">
      <c r="B7" s="98" t="s">
        <v>116</v>
      </c>
      <c r="C7" s="98"/>
      <c r="D7" s="98"/>
      <c r="E7" s="98"/>
      <c r="F7" s="98"/>
      <c r="G7" s="98"/>
      <c r="H7" s="98"/>
      <c r="I7" s="98"/>
      <c r="J7" s="98"/>
    </row>
    <row r="9" spans="1:23" x14ac:dyDescent="0.3">
      <c r="U9" t="s">
        <v>117</v>
      </c>
    </row>
    <row r="10" spans="1:23" x14ac:dyDescent="0.3">
      <c r="B10">
        <v>2015</v>
      </c>
      <c r="C10">
        <v>2018</v>
      </c>
      <c r="D10">
        <v>2020</v>
      </c>
      <c r="E10">
        <v>2025</v>
      </c>
      <c r="F10">
        <v>2030</v>
      </c>
      <c r="G10">
        <v>2035</v>
      </c>
      <c r="H10">
        <v>2040</v>
      </c>
      <c r="I10">
        <v>2045</v>
      </c>
      <c r="J10">
        <v>2050</v>
      </c>
      <c r="U10" t="s">
        <v>19</v>
      </c>
    </row>
    <row r="11" spans="1:23" x14ac:dyDescent="0.3">
      <c r="A11" t="s">
        <v>118</v>
      </c>
      <c r="B11" s="13">
        <f t="shared" ref="B11:J11" si="2">B12+(B12*$W$4)</f>
        <v>7.62</v>
      </c>
      <c r="C11" s="13">
        <f t="shared" si="2"/>
        <v>12.192</v>
      </c>
      <c r="D11" s="13">
        <f t="shared" si="2"/>
        <v>15.24</v>
      </c>
      <c r="E11" s="13">
        <f t="shared" si="2"/>
        <v>22.86</v>
      </c>
      <c r="F11" s="13">
        <f t="shared" si="2"/>
        <v>34.036000000000001</v>
      </c>
      <c r="G11" s="13">
        <f t="shared" si="2"/>
        <v>42.671999999999997</v>
      </c>
      <c r="H11" s="13">
        <f t="shared" si="2"/>
        <v>50.8</v>
      </c>
      <c r="I11" s="13">
        <f t="shared" si="2"/>
        <v>70.103999999999999</v>
      </c>
      <c r="J11" s="13">
        <f t="shared" si="2"/>
        <v>89.408000000000001</v>
      </c>
    </row>
    <row r="12" spans="1:23" x14ac:dyDescent="0.3">
      <c r="A12" t="s">
        <v>119</v>
      </c>
      <c r="B12">
        <v>7.5</v>
      </c>
      <c r="C12">
        <f>B12+(D12-B12)*(3/5)</f>
        <v>12</v>
      </c>
      <c r="D12">
        <v>15</v>
      </c>
      <c r="E12">
        <v>22.5</v>
      </c>
      <c r="F12">
        <v>33.5</v>
      </c>
      <c r="G12">
        <v>42</v>
      </c>
      <c r="H12">
        <v>50</v>
      </c>
      <c r="I12">
        <v>69</v>
      </c>
      <c r="J12">
        <v>88</v>
      </c>
    </row>
    <row r="13" spans="1:23" x14ac:dyDescent="0.3">
      <c r="A13" t="s">
        <v>120</v>
      </c>
      <c r="C13" s="86">
        <v>15.5</v>
      </c>
      <c r="D13">
        <v>25</v>
      </c>
      <c r="E13">
        <v>28</v>
      </c>
      <c r="F13">
        <v>30</v>
      </c>
      <c r="G13">
        <v>40</v>
      </c>
      <c r="H13">
        <v>53</v>
      </c>
      <c r="I13" s="87">
        <f>I11</f>
        <v>70.103999999999999</v>
      </c>
      <c r="J13" s="87">
        <f>J11</f>
        <v>89.408000000000001</v>
      </c>
      <c r="K13" t="s">
        <v>121</v>
      </c>
    </row>
    <row r="14" spans="1:23" x14ac:dyDescent="0.3">
      <c r="A14" t="s">
        <v>122</v>
      </c>
      <c r="B14">
        <v>7.5</v>
      </c>
      <c r="C14">
        <v>15.5</v>
      </c>
      <c r="D14">
        <v>25</v>
      </c>
      <c r="E14">
        <v>26.5</v>
      </c>
      <c r="F14">
        <v>30</v>
      </c>
      <c r="G14">
        <v>50</v>
      </c>
      <c r="H14">
        <v>80</v>
      </c>
      <c r="I14">
        <v>120</v>
      </c>
      <c r="J14">
        <v>150</v>
      </c>
      <c r="K14" s="11" t="s">
        <v>123</v>
      </c>
      <c r="L14" t="s">
        <v>124</v>
      </c>
    </row>
    <row r="15" spans="1:23" x14ac:dyDescent="0.3">
      <c r="A15" s="88" t="s">
        <v>125</v>
      </c>
      <c r="B15" s="88"/>
      <c r="C15" s="88">
        <v>15.5</v>
      </c>
      <c r="D15" s="88">
        <v>55</v>
      </c>
      <c r="E15" s="88">
        <v>60</v>
      </c>
      <c r="F15" s="88">
        <v>65</v>
      </c>
      <c r="G15" s="88">
        <v>67</v>
      </c>
      <c r="H15" s="88">
        <v>70</v>
      </c>
      <c r="I15" s="88">
        <v>75</v>
      </c>
      <c r="J15" s="88">
        <v>90</v>
      </c>
      <c r="K15" s="88" t="s">
        <v>126</v>
      </c>
    </row>
    <row r="16" spans="1:23" x14ac:dyDescent="0.3">
      <c r="A16" s="88" t="s">
        <v>127</v>
      </c>
      <c r="B16" s="88"/>
      <c r="C16" s="88">
        <v>15.5</v>
      </c>
      <c r="D16" s="88">
        <v>55</v>
      </c>
      <c r="E16" s="88">
        <v>60</v>
      </c>
      <c r="F16" s="88">
        <v>70</v>
      </c>
      <c r="G16" s="88">
        <v>80</v>
      </c>
      <c r="H16" s="88">
        <v>90</v>
      </c>
      <c r="I16" s="88">
        <v>110</v>
      </c>
      <c r="J16" s="88">
        <v>130</v>
      </c>
      <c r="K16" s="88" t="s">
        <v>128</v>
      </c>
    </row>
    <row r="17" spans="1:11" x14ac:dyDescent="0.3">
      <c r="A17" s="12" t="s">
        <v>129</v>
      </c>
      <c r="B17" s="12"/>
      <c r="C17" s="12">
        <v>15.5</v>
      </c>
      <c r="D17" s="12">
        <v>55</v>
      </c>
      <c r="E17" s="12">
        <v>65</v>
      </c>
      <c r="F17" s="12">
        <v>85</v>
      </c>
      <c r="G17" s="12">
        <v>96</v>
      </c>
      <c r="H17" s="12">
        <v>105</v>
      </c>
      <c r="I17" s="12">
        <v>125</v>
      </c>
      <c r="J17" s="12">
        <v>150</v>
      </c>
      <c r="K17" s="88" t="s">
        <v>130</v>
      </c>
    </row>
    <row r="19" spans="1:11" x14ac:dyDescent="0.3">
      <c r="A19" s="88" t="s">
        <v>131</v>
      </c>
      <c r="C19" s="88">
        <v>15.5</v>
      </c>
      <c r="F19" s="88">
        <v>75</v>
      </c>
    </row>
    <row r="20" spans="1:11" x14ac:dyDescent="0.3">
      <c r="A20" t="s">
        <v>132</v>
      </c>
      <c r="C20">
        <v>15.5</v>
      </c>
      <c r="D20">
        <v>56</v>
      </c>
      <c r="E20">
        <v>71.25</v>
      </c>
      <c r="F20">
        <v>94.7</v>
      </c>
    </row>
  </sheetData>
  <mergeCells count="2">
    <mergeCell ref="B2:J2"/>
    <mergeCell ref="B7:J7"/>
  </mergeCells>
  <hyperlinks>
    <hyperlink ref="K14" r:id="rId1"/>
  </hyperlinks>
  <pageMargins left="0.7" right="0.7" top="0.75" bottom="0.75" header="0.51180555555555496" footer="0.51180555555555496"/>
  <pageSetup paperSize="9" firstPageNumber="0" orientation="portrait" horizontalDpi="300" verticalDpi="30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15"/>
  <sheetViews>
    <sheetView zoomScale="72" zoomScaleNormal="72" workbookViewId="0">
      <selection activeCell="B19" activeCellId="1" sqref="C35:G35 B19"/>
    </sheetView>
  </sheetViews>
  <sheetFormatPr baseColWidth="10" defaultColWidth="8.88671875" defaultRowHeight="14.4" x14ac:dyDescent="0.3"/>
  <cols>
    <col min="1" max="1" width="25.33203125" customWidth="1"/>
    <col min="2" max="2" width="30.6640625" customWidth="1"/>
    <col min="3" max="3" width="64.21875" customWidth="1"/>
    <col min="4" max="4" width="69.33203125" customWidth="1"/>
    <col min="5" max="1025" width="8.44140625" customWidth="1"/>
  </cols>
  <sheetData>
    <row r="1" spans="1:5" ht="27" customHeight="1" x14ac:dyDescent="0.3">
      <c r="A1" s="89" t="s">
        <v>133</v>
      </c>
      <c r="B1" s="89" t="s">
        <v>134</v>
      </c>
      <c r="C1" s="89" t="s">
        <v>135</v>
      </c>
      <c r="D1" s="89" t="s">
        <v>136</v>
      </c>
      <c r="E1" t="s">
        <v>137</v>
      </c>
    </row>
    <row r="2" spans="1:5" ht="13.95" customHeight="1" x14ac:dyDescent="0.3">
      <c r="A2" s="102" t="s">
        <v>138</v>
      </c>
      <c r="B2" s="107" t="s">
        <v>139</v>
      </c>
      <c r="C2" s="108" t="s">
        <v>140</v>
      </c>
      <c r="D2" s="108"/>
    </row>
    <row r="3" spans="1:5" ht="28.8" x14ac:dyDescent="0.3">
      <c r="A3" s="102"/>
      <c r="B3" s="107"/>
      <c r="C3" s="91" t="s">
        <v>141</v>
      </c>
      <c r="D3" s="92" t="s">
        <v>142</v>
      </c>
    </row>
    <row r="4" spans="1:5" ht="187.2" x14ac:dyDescent="0.3">
      <c r="A4" s="93" t="s">
        <v>143</v>
      </c>
      <c r="B4" s="90" t="s">
        <v>144</v>
      </c>
      <c r="C4" s="90" t="s">
        <v>145</v>
      </c>
      <c r="D4" s="90" t="s">
        <v>146</v>
      </c>
    </row>
    <row r="5" spans="1:5" ht="100.8" x14ac:dyDescent="0.3">
      <c r="A5" s="93" t="s">
        <v>147</v>
      </c>
      <c r="B5" s="90" t="s">
        <v>148</v>
      </c>
      <c r="C5" s="90" t="s">
        <v>149</v>
      </c>
      <c r="D5" s="90" t="s">
        <v>150</v>
      </c>
    </row>
    <row r="6" spans="1:5" ht="55.5" customHeight="1" x14ac:dyDescent="0.3">
      <c r="A6" s="43" t="s">
        <v>151</v>
      </c>
      <c r="B6" s="90" t="s">
        <v>152</v>
      </c>
      <c r="C6" s="90" t="s">
        <v>153</v>
      </c>
      <c r="D6" s="90" t="s">
        <v>154</v>
      </c>
    </row>
    <row r="7" spans="1:5" ht="86.4" x14ac:dyDescent="0.3">
      <c r="A7" s="93" t="s">
        <v>155</v>
      </c>
      <c r="B7" s="90" t="s">
        <v>156</v>
      </c>
      <c r="C7" s="90" t="s">
        <v>157</v>
      </c>
      <c r="D7" s="90" t="s">
        <v>158</v>
      </c>
    </row>
    <row r="8" spans="1:5" ht="72" x14ac:dyDescent="0.3">
      <c r="A8" s="43" t="s">
        <v>159</v>
      </c>
      <c r="B8" s="90" t="s">
        <v>160</v>
      </c>
      <c r="C8" s="90" t="s">
        <v>157</v>
      </c>
      <c r="D8" s="90" t="s">
        <v>161</v>
      </c>
    </row>
    <row r="9" spans="1:5" ht="72" x14ac:dyDescent="0.3">
      <c r="A9" s="43" t="s">
        <v>162</v>
      </c>
      <c r="B9" s="90" t="s">
        <v>163</v>
      </c>
      <c r="C9" s="90" t="s">
        <v>164</v>
      </c>
      <c r="D9" s="94" t="s">
        <v>165</v>
      </c>
    </row>
    <row r="10" spans="1:5" ht="57.6" x14ac:dyDescent="0.3">
      <c r="A10" s="43" t="s">
        <v>166</v>
      </c>
      <c r="B10" s="90" t="s">
        <v>167</v>
      </c>
      <c r="C10" s="90" t="s">
        <v>168</v>
      </c>
      <c r="D10" s="90" t="s">
        <v>169</v>
      </c>
    </row>
    <row r="11" spans="1:5" ht="43.2" x14ac:dyDescent="0.3">
      <c r="A11" s="43" t="s">
        <v>170</v>
      </c>
      <c r="B11" s="90" t="s">
        <v>171</v>
      </c>
      <c r="C11" s="90" t="s">
        <v>157</v>
      </c>
      <c r="D11" s="90" t="s">
        <v>172</v>
      </c>
    </row>
    <row r="12" spans="1:5" ht="86.4" x14ac:dyDescent="0.3">
      <c r="A12" s="43" t="s">
        <v>173</v>
      </c>
      <c r="B12" s="90" t="s">
        <v>174</v>
      </c>
      <c r="C12" s="90" t="s">
        <v>157</v>
      </c>
      <c r="D12" s="90" t="s">
        <v>175</v>
      </c>
    </row>
    <row r="13" spans="1:5" ht="72" x14ac:dyDescent="0.3">
      <c r="A13" s="43" t="s">
        <v>176</v>
      </c>
      <c r="B13" s="90" t="s">
        <v>177</v>
      </c>
      <c r="C13" s="90" t="s">
        <v>178</v>
      </c>
      <c r="D13" s="90" t="s">
        <v>179</v>
      </c>
    </row>
    <row r="14" spans="1:5" ht="43.2" x14ac:dyDescent="0.3">
      <c r="A14" s="43" t="s">
        <v>180</v>
      </c>
      <c r="B14" s="90" t="s">
        <v>181</v>
      </c>
      <c r="C14" s="90" t="s">
        <v>182</v>
      </c>
      <c r="D14" s="90" t="s">
        <v>183</v>
      </c>
    </row>
    <row r="15" spans="1:5" ht="43.5" customHeight="1" x14ac:dyDescent="0.3">
      <c r="A15" s="43" t="s">
        <v>184</v>
      </c>
      <c r="B15" s="90" t="s">
        <v>185</v>
      </c>
      <c r="C15" s="107" t="s">
        <v>186</v>
      </c>
      <c r="D15" s="107"/>
    </row>
  </sheetData>
  <mergeCells count="4">
    <mergeCell ref="A2:A3"/>
    <mergeCell ref="B2:B3"/>
    <mergeCell ref="C2:D2"/>
    <mergeCell ref="C15:D15"/>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1. Population</vt:lpstr>
      <vt:lpstr>pop_active</vt:lpstr>
      <vt:lpstr>2. PIB</vt:lpstr>
      <vt:lpstr>PIB Branches</vt:lpstr>
      <vt:lpstr>3. Prix des énergies</vt:lpstr>
      <vt:lpstr>4. Prix du C</vt:lpstr>
      <vt:lpstr>5. Dynamiques sociales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PODESTA Gwenaël</dc:creator>
  <dc:description/>
  <cp:lastModifiedBy>PODESTA Gwenaël</cp:lastModifiedBy>
  <cp:revision>1</cp:revision>
  <dcterms:created xsi:type="dcterms:W3CDTF">2022-04-28T11:43:15Z</dcterms:created>
  <dcterms:modified xsi:type="dcterms:W3CDTF">2023-06-29T10:08:47Z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