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6E268E6-DF62-4397-A225-EC78BDE4EF68}" xr6:coauthVersionLast="47" xr6:coauthVersionMax="47" xr10:uidLastSave="{00000000-0000-0000-0000-000000000000}"/>
  <bookViews>
    <workbookView xWindow="-28920" yWindow="-9120" windowWidth="29040" windowHeight="15840" activeTab="5" xr2:uid="{00000000-000D-0000-FFFF-FFFF00000000}"/>
  </bookViews>
  <sheets>
    <sheet name="AME" sheetId="1" r:id="rId1"/>
    <sheet name="AMS" sheetId="3" r:id="rId2"/>
    <sheet name="AMP" sheetId="7" r:id="rId3"/>
    <sheet name="CCfort" sheetId="8" r:id="rId4"/>
    <sheet name="MDV+" sheetId="9" r:id="rId5"/>
    <sheet name="MVI-" sheetId="10" r:id="rId6"/>
    <sheet name="DHUP haut" sheetId="4" r:id="rId7"/>
    <sheet name="DHUP bas" sheetId="5" r:id="rId8"/>
  </sheets>
  <definedNames>
    <definedName name="Fin_periode">AME!$D$626:$G$626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0" l="1"/>
  <c r="F42" i="10"/>
  <c r="F35" i="8"/>
  <c r="F20" i="8" s="1"/>
  <c r="H36" i="9"/>
  <c r="G36" i="9"/>
  <c r="F36" i="9"/>
  <c r="F35" i="9"/>
  <c r="E35" i="9"/>
  <c r="E20" i="9" s="1"/>
  <c r="E34" i="9"/>
  <c r="E32" i="9"/>
  <c r="G29" i="9"/>
  <c r="F29" i="9"/>
  <c r="D29" i="9"/>
  <c r="F20" i="9"/>
  <c r="E18" i="9"/>
  <c r="E13" i="9" s="1"/>
  <c r="D18" i="9"/>
  <c r="E17" i="9"/>
  <c r="E33" i="9" s="1"/>
  <c r="D17" i="9"/>
  <c r="D12" i="9" s="1"/>
  <c r="H13" i="9"/>
  <c r="E8" i="9"/>
  <c r="E10" i="9" s="1"/>
  <c r="D8" i="9"/>
  <c r="D13" i="9" s="1"/>
  <c r="E6" i="9"/>
  <c r="F6" i="9" s="1"/>
  <c r="H36" i="10"/>
  <c r="G36" i="10"/>
  <c r="F36" i="10"/>
  <c r="F35" i="10"/>
  <c r="E35" i="10"/>
  <c r="E34" i="10"/>
  <c r="E32" i="10"/>
  <c r="G29" i="10"/>
  <c r="F29" i="10"/>
  <c r="D29" i="10"/>
  <c r="F20" i="10"/>
  <c r="E20" i="10"/>
  <c r="E18" i="10"/>
  <c r="E13" i="10" s="1"/>
  <c r="D18" i="10"/>
  <c r="D13" i="10" s="1"/>
  <c r="E17" i="10"/>
  <c r="E12" i="10" s="1"/>
  <c r="D17" i="10"/>
  <c r="D12" i="10" s="1"/>
  <c r="H13" i="10"/>
  <c r="E8" i="10"/>
  <c r="E10" i="10" s="1"/>
  <c r="D8" i="10"/>
  <c r="D10" i="10" s="1"/>
  <c r="E6" i="10"/>
  <c r="F6" i="10" s="1"/>
  <c r="H36" i="8"/>
  <c r="G36" i="8"/>
  <c r="F36" i="8"/>
  <c r="E35" i="8"/>
  <c r="E20" i="8" s="1"/>
  <c r="E34" i="8"/>
  <c r="E32" i="8"/>
  <c r="G29" i="8"/>
  <c r="F29" i="8"/>
  <c r="D29" i="8"/>
  <c r="D23" i="8"/>
  <c r="E18" i="8"/>
  <c r="E13" i="8" s="1"/>
  <c r="D18" i="8"/>
  <c r="D13" i="8" s="1"/>
  <c r="E17" i="8"/>
  <c r="E33" i="8" s="1"/>
  <c r="D17" i="8"/>
  <c r="H13" i="8"/>
  <c r="D12" i="8"/>
  <c r="E8" i="8"/>
  <c r="E10" i="8" s="1"/>
  <c r="F10" i="8" s="1"/>
  <c r="D8" i="8"/>
  <c r="D10" i="8" s="1"/>
  <c r="E6" i="8"/>
  <c r="F6" i="8" s="1"/>
  <c r="E34" i="1"/>
  <c r="E33" i="1"/>
  <c r="E31" i="1"/>
  <c r="H28" i="1"/>
  <c r="G28" i="1" s="1"/>
  <c r="D28" i="1"/>
  <c r="E20" i="1"/>
  <c r="E18" i="1"/>
  <c r="E13" i="1" s="1"/>
  <c r="D18" i="1"/>
  <c r="D13" i="1" s="1"/>
  <c r="E17" i="1"/>
  <c r="E32" i="1" s="1"/>
  <c r="E30" i="1" s="1"/>
  <c r="E35" i="1" s="1"/>
  <c r="D17" i="1"/>
  <c r="D12" i="1" s="1"/>
  <c r="H13" i="1"/>
  <c r="E10" i="1"/>
  <c r="E8" i="1"/>
  <c r="E22" i="1" s="1"/>
  <c r="D8" i="1"/>
  <c r="D10" i="1" s="1"/>
  <c r="F6" i="1"/>
  <c r="G6" i="1" s="1"/>
  <c r="E6" i="1"/>
  <c r="E15" i="9" l="1"/>
  <c r="E14" i="9"/>
  <c r="G6" i="9"/>
  <c r="F9" i="9"/>
  <c r="E31" i="9"/>
  <c r="E38" i="9" s="1"/>
  <c r="D15" i="9"/>
  <c r="D14" i="9"/>
  <c r="D23" i="9"/>
  <c r="E23" i="9"/>
  <c r="E12" i="9"/>
  <c r="D10" i="9"/>
  <c r="E15" i="10"/>
  <c r="E14" i="10"/>
  <c r="F12" i="10"/>
  <c r="G12" i="10"/>
  <c r="D15" i="10"/>
  <c r="D14" i="10"/>
  <c r="F9" i="10"/>
  <c r="G6" i="10"/>
  <c r="D23" i="10"/>
  <c r="E23" i="10"/>
  <c r="E33" i="10"/>
  <c r="E31" i="10" s="1"/>
  <c r="E38" i="10" s="1"/>
  <c r="G6" i="8"/>
  <c r="F9" i="8"/>
  <c r="E31" i="8"/>
  <c r="E38" i="8" s="1"/>
  <c r="G10" i="8"/>
  <c r="E14" i="8"/>
  <c r="E15" i="8"/>
  <c r="D15" i="8"/>
  <c r="D14" i="8"/>
  <c r="E12" i="8"/>
  <c r="E23" i="8"/>
  <c r="E15" i="1"/>
  <c r="E14" i="1"/>
  <c r="H6" i="1"/>
  <c r="H9" i="1" s="1"/>
  <c r="G9" i="1"/>
  <c r="D14" i="1"/>
  <c r="D15" i="1"/>
  <c r="D22" i="1"/>
  <c r="E12" i="1"/>
  <c r="F28" i="1"/>
  <c r="F9" i="1" s="1"/>
  <c r="G15" i="9" l="1"/>
  <c r="F15" i="9"/>
  <c r="G35" i="9"/>
  <c r="G20" i="9" s="1"/>
  <c r="F32" i="9"/>
  <c r="H6" i="9"/>
  <c r="H9" i="9" s="1"/>
  <c r="G9" i="9"/>
  <c r="G14" i="9"/>
  <c r="G13" i="9" s="1"/>
  <c r="F14" i="9"/>
  <c r="F13" i="9" s="1"/>
  <c r="G12" i="9"/>
  <c r="F12" i="9"/>
  <c r="G9" i="10"/>
  <c r="H6" i="10"/>
  <c r="H9" i="10" s="1"/>
  <c r="G35" i="10"/>
  <c r="G20" i="10" s="1"/>
  <c r="F32" i="10"/>
  <c r="G14" i="10"/>
  <c r="F14" i="10"/>
  <c r="F13" i="10" s="1"/>
  <c r="F8" i="10" s="1"/>
  <c r="G15" i="10"/>
  <c r="F15" i="10"/>
  <c r="G12" i="8"/>
  <c r="F12" i="8"/>
  <c r="G14" i="8"/>
  <c r="F14" i="8"/>
  <c r="G15" i="8"/>
  <c r="F15" i="8"/>
  <c r="H10" i="8"/>
  <c r="F32" i="8"/>
  <c r="G35" i="8"/>
  <c r="G20" i="8" s="1"/>
  <c r="H6" i="8"/>
  <c r="H9" i="8" s="1"/>
  <c r="G9" i="8"/>
  <c r="F31" i="1"/>
  <c r="H34" i="1"/>
  <c r="H20" i="1" s="1"/>
  <c r="G31" i="1"/>
  <c r="H31" i="1"/>
  <c r="H8" i="1"/>
  <c r="H11" i="1" s="1"/>
  <c r="H32" i="9" l="1"/>
  <c r="H8" i="9"/>
  <c r="H11" i="9" s="1"/>
  <c r="H35" i="9"/>
  <c r="H20" i="9" s="1"/>
  <c r="G32" i="9"/>
  <c r="G8" i="9"/>
  <c r="G11" i="9" s="1"/>
  <c r="F8" i="9"/>
  <c r="F11" i="9" s="1"/>
  <c r="F34" i="9" s="1"/>
  <c r="F11" i="10"/>
  <c r="F34" i="10" s="1"/>
  <c r="F17" i="10"/>
  <c r="G13" i="10"/>
  <c r="H32" i="10"/>
  <c r="H8" i="10"/>
  <c r="H11" i="10" s="1"/>
  <c r="G32" i="10"/>
  <c r="H35" i="10"/>
  <c r="H20" i="10" s="1"/>
  <c r="G8" i="10"/>
  <c r="F18" i="10"/>
  <c r="H8" i="8"/>
  <c r="H11" i="8" s="1"/>
  <c r="H34" i="8" s="1"/>
  <c r="H32" i="8"/>
  <c r="F13" i="8"/>
  <c r="G13" i="8"/>
  <c r="G32" i="8"/>
  <c r="H35" i="8"/>
  <c r="H20" i="8" s="1"/>
  <c r="G8" i="8"/>
  <c r="G11" i="8" s="1"/>
  <c r="H17" i="1"/>
  <c r="H18" i="1"/>
  <c r="H34" i="9" l="1"/>
  <c r="G34" i="9"/>
  <c r="G17" i="9"/>
  <c r="H17" i="9"/>
  <c r="H18" i="9"/>
  <c r="G18" i="9"/>
  <c r="F17" i="9"/>
  <c r="F18" i="9"/>
  <c r="G11" i="10"/>
  <c r="G34" i="10" s="1"/>
  <c r="G17" i="10"/>
  <c r="H17" i="10"/>
  <c r="H18" i="10"/>
  <c r="G18" i="10"/>
  <c r="F16" i="10"/>
  <c r="F24" i="10" s="1"/>
  <c r="F25" i="10" s="1"/>
  <c r="F33" i="10"/>
  <c r="F31" i="10" s="1"/>
  <c r="G18" i="8"/>
  <c r="G17" i="8"/>
  <c r="F8" i="8"/>
  <c r="H17" i="8"/>
  <c r="H18" i="8"/>
  <c r="H16" i="1"/>
  <c r="H22" i="1" s="1"/>
  <c r="H23" i="1" s="1"/>
  <c r="H24" i="1" s="1"/>
  <c r="H34" i="10" l="1"/>
  <c r="F16" i="9"/>
  <c r="F24" i="9" s="1"/>
  <c r="F25" i="9" s="1"/>
  <c r="F33" i="9"/>
  <c r="F31" i="9" s="1"/>
  <c r="F38" i="9" s="1"/>
  <c r="H16" i="9"/>
  <c r="H24" i="9" s="1"/>
  <c r="H25" i="9" s="1"/>
  <c r="H33" i="9"/>
  <c r="H31" i="9" s="1"/>
  <c r="H38" i="9" s="1"/>
  <c r="G16" i="9"/>
  <c r="G24" i="9" s="1"/>
  <c r="G25" i="9" s="1"/>
  <c r="G33" i="9"/>
  <c r="G31" i="9" s="1"/>
  <c r="G38" i="9" s="1"/>
  <c r="G26" i="9"/>
  <c r="F26" i="10"/>
  <c r="H33" i="10"/>
  <c r="H16" i="10"/>
  <c r="H24" i="10" s="1"/>
  <c r="H25" i="10" s="1"/>
  <c r="G33" i="10"/>
  <c r="G31" i="10" s="1"/>
  <c r="G38" i="10" s="1"/>
  <c r="G16" i="10"/>
  <c r="G24" i="10" s="1"/>
  <c r="G25" i="10" s="1"/>
  <c r="F27" i="10"/>
  <c r="F11" i="8"/>
  <c r="F17" i="8"/>
  <c r="F18" i="8"/>
  <c r="H16" i="8"/>
  <c r="H23" i="8" s="1"/>
  <c r="H24" i="8" s="1"/>
  <c r="H25" i="8" s="1"/>
  <c r="H33" i="8"/>
  <c r="H31" i="8" s="1"/>
  <c r="H38" i="8" s="1"/>
  <c r="H26" i="8"/>
  <c r="G16" i="8"/>
  <c r="G23" i="8" s="1"/>
  <c r="G24" i="8" s="1"/>
  <c r="G25" i="8" s="1"/>
  <c r="G33" i="8"/>
  <c r="H25" i="1"/>
  <c r="H26" i="1"/>
  <c r="H31" i="10" l="1"/>
  <c r="H38" i="10" s="1"/>
  <c r="H27" i="10"/>
  <c r="H26" i="10"/>
  <c r="F26" i="9"/>
  <c r="G27" i="9"/>
  <c r="H26" i="9"/>
  <c r="F27" i="9"/>
  <c r="H27" i="9"/>
  <c r="G26" i="10"/>
  <c r="G27" i="10"/>
  <c r="G31" i="8"/>
  <c r="G38" i="8" s="1"/>
  <c r="G26" i="8"/>
  <c r="F34" i="8"/>
  <c r="G34" i="8"/>
  <c r="G27" i="8"/>
  <c r="F16" i="8"/>
  <c r="F23" i="8" s="1"/>
  <c r="F24" i="8" s="1"/>
  <c r="F25" i="8" s="1"/>
  <c r="F33" i="8"/>
  <c r="F31" i="8" s="1"/>
  <c r="F38" i="8" s="1"/>
  <c r="H27" i="8"/>
  <c r="F9" i="3"/>
  <c r="F29" i="7"/>
  <c r="H36" i="7"/>
  <c r="G36" i="7"/>
  <c r="F36" i="7"/>
  <c r="F35" i="7"/>
  <c r="F20" i="7" s="1"/>
  <c r="E35" i="7"/>
  <c r="E34" i="7"/>
  <c r="E32" i="7"/>
  <c r="D29" i="7"/>
  <c r="E20" i="7"/>
  <c r="E18" i="7"/>
  <c r="D18" i="7"/>
  <c r="E17" i="7"/>
  <c r="E33" i="7" s="1"/>
  <c r="E31" i="7" s="1"/>
  <c r="E38" i="7" s="1"/>
  <c r="D17" i="7"/>
  <c r="D12" i="7" s="1"/>
  <c r="H13" i="7"/>
  <c r="E8" i="7"/>
  <c r="E13" i="7" s="1"/>
  <c r="D8" i="7"/>
  <c r="D13" i="7" s="1"/>
  <c r="F6" i="7"/>
  <c r="G6" i="7" s="1"/>
  <c r="E6" i="7"/>
  <c r="H10" i="3"/>
  <c r="G10" i="3"/>
  <c r="F10" i="3"/>
  <c r="H13" i="3"/>
  <c r="F26" i="8" l="1"/>
  <c r="F27" i="8"/>
  <c r="H6" i="7"/>
  <c r="H9" i="7" s="1"/>
  <c r="G9" i="7"/>
  <c r="D14" i="7"/>
  <c r="D15" i="7"/>
  <c r="E15" i="7"/>
  <c r="E14" i="7"/>
  <c r="D23" i="7"/>
  <c r="F9" i="7"/>
  <c r="E12" i="7"/>
  <c r="E23" i="7"/>
  <c r="D10" i="7"/>
  <c r="E10" i="7"/>
  <c r="F10" i="7" s="1"/>
  <c r="F16" i="5"/>
  <c r="F6" i="5"/>
  <c r="H32" i="7" l="1"/>
  <c r="G12" i="7"/>
  <c r="F12" i="7"/>
  <c r="F32" i="7"/>
  <c r="G35" i="7"/>
  <c r="G20" i="7" s="1"/>
  <c r="G14" i="7"/>
  <c r="F14" i="7"/>
  <c r="G15" i="7"/>
  <c r="F15" i="7"/>
  <c r="H35" i="7"/>
  <c r="H20" i="7" s="1"/>
  <c r="G32" i="7"/>
  <c r="G10" i="7"/>
  <c r="F36" i="3"/>
  <c r="G13" i="7" l="1"/>
  <c r="F13" i="7"/>
  <c r="F8" i="7" s="1"/>
  <c r="F11" i="7" s="1"/>
  <c r="F34" i="7" s="1"/>
  <c r="H10" i="7"/>
  <c r="L20" i="5"/>
  <c r="F8" i="5"/>
  <c r="G8" i="5" s="1"/>
  <c r="G36" i="3"/>
  <c r="H36" i="3"/>
  <c r="G8" i="7" l="1"/>
  <c r="H8" i="7"/>
  <c r="F18" i="7"/>
  <c r="F17" i="7"/>
  <c r="D18" i="3"/>
  <c r="D17" i="3"/>
  <c r="D29" i="3"/>
  <c r="F16" i="7" l="1"/>
  <c r="F33" i="7"/>
  <c r="F31" i="7" s="1"/>
  <c r="F38" i="7" s="1"/>
  <c r="G11" i="7"/>
  <c r="G34" i="7" s="1"/>
  <c r="G17" i="7"/>
  <c r="H17" i="7"/>
  <c r="H18" i="7"/>
  <c r="H11" i="7"/>
  <c r="G18" i="7"/>
  <c r="E50" i="5"/>
  <c r="E38" i="5"/>
  <c r="F36" i="5"/>
  <c r="G36" i="5" s="1"/>
  <c r="H36" i="5" s="1"/>
  <c r="F33" i="5"/>
  <c r="F32" i="5"/>
  <c r="F27" i="5"/>
  <c r="G27" i="5" s="1"/>
  <c r="H27" i="5" s="1"/>
  <c r="F26" i="5"/>
  <c r="G26" i="5" s="1"/>
  <c r="H26" i="5" s="1"/>
  <c r="E44" i="5"/>
  <c r="F23" i="5"/>
  <c r="F7" i="5" s="1"/>
  <c r="H19" i="5"/>
  <c r="G19" i="5"/>
  <c r="F19" i="5"/>
  <c r="H16" i="5"/>
  <c r="G16" i="5"/>
  <c r="G10" i="5"/>
  <c r="F10" i="5"/>
  <c r="H10" i="5"/>
  <c r="E43" i="4"/>
  <c r="E42" i="4"/>
  <c r="E37" i="4"/>
  <c r="F35" i="4"/>
  <c r="G35" i="4" s="1"/>
  <c r="H35" i="4" s="1"/>
  <c r="F32" i="4"/>
  <c r="G32" i="4" s="1"/>
  <c r="G31" i="4"/>
  <c r="H31" i="4" s="1"/>
  <c r="F26" i="4"/>
  <c r="G26" i="4" s="1"/>
  <c r="H26" i="4" s="1"/>
  <c r="F25" i="4"/>
  <c r="G25" i="4" s="1"/>
  <c r="H25" i="4" s="1"/>
  <c r="F22" i="4"/>
  <c r="H18" i="4"/>
  <c r="G18" i="4"/>
  <c r="F18" i="4"/>
  <c r="H15" i="4"/>
  <c r="G15" i="4"/>
  <c r="F15" i="4"/>
  <c r="F10" i="4"/>
  <c r="F11" i="4" s="1"/>
  <c r="F8" i="4"/>
  <c r="F6" i="4"/>
  <c r="F23" i="7" l="1"/>
  <c r="F24" i="7" s="1"/>
  <c r="F25" i="7" s="1"/>
  <c r="H34" i="7"/>
  <c r="F27" i="7"/>
  <c r="H16" i="7"/>
  <c r="H23" i="7" s="1"/>
  <c r="H24" i="7" s="1"/>
  <c r="H25" i="7" s="1"/>
  <c r="H33" i="7"/>
  <c r="G16" i="7"/>
  <c r="G33" i="7"/>
  <c r="G31" i="7" s="1"/>
  <c r="G38" i="7" s="1"/>
  <c r="F26" i="7"/>
  <c r="F11" i="5"/>
  <c r="H33" i="5"/>
  <c r="G33" i="5"/>
  <c r="F9" i="5"/>
  <c r="F21" i="5" s="1"/>
  <c r="H44" i="5"/>
  <c r="G44" i="5"/>
  <c r="F44" i="5"/>
  <c r="G6" i="5"/>
  <c r="G32" i="5"/>
  <c r="E43" i="5"/>
  <c r="F7" i="4"/>
  <c r="G6" i="4"/>
  <c r="F9" i="4"/>
  <c r="G8" i="4"/>
  <c r="H43" i="4"/>
  <c r="G43" i="4"/>
  <c r="F43" i="4"/>
  <c r="G10" i="4"/>
  <c r="H10" i="4"/>
  <c r="G42" i="4"/>
  <c r="H32" i="4"/>
  <c r="H42" i="4"/>
  <c r="F42" i="4"/>
  <c r="E49" i="4"/>
  <c r="H26" i="7" l="1"/>
  <c r="H31" i="7"/>
  <c r="H38" i="7" s="1"/>
  <c r="G23" i="7"/>
  <c r="G24" i="7" s="1"/>
  <c r="G25" i="7" s="1"/>
  <c r="H27" i="7"/>
  <c r="G26" i="7"/>
  <c r="G27" i="7"/>
  <c r="H6" i="5"/>
  <c r="H43" i="5"/>
  <c r="G43" i="5"/>
  <c r="F43" i="5"/>
  <c r="H8" i="5"/>
  <c r="H32" i="5"/>
  <c r="H8" i="4"/>
  <c r="H6" i="4"/>
  <c r="F20" i="4"/>
  <c r="F45" i="5" l="1"/>
  <c r="N31" i="5"/>
  <c r="F22" i="5"/>
  <c r="F35" i="5"/>
  <c r="G23" i="5"/>
  <c r="G9" i="5" s="1"/>
  <c r="N30" i="4"/>
  <c r="F34" i="4"/>
  <c r="F21" i="4"/>
  <c r="G22" i="4"/>
  <c r="F44" i="4"/>
  <c r="F38" i="5" l="1"/>
  <c r="F39" i="5" s="1"/>
  <c r="F48" i="5"/>
  <c r="F50" i="5" s="1"/>
  <c r="G11" i="5"/>
  <c r="G7" i="5"/>
  <c r="G11" i="4"/>
  <c r="G9" i="4"/>
  <c r="G7" i="4"/>
  <c r="G20" i="4" s="1"/>
  <c r="F47" i="4"/>
  <c r="F49" i="4" s="1"/>
  <c r="F37" i="4"/>
  <c r="F38" i="4" s="1"/>
  <c r="G21" i="5" l="1"/>
  <c r="G34" i="4"/>
  <c r="G21" i="4"/>
  <c r="G44" i="4"/>
  <c r="F45" i="4"/>
  <c r="H22" i="4"/>
  <c r="G22" i="5" l="1"/>
  <c r="F46" i="5"/>
  <c r="G35" i="5"/>
  <c r="G45" i="5"/>
  <c r="H23" i="5"/>
  <c r="H11" i="4"/>
  <c r="H7" i="4"/>
  <c r="H9" i="4"/>
  <c r="G47" i="4"/>
  <c r="G49" i="4" s="1"/>
  <c r="G37" i="4"/>
  <c r="G38" i="4" s="1"/>
  <c r="H20" i="4" l="1"/>
  <c r="H21" i="4" s="1"/>
  <c r="G38" i="5"/>
  <c r="G39" i="5" s="1"/>
  <c r="G48" i="5"/>
  <c r="G50" i="5" s="1"/>
  <c r="H11" i="5"/>
  <c r="H9" i="5"/>
  <c r="H7" i="5"/>
  <c r="H21" i="5" l="1"/>
  <c r="H22" i="5" s="1"/>
  <c r="H44" i="4"/>
  <c r="H34" i="4"/>
  <c r="H37" i="4" s="1"/>
  <c r="H38" i="4" s="1"/>
  <c r="H35" i="5" l="1"/>
  <c r="H38" i="5" s="1"/>
  <c r="H39" i="5" s="1"/>
  <c r="H45" i="5"/>
  <c r="H47" i="4"/>
  <c r="H49" i="4" s="1"/>
  <c r="H48" i="5" l="1"/>
  <c r="H50" i="5" s="1"/>
  <c r="E6" i="3"/>
  <c r="F6" i="3" s="1"/>
  <c r="G6" i="3" s="1"/>
  <c r="H6" i="3" s="1"/>
  <c r="E34" i="3"/>
  <c r="E32" i="3"/>
  <c r="E18" i="3"/>
  <c r="E17" i="3"/>
  <c r="E8" i="3"/>
  <c r="D8" i="3"/>
  <c r="D23" i="3" s="1"/>
  <c r="E33" i="3" l="1"/>
  <c r="E12" i="3"/>
  <c r="F12" i="3" s="1"/>
  <c r="E23" i="3"/>
  <c r="D13" i="3"/>
  <c r="D15" i="3" s="1"/>
  <c r="D12" i="3"/>
  <c r="D10" i="3"/>
  <c r="E10" i="3"/>
  <c r="G29" i="3"/>
  <c r="E35" i="3"/>
  <c r="E20" i="3" s="1"/>
  <c r="F35" i="3"/>
  <c r="F20" i="3" s="1"/>
  <c r="E13" i="3"/>
  <c r="G12" i="3" l="1"/>
  <c r="D14" i="3"/>
  <c r="E15" i="3"/>
  <c r="E14" i="3"/>
  <c r="F29" i="3"/>
  <c r="G9" i="3"/>
  <c r="G8" i="3" s="1"/>
  <c r="H9" i="3"/>
  <c r="H8" i="3" s="1"/>
  <c r="E31" i="3"/>
  <c r="E38" i="3" s="1"/>
  <c r="H32" i="3" l="1"/>
  <c r="H35" i="3"/>
  <c r="H20" i="3" s="1"/>
  <c r="G32" i="3"/>
  <c r="F32" i="3"/>
  <c r="G35" i="3"/>
  <c r="G20" i="3" s="1"/>
  <c r="G14" i="3"/>
  <c r="F14" i="3"/>
  <c r="F15" i="3"/>
  <c r="G15" i="3"/>
  <c r="F13" i="3" l="1"/>
  <c r="F8" i="3" s="1"/>
  <c r="G13" i="3"/>
  <c r="H18" i="3"/>
  <c r="H17" i="3"/>
  <c r="H11" i="3"/>
  <c r="H16" i="3" l="1"/>
  <c r="F11" i="3"/>
  <c r="F34" i="3" s="1"/>
  <c r="F17" i="3"/>
  <c r="F18" i="3"/>
  <c r="H23" i="3" l="1"/>
  <c r="H24" i="3" s="1"/>
  <c r="H25" i="3" s="1"/>
  <c r="F33" i="3"/>
  <c r="F31" i="3" s="1"/>
  <c r="F38" i="3" s="1"/>
  <c r="F16" i="3"/>
  <c r="H27" i="3"/>
  <c r="H26" i="3"/>
  <c r="G11" i="3"/>
  <c r="G17" i="3"/>
  <c r="G18" i="3"/>
  <c r="F23" i="3" l="1"/>
  <c r="F24" i="3" s="1"/>
  <c r="F25" i="3" s="1"/>
  <c r="F26" i="3"/>
  <c r="F27" i="3"/>
  <c r="G16" i="3"/>
  <c r="G23" i="3" s="1"/>
  <c r="G24" i="3" s="1"/>
  <c r="G25" i="3" s="1"/>
  <c r="G33" i="3"/>
  <c r="H33" i="3"/>
  <c r="G34" i="3"/>
  <c r="H34" i="3"/>
  <c r="G31" i="3" l="1"/>
  <c r="G38" i="3" s="1"/>
  <c r="H31" i="3"/>
  <c r="H38" i="3" s="1"/>
  <c r="G26" i="3"/>
  <c r="G27" i="3"/>
  <c r="F35" i="1" l="1"/>
  <c r="F30" i="1"/>
  <c r="F32" i="1"/>
  <c r="G24" i="1"/>
  <c r="G23" i="1"/>
  <c r="F22" i="1"/>
  <c r="F16" i="1"/>
  <c r="F33" i="1"/>
  <c r="F11" i="1"/>
  <c r="F8" i="1"/>
  <c r="G15" i="1"/>
  <c r="F15" i="1"/>
  <c r="G19" i="1"/>
  <c r="G34" i="1"/>
  <c r="G20" i="1"/>
  <c r="G22" i="1"/>
  <c r="G16" i="1"/>
  <c r="H32" i="1"/>
  <c r="H30" i="1"/>
  <c r="H35" i="1"/>
  <c r="G32" i="1"/>
  <c r="G30" i="1"/>
  <c r="G35" i="1"/>
  <c r="H33" i="1"/>
  <c r="G8" i="1"/>
  <c r="G11" i="1"/>
  <c r="G33" i="1"/>
  <c r="F24" i="1"/>
  <c r="F23" i="1"/>
  <c r="G14" i="1"/>
  <c r="G13" i="1"/>
  <c r="G18" i="1"/>
  <c r="G26" i="1"/>
  <c r="F14" i="1"/>
  <c r="F13" i="1"/>
  <c r="F18" i="1"/>
  <c r="F26" i="1"/>
  <c r="F17" i="1"/>
  <c r="F25" i="1"/>
  <c r="F19" i="1"/>
  <c r="F34" i="1"/>
  <c r="F20" i="1"/>
  <c r="F12" i="1"/>
  <c r="G12" i="1"/>
  <c r="G17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4" authorId="0" shapeId="0" xr:uid="{482179FF-59CC-47C6-B74F-448471AFF852}">
      <text>
        <r>
          <rPr>
            <b/>
            <sz val="9"/>
            <color rgb="FF000000"/>
            <rFont val="Tahoma"/>
            <family val="2"/>
            <charset val="1"/>
          </rPr>
          <t xml:space="preserve">Quentin:
</t>
        </r>
        <r>
          <rPr>
            <sz val="9"/>
            <color rgb="FF000000"/>
            <rFont val="Tahoma"/>
            <family val="2"/>
            <charset val="1"/>
          </rPr>
          <t xml:space="preserve">Méthodologie pour déterminer le nombre de logements (RP, RS et vacances)
1 - Prévision démographique
2 - Déduction du nombre de RP
3 - Interpolation linéaire des taux de RS et de vacances en fonction des taux souhaités à horizon 2050
4 - Calcul du volume total de logements en fonction du nombres de RP, des taux de vacances et du taux de RS
5 - Déduction du nombre de RS et de vacances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Quentin:
</t>
        </r>
        <r>
          <rPr>
            <sz val="9"/>
            <color rgb="FF000000"/>
            <rFont val="Tahoma"/>
            <family val="2"/>
            <charset val="1"/>
          </rPr>
          <t xml:space="preserve">Méthodologie pour déterminer le nombre de logements (RP, RS et vacances)
1 - Prévision démographique
2 - Déduction du nombre de RP
3 - Interpolation linéaire des taux de RS et de vacances en fonction des taux souhaités à horizon 2050
4 - Calcul du volume total de logements en fonction du nombres de RP, des taux de vacances et du taux de RS
5 - Déduction du nombre de RS et de vacances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4" authorId="0" shapeId="0" xr:uid="{DE11588B-1B4D-4AF8-A883-6F559BC8EFEA}">
      <text>
        <r>
          <rPr>
            <b/>
            <sz val="9"/>
            <color rgb="FF000000"/>
            <rFont val="Tahoma"/>
            <family val="2"/>
            <charset val="1"/>
          </rPr>
          <t xml:space="preserve">Quentin:
</t>
        </r>
        <r>
          <rPr>
            <sz val="9"/>
            <color rgb="FF000000"/>
            <rFont val="Tahoma"/>
            <family val="2"/>
            <charset val="1"/>
          </rPr>
          <t xml:space="preserve">Méthodologie pour déterminer le nombre de logements (RP, RS et vacances)
1 - Prévision démographique
2 - Déduction du nombre de RP
3 - Interpolation linéaire des taux de RS et de vacances en fonction des taux souhaités à horizon 2050
4 - Calcul du volume total de logements en fonction du nombres de RP, des taux de vacances et du taux de RS
5 - Déduction du nombre de RS et de vacances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4" authorId="0" shapeId="0" xr:uid="{62134469-14C9-462C-A367-BF52239C6645}">
      <text>
        <r>
          <rPr>
            <b/>
            <sz val="9"/>
            <color rgb="FF000000"/>
            <rFont val="Tahoma"/>
            <family val="2"/>
            <charset val="1"/>
          </rPr>
          <t xml:space="preserve">Quentin:
</t>
        </r>
        <r>
          <rPr>
            <sz val="9"/>
            <color rgb="FF000000"/>
            <rFont val="Tahoma"/>
            <family val="2"/>
            <charset val="1"/>
          </rPr>
          <t xml:space="preserve">Méthodologie pour déterminer le nombre de logements (RP, RS et vacances)
1 - Prévision démographique
2 - Déduction du nombre de RP
3 - Interpolation linéaire des taux de RS et de vacances en fonction des taux souhaités à horizon 2050
4 - Calcul du volume total de logements en fonction du nombres de RP, des taux de vacances et du taux de RS
5 - Déduction du nombre de RS et de vacances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4" authorId="0" shapeId="0" xr:uid="{2250AF37-0557-4EC3-AA28-7D4EF19828BE}">
      <text>
        <r>
          <rPr>
            <b/>
            <sz val="9"/>
            <color rgb="FF000000"/>
            <rFont val="Tahoma"/>
            <family val="2"/>
            <charset val="1"/>
          </rPr>
          <t xml:space="preserve">Quentin:
</t>
        </r>
        <r>
          <rPr>
            <sz val="9"/>
            <color rgb="FF000000"/>
            <rFont val="Tahoma"/>
            <family val="2"/>
            <charset val="1"/>
          </rPr>
          <t xml:space="preserve">Méthodologie pour déterminer le nombre de logements (RP, RS et vacances)
1 - Prévision démographique
2 - Déduction du nombre de RP
3 - Interpolation linéaire des taux de RS et de vacances en fonction des taux souhaités à horizon 2050
4 - Calcul du volume total de logements en fonction du nombres de RP, des taux de vacances et du taux de RS
5 - Déduction du nombre de RS et de vacances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4" authorId="0" shapeId="0" xr:uid="{5E474B98-27C1-477C-8047-96BBAF6DB051}">
      <text>
        <r>
          <rPr>
            <b/>
            <sz val="9"/>
            <color rgb="FF000000"/>
            <rFont val="Tahoma"/>
            <family val="2"/>
            <charset val="1"/>
          </rPr>
          <t xml:space="preserve">Quentin:
</t>
        </r>
        <r>
          <rPr>
            <sz val="9"/>
            <color rgb="FF000000"/>
            <rFont val="Tahoma"/>
            <family val="2"/>
            <charset val="1"/>
          </rPr>
          <t xml:space="preserve">Méthodologie pour déterminer le nombre de logements (RP, RS et vacances)
1 - Prévision démographique
2 - Déduction du nombre de RP
3 - Interpolation linéaire des taux de RS et de vacances en fonction des taux souhaités à horizon 2050
4 - Calcul du volume total de logements en fonction du nombres de RP, des taux de vacances et du taux de RS
5 - Déduction du nombre de RS et de vacances
</t>
        </r>
      </text>
    </comment>
  </commentList>
</comments>
</file>

<file path=xl/sharedStrings.xml><?xml version="1.0" encoding="utf-8"?>
<sst xmlns="http://schemas.openxmlformats.org/spreadsheetml/2006/main" count="452" uniqueCount="143">
  <si>
    <t>V2 : Valeurs 2015 et 2020 ajustées pour coller aux chiffres INSEE</t>
  </si>
  <si>
    <t>Comm Gw</t>
  </si>
  <si>
    <t>Taux d'accroissement moyen annuel de la population</t>
  </si>
  <si>
    <t>population métropole, mis à jour nouveau cadrage (à ajuster si l'INSEE finit par sortir les données régionalisées)</t>
  </si>
  <si>
    <t>Population (fin de période)</t>
  </si>
  <si>
    <t>RETIRER LA POPULATION VIVANT HORS MENAGE</t>
  </si>
  <si>
    <t>Nombre de  personnes par logement</t>
  </si>
  <si>
    <t>Hypothèse décohabitation forte (DHUP) pour 2030-2050. Valeurs historiques INSEE pour 2015-2020</t>
  </si>
  <si>
    <t>Nombre de logements total (fin de période)</t>
  </si>
  <si>
    <t>Dont résidences principales (=Nombre de ménages + relogement)</t>
  </si>
  <si>
    <t>Taux de résidences secondaires</t>
  </si>
  <si>
    <t>ok</t>
  </si>
  <si>
    <t>Dont résidences secondaires</t>
  </si>
  <si>
    <t>Taux de vacances courte durée</t>
  </si>
  <si>
    <t>Taux de vacances longue durée*</t>
  </si>
  <si>
    <t>Taux de vacances longue durée zone tendue (A, Abis)*</t>
  </si>
  <si>
    <t>Taux de vacances longue durée zone non tendue (B1, B2, C)*</t>
  </si>
  <si>
    <t>Dont logements vacants</t>
  </si>
  <si>
    <t>Dont logements vacants courte durée</t>
  </si>
  <si>
    <t>Dont logements vacants longue durée*</t>
  </si>
  <si>
    <t>Evolution du taux de destruction net des logements</t>
  </si>
  <si>
    <t>Tendance constante</t>
  </si>
  <si>
    <t>*non déstinés à la démolition</t>
  </si>
  <si>
    <t>Nombre de logements construits</t>
  </si>
  <si>
    <t>Réponse à l'évolution du nombre de ménages</t>
  </si>
  <si>
    <t>Evolution du nombre de logements vacants*</t>
  </si>
  <si>
    <t xml:space="preserve"> -  Evolution du nombre de logements vacants</t>
  </si>
  <si>
    <t>Evolution du nombre de résidences secondaires</t>
  </si>
  <si>
    <t xml:space="preserve"> -  Evolution du nombre de résidences secondaires</t>
  </si>
  <si>
    <t>Compensation des variations du parc</t>
  </si>
  <si>
    <t xml:space="preserve"> -  Compensation des variations du parc</t>
  </si>
  <si>
    <t>Taux de logements vacants</t>
  </si>
  <si>
    <t>dont taux de vacances zone tendue (A, Abis)</t>
  </si>
  <si>
    <t>dont taux de vacances zone non tendue (B1, B2, C)</t>
  </si>
  <si>
    <t>dont taux de vacances courte durée</t>
  </si>
  <si>
    <t>dont taux de vacances longue durée*</t>
  </si>
  <si>
    <t>Besoin "en stock" (inadéquation et mal-logement)</t>
  </si>
  <si>
    <t>Estimation DHUP du besoin en stock : 76k sur 13 ans, ici la moitié est réalisée en 2050</t>
  </si>
  <si>
    <t>2015 - 2020</t>
  </si>
  <si>
    <t>2020 - 2030</t>
  </si>
  <si>
    <t>2030 - 2040</t>
  </si>
  <si>
    <t>2040 - 2050</t>
  </si>
  <si>
    <t>Population vivant en ménage (fin de période)</t>
  </si>
  <si>
    <t>Logements issus de la réhabilitation de bureaux en logements</t>
  </si>
  <si>
    <t>Constructions annuelles</t>
  </si>
  <si>
    <t>Destructions annuelles</t>
  </si>
  <si>
    <t>Scénario haut</t>
  </si>
  <si>
    <t>2010-2020</t>
  </si>
  <si>
    <t>2020-2030</t>
  </si>
  <si>
    <t>2030-2040</t>
  </si>
  <si>
    <t>2040-2050</t>
  </si>
  <si>
    <t>Hypothèse</t>
  </si>
  <si>
    <t>Autres commentaires</t>
  </si>
  <si>
    <t>Besoins "en flux"</t>
  </si>
  <si>
    <t>Evolution du nombre de ménages en résidences principales</t>
  </si>
  <si>
    <t>Estimation DHUP à partir des scénarios de population Omphale 2021 (scénario haut)</t>
  </si>
  <si>
    <t>Intégrer les projections Insee-CGDD au T2 2023. Pertinent de faire plusieurs scénarios contrastés ?</t>
  </si>
  <si>
    <t xml:space="preserve">Résidences secondaires </t>
  </si>
  <si>
    <t>Taux en fin de période</t>
  </si>
  <si>
    <t>Augmentation de 0,2 pp sur 2020-2030, soit 2x moins que sur la période précédente, puis 0,1 pp</t>
  </si>
  <si>
    <t>Volumes annuels</t>
  </si>
  <si>
    <t>Logements vacants</t>
  </si>
  <si>
    <t>Augmentation de 0,5 pp sur 2020-2030 soit 2x moins que sur la période précédente, puis 0,25 pp</t>
  </si>
  <si>
    <t>Renouvellement du parc</t>
  </si>
  <si>
    <t>Taux annuel</t>
  </si>
  <si>
    <t>Taux de renouvellement annuel du parc reste constant</t>
  </si>
  <si>
    <t>Volumes</t>
  </si>
  <si>
    <t>Besoins "en stock"</t>
  </si>
  <si>
    <t>Stock mal logement</t>
  </si>
  <si>
    <t>998 800 ménages en situation de mal logement justifiant un relogement (chiffrage DHUP)</t>
  </si>
  <si>
    <t>Horizon de résorption (années)</t>
  </si>
  <si>
    <t>Résorption en 15 ans à partir de 2022</t>
  </si>
  <si>
    <t>Paramètre à caractère normatif et à fort impact</t>
  </si>
  <si>
    <t>Volumes annuels liés au mal logement</t>
  </si>
  <si>
    <t>Stock passoires thermiques</t>
  </si>
  <si>
    <t>Hypothèse que 5 % des 4,7 M de logements F et G du parc locatif privé resteraient obsolètes, et 0 % dans le parc social, soit 235 000 logements</t>
  </si>
  <si>
    <t>Horizon lié aux passoires thermiques</t>
  </si>
  <si>
    <t>Résorption en 10 ans à partir de 2022</t>
  </si>
  <si>
    <t>Volumes annuels liés aux passoires thermiques</t>
  </si>
  <si>
    <t>Volumes de construction annuels (= mises en chantier)</t>
  </si>
  <si>
    <t>Ecart par rapport à 2010-2020</t>
  </si>
  <si>
    <t>Taille total du parc de logements en début de période</t>
  </si>
  <si>
    <t>Part des maisons dans les logements neufs</t>
  </si>
  <si>
    <t>Baisse de la part des maisons</t>
  </si>
  <si>
    <t>Surface moyenne d'une maison</t>
  </si>
  <si>
    <t>Surface moyenne des logements reste constante</t>
  </si>
  <si>
    <t>Surface moyenne d'un appartement</t>
  </si>
  <si>
    <t>Impacts sur l'artificialisation des sols</t>
  </si>
  <si>
    <t>Part des logements construits sur du foncier déjà artificialisé</t>
  </si>
  <si>
    <t>Augmentation du renouvellement urbain (scénario CEREMA)</t>
  </si>
  <si>
    <t>Augmentation du nombre de logements construits en renouvellement sur 2020-2030 // 2010-2020</t>
  </si>
  <si>
    <t>Conso. d'ENAF par maison en extension (m² ENAF / m² plancher)</t>
  </si>
  <si>
    <t>Diminution de 30 % sur 2020-2030, puis de 10 % par décennie ensuite</t>
  </si>
  <si>
    <t>Conso. d'ENAF par appartement en extension (m² ENAF / m² plancher)</t>
  </si>
  <si>
    <t>Stabilité de la densité des appartements</t>
  </si>
  <si>
    <t>Consommation d'ENAF pour l'habitat (km²/an)</t>
  </si>
  <si>
    <t>Consommation d'ENAF hors résidentiel (km²/an)</t>
  </si>
  <si>
    <t>Hypothèse : réduction par 2 en 2020-2030 par rapport à la décennie précédente, puis réduction de 40 % par décennie ensuite</t>
  </si>
  <si>
    <t>Renaturation (km²/an)</t>
  </si>
  <si>
    <t>Hypothèse AD</t>
  </si>
  <si>
    <t>Consommation d'ENAF totale (km²/an)</t>
  </si>
  <si>
    <t>Impacts sur les émissions de GES</t>
  </si>
  <si>
    <t>Seuils RE2020 (kgCO2e/m²/an)</t>
  </si>
  <si>
    <t xml:space="preserve">Ratio par rapport à 2020 </t>
  </si>
  <si>
    <t>Emissions unitaires directes de GES, maison (kgCO2e/m² plancher)</t>
  </si>
  <si>
    <t>Evolution comme les jalons RE2020</t>
  </si>
  <si>
    <t>Année</t>
  </si>
  <si>
    <t>Seuil maison</t>
  </si>
  <si>
    <t>Seuil appartement</t>
  </si>
  <si>
    <t>Emissions unitaires directes de GES, appartement (kgCO2e/m² plancher)</t>
  </si>
  <si>
    <t>Emissions directes de GES liées à la construction de logements  (MtCO2e/an)</t>
  </si>
  <si>
    <t>Réduction en 2030 par rapport à 2010-2020</t>
  </si>
  <si>
    <t>Emissions de GES liées à l'artificialisation (puits de carbone)</t>
  </si>
  <si>
    <t>Diminue au même rythme que le flux de consommation ENAF lié à l'habitat</t>
  </si>
  <si>
    <t xml:space="preserve">En 2030 </t>
  </si>
  <si>
    <t>Emissions totales de GES liées à la construction de logements neufs</t>
  </si>
  <si>
    <t>Scénario bas</t>
  </si>
  <si>
    <t>Estimation DHUP à partir des scénarios de population Omphale 2021 (scénario central)</t>
  </si>
  <si>
    <t>Augmentation du taux de 0,1 pp jusqu'à 2030 puis stabilisation du taux après 2030</t>
  </si>
  <si>
    <t>Augmentation du taux de 0,2 pp jusqu'à 2030 puis stabilisation du taux après 2030</t>
  </si>
  <si>
    <t>Transformation de bureau en logement</t>
  </si>
  <si>
    <t>Hypothèse : triplement du volume de transformation de bureaux en logements (auj. environ 5000 /an)</t>
  </si>
  <si>
    <t>988 800 ménages en situation de mal logement justifiant un relogement (chiffrage DHUP)</t>
  </si>
  <si>
    <t>Aucun besoin associé aux passoires thermiques</t>
  </si>
  <si>
    <t>"Début" de la resorption du stock en 2022</t>
  </si>
  <si>
    <t>Réhabilitation annuelles</t>
  </si>
  <si>
    <t>Plus haut qu'en AMS (+40k en 2030)</t>
  </si>
  <si>
    <t>Passer à 25 ans comme en AMS fait gagner 20k</t>
  </si>
  <si>
    <t>Impact de 30k si on passe à 7,5% comme en AMS</t>
  </si>
  <si>
    <t>Beaucoup plus faible qu'en AMS (+15k</t>
  </si>
  <si>
    <t>Différence avec l'AMS et impact sur la construction neuve</t>
  </si>
  <si>
    <t>Stable</t>
  </si>
  <si>
    <t>Augmentation progressive suite à la discussion DHUP</t>
  </si>
  <si>
    <t>Estimation DHUP du besoin en stock résorbé en 2050</t>
  </si>
  <si>
    <t>Constant</t>
  </si>
  <si>
    <t>Scénario central Insee</t>
  </si>
  <si>
    <t>Commentaires</t>
  </si>
  <si>
    <t>Ademe S2 : 7%</t>
  </si>
  <si>
    <t>Scénario de décohabitation moyenne. Ademe S1-S2 en 2050 : 2,12 ; S3-S4 : 2,02</t>
  </si>
  <si>
    <r>
      <t xml:space="preserve">Scénario de décohabitation </t>
    </r>
    <r>
      <rPr>
        <b/>
        <sz val="11"/>
        <color theme="1"/>
        <rFont val="Calibri"/>
        <family val="2"/>
        <scheme val="minor"/>
      </rPr>
      <t>forte</t>
    </r>
    <r>
      <rPr>
        <sz val="11"/>
        <color theme="1"/>
        <rFont val="Calibri"/>
        <family val="2"/>
        <scheme val="minor"/>
      </rPr>
      <t>. Ademe S1-S2 en 2050 : 2,12 ; S3-S4 : 2,02</t>
    </r>
  </si>
  <si>
    <t>Stabilité : reprise scénario DHUP</t>
  </si>
  <si>
    <t>Stabilisation à 15k (DHUP)</t>
  </si>
  <si>
    <t>Résorption en 15 ans à partir de 2024, il reste 9/15eme du stock en 2030 (6 ans écoulés)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</si>
</sst>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%"/>
    <numFmt numFmtId="165" formatCode="0.00\ %"/>
    <numFmt numFmtId="166" formatCode="_-* #,##0.00\ _€_-;\-* #,##0.00\ _€_-;_-* \-??\ _€_-;_-@_-"/>
    <numFmt numFmtId="167" formatCode="_-* #,##0\ _€_-;\-* #,##0\ _€_-;_-* \-??\ _€_-;_-@_-"/>
    <numFmt numFmtId="168" formatCode="#,##0.000"/>
    <numFmt numFmtId="169" formatCode="_-* #,##0.00\ _€_-;\-* #,##0.00\ _€_-;_-* &quot;-&quot;??\ _€_-;_-@_-"/>
    <numFmt numFmtId="170" formatCode="_-* #,##0.0_-;\-* #,##0.0_-;_-* &quot;-&quot;??_-;_-@_-"/>
    <numFmt numFmtId="171" formatCode="_-* #,##0_-;\-* #,##0_-;_-* &quot;-&quot;??_-;_-@_-"/>
    <numFmt numFmtId="172" formatCode="_-* #,##0\ _€_-;\-* #,##0\ _€_-;_-* &quot;-&quot;??\ _€_-;_-@_-"/>
    <numFmt numFmtId="173" formatCode="_-* #,##0.0\ _€_-;\-* #,##0.0\ _€_-;_-* &quot;-&quot;?\ _€_-;_-@_-"/>
    <numFmt numFmtId="174" formatCode="_-* #,##0.0\ _€_-;\-* #,##0.0\ _€_-;_-* &quot;-&quot;??\ _€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7F7F7F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806000"/>
      <name val="Calibri"/>
      <family val="2"/>
      <charset val="1"/>
    </font>
    <font>
      <i/>
      <sz val="11"/>
      <color rgb="FF806000"/>
      <name val="Calibri"/>
      <family val="2"/>
    </font>
    <font>
      <sz val="9"/>
      <color rgb="FFA6A6A6"/>
      <name val="Calibri"/>
      <family val="2"/>
      <charset val="1"/>
    </font>
    <font>
      <sz val="9"/>
      <color rgb="FF80600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8"/>
      <color rgb="FF808080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color rgb="FF806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9"/>
      <color rgb="FF80808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806000"/>
      <name val="Calibri"/>
      <family val="2"/>
    </font>
    <font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24467A"/>
      </patternFill>
    </fill>
    <fill>
      <patternFill patternType="solid">
        <fgColor rgb="FFADB9CA"/>
        <bgColor rgb="FFC0C0C0"/>
      </patternFill>
    </fill>
    <fill>
      <patternFill patternType="solid">
        <fgColor rgb="FFC0C0C0"/>
        <bgColor rgb="FFADB9CA"/>
      </patternFill>
    </fill>
    <fill>
      <patternFill patternType="solid">
        <fgColor rgb="FFE2F0D9"/>
        <bgColor rgb="FFE2EFD9"/>
      </patternFill>
    </fill>
    <fill>
      <patternFill patternType="solid">
        <fgColor rgb="FFFFD966"/>
        <bgColor rgb="FFFFE7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B050"/>
      </top>
      <bottom style="thin">
        <color auto="1"/>
      </bottom>
      <diagonal/>
    </border>
    <border>
      <left style="thin">
        <color rgb="FFC49300"/>
      </left>
      <right/>
      <top style="thin">
        <color auto="1"/>
      </top>
      <bottom style="thin">
        <color auto="1"/>
      </bottom>
      <diagonal/>
    </border>
    <border>
      <left style="thin">
        <color rgb="FFC493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49300"/>
      </left>
      <right/>
      <top style="thin">
        <color auto="1"/>
      </top>
      <bottom style="hair">
        <color auto="1"/>
      </bottom>
      <diagonal/>
    </border>
    <border>
      <left style="thin">
        <color rgb="FFC49300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C49300"/>
      </left>
      <right/>
      <top style="hair">
        <color auto="1"/>
      </top>
      <bottom style="thin">
        <color auto="1"/>
      </bottom>
      <diagonal/>
    </border>
    <border>
      <left style="thin">
        <color rgb="FFC49300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C59400"/>
      </left>
      <right/>
      <top style="thin">
        <color auto="1"/>
      </top>
      <bottom style="thin">
        <color auto="1"/>
      </bottom>
      <diagonal/>
    </border>
    <border>
      <left style="thin">
        <color rgb="FFC594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59400"/>
      </left>
      <right/>
      <top style="thin">
        <color auto="1"/>
      </top>
      <bottom style="hair">
        <color auto="1"/>
      </bottom>
      <diagonal/>
    </border>
    <border>
      <left style="thin">
        <color rgb="FFC59400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C59400"/>
      </left>
      <right/>
      <top style="hair">
        <color auto="1"/>
      </top>
      <bottom style="thin">
        <color auto="1"/>
      </bottom>
      <diagonal/>
    </border>
    <border>
      <left style="thin">
        <color rgb="FFC59400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vertical="center"/>
    </xf>
    <xf numFmtId="165" fontId="5" fillId="5" borderId="5" xfId="0" applyNumberFormat="1" applyFont="1" applyFill="1" applyBorder="1" applyAlignment="1">
      <alignment vertical="center"/>
    </xf>
    <xf numFmtId="3" fontId="6" fillId="5" borderId="7" xfId="2" applyNumberFormat="1" applyFont="1" applyFill="1" applyBorder="1" applyAlignment="1" applyProtection="1">
      <alignment vertical="center"/>
    </xf>
    <xf numFmtId="167" fontId="7" fillId="6" borderId="8" xfId="1" applyNumberFormat="1" applyFont="1" applyFill="1" applyBorder="1" applyAlignment="1" applyProtection="1">
      <alignment vertical="center"/>
    </xf>
    <xf numFmtId="167" fontId="7" fillId="6" borderId="6" xfId="1" applyNumberFormat="1" applyFont="1" applyFill="1" applyBorder="1" applyAlignment="1" applyProtection="1">
      <alignment vertical="center"/>
    </xf>
    <xf numFmtId="3" fontId="0" fillId="0" borderId="0" xfId="0" applyNumberFormat="1" applyFont="1"/>
    <xf numFmtId="4" fontId="6" fillId="5" borderId="7" xfId="2" applyNumberFormat="1" applyFont="1" applyFill="1" applyBorder="1" applyAlignment="1" applyProtection="1">
      <alignment vertical="center"/>
    </xf>
    <xf numFmtId="4" fontId="5" fillId="5" borderId="6" xfId="2" applyNumberFormat="1" applyFont="1" applyFill="1" applyBorder="1" applyAlignment="1" applyProtection="1">
      <alignment vertical="center"/>
    </xf>
    <xf numFmtId="167" fontId="8" fillId="6" borderId="6" xfId="1" applyNumberFormat="1" applyFont="1" applyFill="1" applyBorder="1" applyAlignment="1" applyProtection="1">
      <alignment vertical="center"/>
    </xf>
    <xf numFmtId="3" fontId="9" fillId="5" borderId="10" xfId="2" applyNumberFormat="1" applyFont="1" applyFill="1" applyBorder="1" applyAlignment="1" applyProtection="1">
      <alignment vertical="center"/>
    </xf>
    <xf numFmtId="167" fontId="10" fillId="5" borderId="3" xfId="1" applyNumberFormat="1" applyFont="1" applyFill="1" applyBorder="1" applyAlignment="1" applyProtection="1">
      <alignment vertical="center"/>
    </xf>
    <xf numFmtId="167" fontId="10" fillId="6" borderId="11" xfId="1" applyNumberFormat="1" applyFont="1" applyFill="1" applyBorder="1" applyAlignment="1" applyProtection="1">
      <alignment vertical="center"/>
    </xf>
    <xf numFmtId="168" fontId="0" fillId="0" borderId="0" xfId="0" applyNumberFormat="1"/>
    <xf numFmtId="164" fontId="10" fillId="6" borderId="8" xfId="2" applyNumberFormat="1" applyFont="1" applyFill="1" applyBorder="1" applyAlignment="1" applyProtection="1">
      <alignment vertical="center"/>
    </xf>
    <xf numFmtId="164" fontId="11" fillId="5" borderId="6" xfId="2" applyNumberFormat="1" applyFont="1" applyFill="1" applyBorder="1" applyAlignment="1" applyProtection="1">
      <alignment vertical="center"/>
    </xf>
    <xf numFmtId="3" fontId="9" fillId="5" borderId="7" xfId="2" applyNumberFormat="1" applyFont="1" applyFill="1" applyBorder="1" applyAlignment="1" applyProtection="1">
      <alignment vertical="center"/>
    </xf>
    <xf numFmtId="167" fontId="10" fillId="5" borderId="8" xfId="1" applyNumberFormat="1" applyFont="1" applyFill="1" applyBorder="1" applyAlignment="1" applyProtection="1">
      <alignment vertical="center"/>
    </xf>
    <xf numFmtId="167" fontId="10" fillId="6" borderId="8" xfId="1" applyNumberFormat="1" applyFont="1" applyFill="1" applyBorder="1" applyAlignment="1" applyProtection="1">
      <alignment vertical="center"/>
    </xf>
    <xf numFmtId="164" fontId="11" fillId="5" borderId="8" xfId="2" applyNumberFormat="1" applyFont="1" applyFill="1" applyBorder="1" applyAlignment="1" applyProtection="1">
      <alignment vertical="center"/>
    </xf>
    <xf numFmtId="0" fontId="12" fillId="0" borderId="0" xfId="0" applyFont="1" applyAlignment="1">
      <alignment horizontal="left"/>
    </xf>
    <xf numFmtId="3" fontId="9" fillId="5" borderId="12" xfId="2" applyNumberFormat="1" applyFont="1" applyFill="1" applyBorder="1" applyAlignment="1" applyProtection="1">
      <alignment vertical="center"/>
    </xf>
    <xf numFmtId="167" fontId="10" fillId="5" borderId="6" xfId="1" applyNumberFormat="1" applyFont="1" applyFill="1" applyBorder="1" applyAlignment="1" applyProtection="1">
      <alignment vertical="center"/>
    </xf>
    <xf numFmtId="167" fontId="10" fillId="6" borderId="6" xfId="1" applyNumberFormat="1" applyFont="1" applyFill="1" applyBorder="1" applyAlignment="1" applyProtection="1">
      <alignment vertical="center"/>
    </xf>
    <xf numFmtId="167" fontId="14" fillId="6" borderId="3" xfId="1" applyNumberFormat="1" applyFont="1" applyFill="1" applyBorder="1" applyAlignment="1" applyProtection="1">
      <alignment vertical="center"/>
    </xf>
    <xf numFmtId="167" fontId="14" fillId="6" borderId="6" xfId="1" applyNumberFormat="1" applyFont="1" applyFill="1" applyBorder="1" applyAlignment="1" applyProtection="1">
      <alignment vertical="center"/>
    </xf>
    <xf numFmtId="164" fontId="15" fillId="4" borderId="14" xfId="2" applyNumberFormat="1" applyFont="1" applyFill="1" applyBorder="1" applyAlignment="1" applyProtection="1">
      <alignment vertical="center"/>
    </xf>
    <xf numFmtId="10" fontId="5" fillId="5" borderId="15" xfId="2" applyNumberFormat="1" applyFont="1" applyFill="1" applyBorder="1" applyAlignment="1" applyProtection="1">
      <alignment vertical="center"/>
    </xf>
    <xf numFmtId="165" fontId="5" fillId="5" borderId="15" xfId="2" applyNumberFormat="1" applyFont="1" applyFill="1" applyBorder="1" applyAlignment="1" applyProtection="1">
      <alignment vertical="center"/>
    </xf>
    <xf numFmtId="167" fontId="16" fillId="0" borderId="0" xfId="1" applyNumberFormat="1" applyFont="1" applyBorder="1" applyAlignment="1" applyProtection="1"/>
    <xf numFmtId="0" fontId="17" fillId="0" borderId="0" xfId="0" applyFont="1" applyAlignment="1">
      <alignment horizontal="left" indent="1"/>
    </xf>
    <xf numFmtId="3" fontId="0" fillId="0" borderId="0" xfId="0" applyNumberFormat="1"/>
    <xf numFmtId="43" fontId="0" fillId="0" borderId="0" xfId="1" applyFont="1" applyBorder="1" applyAlignment="1" applyProtection="1"/>
    <xf numFmtId="164" fontId="15" fillId="4" borderId="14" xfId="2" applyNumberFormat="1" applyFont="1" applyFill="1" applyBorder="1" applyAlignment="1" applyProtection="1"/>
    <xf numFmtId="167" fontId="7" fillId="6" borderId="14" xfId="1" applyNumberFormat="1" applyFont="1" applyFill="1" applyBorder="1" applyAlignment="1" applyProtection="1">
      <alignment vertical="top"/>
    </xf>
    <xf numFmtId="167" fontId="0" fillId="0" borderId="0" xfId="1" applyNumberFormat="1" applyFont="1" applyBorder="1" applyAlignment="1" applyProtection="1"/>
    <xf numFmtId="167" fontId="7" fillId="6" borderId="16" xfId="1" applyNumberFormat="1" applyFont="1" applyFill="1" applyBorder="1" applyAlignment="1" applyProtection="1">
      <alignment vertical="top"/>
    </xf>
    <xf numFmtId="167" fontId="7" fillId="6" borderId="17" xfId="1" applyNumberFormat="1" applyFont="1" applyFill="1" applyBorder="1" applyAlignment="1" applyProtection="1">
      <alignment vertical="top"/>
    </xf>
    <xf numFmtId="9" fontId="7" fillId="6" borderId="14" xfId="2" applyFont="1" applyFill="1" applyBorder="1" applyAlignment="1" applyProtection="1">
      <alignment vertical="top"/>
    </xf>
    <xf numFmtId="164" fontId="7" fillId="6" borderId="14" xfId="2" applyNumberFormat="1" applyFont="1" applyFill="1" applyBorder="1" applyAlignment="1" applyProtection="1">
      <alignment vertical="top"/>
    </xf>
    <xf numFmtId="164" fontId="7" fillId="6" borderId="16" xfId="2" applyNumberFormat="1" applyFont="1" applyFill="1" applyBorder="1" applyAlignment="1" applyProtection="1">
      <alignment vertical="top"/>
    </xf>
    <xf numFmtId="9" fontId="7" fillId="6" borderId="17" xfId="2" applyFont="1" applyFill="1" applyBorder="1" applyAlignment="1" applyProtection="1">
      <alignment vertical="top"/>
    </xf>
    <xf numFmtId="9" fontId="9" fillId="5" borderId="3" xfId="2" applyFont="1" applyFill="1" applyBorder="1" applyAlignment="1" applyProtection="1"/>
    <xf numFmtId="9" fontId="7" fillId="6" borderId="18" xfId="2" applyFont="1" applyFill="1" applyBorder="1" applyAlignment="1" applyProtection="1">
      <alignment vertical="top"/>
    </xf>
    <xf numFmtId="9" fontId="7" fillId="6" borderId="19" xfId="2" applyFont="1" applyFill="1" applyBorder="1" applyAlignment="1" applyProtection="1">
      <alignment vertical="top"/>
    </xf>
    <xf numFmtId="9" fontId="9" fillId="5" borderId="9" xfId="2" applyFont="1" applyFill="1" applyBorder="1" applyAlignment="1" applyProtection="1"/>
    <xf numFmtId="9" fontId="7" fillId="6" borderId="20" xfId="2" applyFont="1" applyFill="1" applyBorder="1" applyAlignment="1" applyProtection="1">
      <alignment vertical="top"/>
    </xf>
    <xf numFmtId="9" fontId="7" fillId="6" borderId="21" xfId="2" applyFont="1" applyFill="1" applyBorder="1" applyAlignment="1" applyProtection="1">
      <alignment vertical="top"/>
    </xf>
    <xf numFmtId="3" fontId="6" fillId="5" borderId="13" xfId="2" applyNumberFormat="1" applyFont="1" applyFill="1" applyBorder="1" applyAlignment="1" applyProtection="1"/>
    <xf numFmtId="167" fontId="5" fillId="5" borderId="13" xfId="1" applyNumberFormat="1" applyFont="1" applyFill="1" applyBorder="1" applyAlignment="1" applyProtection="1"/>
    <xf numFmtId="0" fontId="0" fillId="0" borderId="0" xfId="0" applyAlignment="1">
      <alignment wrapText="1"/>
    </xf>
    <xf numFmtId="0" fontId="17" fillId="0" borderId="0" xfId="0" applyFont="1" applyAlignment="1">
      <alignment horizontal="left" wrapText="1"/>
    </xf>
    <xf numFmtId="164" fontId="15" fillId="4" borderId="13" xfId="2" applyNumberFormat="1" applyFont="1" applyFill="1" applyBorder="1" applyAlignment="1" applyProtection="1"/>
    <xf numFmtId="167" fontId="7" fillId="6" borderId="13" xfId="1" applyNumberFormat="1" applyFont="1" applyFill="1" applyBorder="1" applyAlignment="1" applyProtection="1">
      <alignment vertical="top"/>
    </xf>
    <xf numFmtId="0" fontId="2" fillId="3" borderId="0" xfId="0" applyFont="1" applyFill="1" applyBorder="1" applyAlignment="1">
      <alignment horizontal="left" indent="1"/>
    </xf>
    <xf numFmtId="164" fontId="15" fillId="4" borderId="0" xfId="2" applyNumberFormat="1" applyFont="1" applyFill="1" applyBorder="1" applyAlignment="1" applyProtection="1"/>
    <xf numFmtId="167" fontId="7" fillId="6" borderId="0" xfId="1" applyNumberFormat="1" applyFont="1" applyFill="1" applyBorder="1" applyAlignment="1" applyProtection="1">
      <alignment vertical="top"/>
    </xf>
    <xf numFmtId="164" fontId="7" fillId="6" borderId="22" xfId="2" applyNumberFormat="1" applyFont="1" applyFill="1" applyBorder="1" applyAlignment="1" applyProtection="1">
      <alignment vertical="top"/>
    </xf>
    <xf numFmtId="164" fontId="7" fillId="6" borderId="23" xfId="2" applyNumberFormat="1" applyFont="1" applyFill="1" applyBorder="1" applyAlignment="1" applyProtection="1">
      <alignment vertical="top"/>
    </xf>
    <xf numFmtId="9" fontId="7" fillId="6" borderId="24" xfId="2" applyFont="1" applyFill="1" applyBorder="1" applyAlignment="1" applyProtection="1">
      <alignment vertical="top"/>
    </xf>
    <xf numFmtId="9" fontId="7" fillId="6" borderId="25" xfId="2" applyFont="1" applyFill="1" applyBorder="1" applyAlignment="1" applyProtection="1">
      <alignment vertical="top"/>
    </xf>
    <xf numFmtId="9" fontId="7" fillId="6" borderId="26" xfId="2" applyFont="1" applyFill="1" applyBorder="1" applyAlignment="1" applyProtection="1">
      <alignment vertical="top"/>
    </xf>
    <xf numFmtId="9" fontId="7" fillId="6" borderId="27" xfId="2" applyFont="1" applyFill="1" applyBorder="1" applyAlignment="1" applyProtection="1">
      <alignment vertical="top"/>
    </xf>
    <xf numFmtId="167" fontId="7" fillId="6" borderId="22" xfId="1" applyNumberFormat="1" applyFont="1" applyFill="1" applyBorder="1" applyAlignment="1" applyProtection="1">
      <alignment vertical="top"/>
    </xf>
    <xf numFmtId="0" fontId="20" fillId="0" borderId="0" xfId="0" applyFont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71" fontId="22" fillId="0" borderId="5" xfId="1" applyNumberFormat="1" applyFont="1" applyFill="1" applyBorder="1" applyAlignment="1">
      <alignment vertical="center" wrapText="1"/>
    </xf>
    <xf numFmtId="171" fontId="20" fillId="0" borderId="5" xfId="1" applyNumberFormat="1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8" borderId="29" xfId="0" applyFont="1" applyFill="1" applyBorder="1" applyAlignment="1">
      <alignment vertical="center" wrapText="1"/>
    </xf>
    <xf numFmtId="164" fontId="25" fillId="0" borderId="5" xfId="2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171" fontId="22" fillId="0" borderId="32" xfId="1" applyNumberFormat="1" applyFont="1" applyFill="1" applyBorder="1" applyAlignment="1">
      <alignment vertical="center" wrapText="1"/>
    </xf>
    <xf numFmtId="171" fontId="20" fillId="0" borderId="32" xfId="1" applyNumberFormat="1" applyFont="1" applyBorder="1" applyAlignment="1">
      <alignment vertical="center" wrapText="1"/>
    </xf>
    <xf numFmtId="171" fontId="20" fillId="0" borderId="31" xfId="1" applyNumberFormat="1" applyFont="1" applyBorder="1" applyAlignment="1">
      <alignment vertical="center" wrapText="1"/>
    </xf>
    <xf numFmtId="0" fontId="23" fillId="8" borderId="34" xfId="0" applyFont="1" applyFill="1" applyBorder="1" applyAlignment="1">
      <alignment vertical="center" wrapText="1"/>
    </xf>
    <xf numFmtId="164" fontId="25" fillId="0" borderId="34" xfId="2" applyNumberFormat="1" applyFont="1" applyFill="1" applyBorder="1" applyAlignment="1">
      <alignment vertical="center" wrapText="1"/>
    </xf>
    <xf numFmtId="0" fontId="20" fillId="8" borderId="34" xfId="0" applyFont="1" applyFill="1" applyBorder="1" applyAlignment="1">
      <alignment vertical="center" wrapText="1"/>
    </xf>
    <xf numFmtId="171" fontId="22" fillId="0" borderId="35" xfId="1" applyNumberFormat="1" applyFont="1" applyFill="1" applyBorder="1" applyAlignment="1">
      <alignment vertical="center" wrapText="1"/>
    </xf>
    <xf numFmtId="0" fontId="23" fillId="8" borderId="11" xfId="0" applyFont="1" applyFill="1" applyBorder="1" applyAlignment="1">
      <alignment vertical="center" wrapText="1"/>
    </xf>
    <xf numFmtId="10" fontId="27" fillId="0" borderId="34" xfId="2" applyNumberFormat="1" applyFont="1" applyBorder="1" applyAlignment="1">
      <alignment vertical="center" wrapText="1"/>
    </xf>
    <xf numFmtId="10" fontId="27" fillId="0" borderId="36" xfId="2" applyNumberFormat="1" applyFont="1" applyBorder="1" applyAlignment="1">
      <alignment vertical="center" wrapText="1"/>
    </xf>
    <xf numFmtId="0" fontId="23" fillId="0" borderId="33" xfId="0" applyFont="1" applyBorder="1" applyAlignment="1">
      <alignment horizontal="center" vertical="center" wrapText="1"/>
    </xf>
    <xf numFmtId="0" fontId="20" fillId="8" borderId="35" xfId="0" applyFont="1" applyFill="1" applyBorder="1" applyAlignment="1">
      <alignment vertical="center" wrapText="1"/>
    </xf>
    <xf numFmtId="171" fontId="20" fillId="0" borderId="35" xfId="1" applyNumberFormat="1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171" fontId="20" fillId="0" borderId="0" xfId="0" applyNumberFormat="1" applyFont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171" fontId="23" fillId="0" borderId="13" xfId="1" applyNumberFormat="1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171" fontId="22" fillId="0" borderId="13" xfId="1" applyNumberFormat="1" applyFont="1" applyBorder="1" applyAlignment="1">
      <alignment horizontal="center" vertical="center" wrapText="1"/>
    </xf>
    <xf numFmtId="171" fontId="20" fillId="0" borderId="13" xfId="1" applyNumberFormat="1" applyFont="1" applyBorder="1" applyAlignment="1">
      <alignment vertical="center" wrapText="1"/>
    </xf>
    <xf numFmtId="172" fontId="21" fillId="0" borderId="13" xfId="0" applyNumberFormat="1" applyFont="1" applyFill="1" applyBorder="1" applyAlignment="1">
      <alignment vertical="center" wrapText="1"/>
    </xf>
    <xf numFmtId="172" fontId="20" fillId="0" borderId="13" xfId="0" applyNumberFormat="1" applyFont="1" applyBorder="1" applyAlignment="1">
      <alignment vertical="center" wrapText="1"/>
    </xf>
    <xf numFmtId="9" fontId="20" fillId="0" borderId="0" xfId="2" applyFont="1" applyAlignment="1">
      <alignment vertical="center" wrapText="1"/>
    </xf>
    <xf numFmtId="172" fontId="29" fillId="0" borderId="13" xfId="0" applyNumberFormat="1" applyFont="1" applyFill="1" applyBorder="1" applyAlignment="1">
      <alignment vertical="center" wrapText="1"/>
    </xf>
    <xf numFmtId="9" fontId="29" fillId="0" borderId="13" xfId="2" applyFont="1" applyFill="1" applyBorder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171" fontId="23" fillId="0" borderId="13" xfId="1" applyNumberFormat="1" applyFont="1" applyFill="1" applyBorder="1" applyAlignment="1">
      <alignment vertical="center" wrapText="1"/>
    </xf>
    <xf numFmtId="9" fontId="20" fillId="0" borderId="13" xfId="0" applyNumberFormat="1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0" fillId="0" borderId="13" xfId="0" applyNumberFormat="1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9" fontId="20" fillId="0" borderId="13" xfId="2" applyNumberFormat="1" applyFont="1" applyBorder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70" fontId="22" fillId="0" borderId="38" xfId="1" applyNumberFormat="1" applyFont="1" applyBorder="1" applyAlignment="1">
      <alignment vertical="center" wrapText="1"/>
    </xf>
    <xf numFmtId="0" fontId="25" fillId="0" borderId="13" xfId="0" applyFont="1" applyBorder="1" applyAlignment="1">
      <alignment horizontal="left" vertical="center" wrapText="1"/>
    </xf>
    <xf numFmtId="171" fontId="21" fillId="0" borderId="13" xfId="1" applyNumberFormat="1" applyFont="1" applyBorder="1" applyAlignment="1">
      <alignment vertical="center" wrapText="1"/>
    </xf>
    <xf numFmtId="171" fontId="20" fillId="12" borderId="13" xfId="1" applyNumberFormat="1" applyFont="1" applyFill="1" applyBorder="1" applyAlignment="1">
      <alignment vertical="center" wrapText="1"/>
    </xf>
    <xf numFmtId="171" fontId="21" fillId="12" borderId="13" xfId="1" applyNumberFormat="1" applyFont="1" applyFill="1" applyBorder="1" applyAlignment="1">
      <alignment vertical="center" wrapText="1"/>
    </xf>
    <xf numFmtId="171" fontId="29" fillId="0" borderId="0" xfId="1" applyNumberFormat="1" applyFont="1" applyFill="1" applyBorder="1" applyAlignment="1">
      <alignment vertical="center" wrapText="1"/>
    </xf>
    <xf numFmtId="9" fontId="29" fillId="0" borderId="0" xfId="2" applyFont="1" applyFill="1" applyAlignment="1">
      <alignment vertical="center" wrapText="1"/>
    </xf>
    <xf numFmtId="0" fontId="25" fillId="0" borderId="0" xfId="0" applyFont="1" applyBorder="1" applyAlignment="1">
      <alignment vertical="center" wrapText="1"/>
    </xf>
    <xf numFmtId="173" fontId="30" fillId="0" borderId="0" xfId="0" applyNumberFormat="1" applyFont="1" applyAlignment="1">
      <alignment vertical="center" wrapText="1"/>
    </xf>
    <xf numFmtId="0" fontId="20" fillId="0" borderId="31" xfId="0" applyFont="1" applyBorder="1" applyAlignment="1">
      <alignment vertical="center" wrapText="1"/>
    </xf>
    <xf numFmtId="171" fontId="20" fillId="0" borderId="13" xfId="1" applyNumberFormat="1" applyFont="1" applyFill="1" applyBorder="1" applyAlignment="1">
      <alignment vertical="center" wrapText="1"/>
    </xf>
    <xf numFmtId="0" fontId="25" fillId="0" borderId="11" xfId="0" applyFont="1" applyBorder="1" applyAlignment="1">
      <alignment horizontal="left" vertical="center" wrapText="1"/>
    </xf>
    <xf numFmtId="0" fontId="20" fillId="0" borderId="39" xfId="0" applyFont="1" applyBorder="1" applyAlignment="1">
      <alignment vertical="center" wrapText="1"/>
    </xf>
    <xf numFmtId="0" fontId="20" fillId="0" borderId="40" xfId="0" applyFont="1" applyBorder="1" applyAlignment="1">
      <alignment vertical="center" wrapText="1"/>
    </xf>
    <xf numFmtId="171" fontId="21" fillId="0" borderId="13" xfId="1" applyNumberFormat="1" applyFont="1" applyFill="1" applyBorder="1" applyAlignment="1">
      <alignment vertical="center" wrapText="1"/>
    </xf>
    <xf numFmtId="170" fontId="21" fillId="0" borderId="13" xfId="1" applyNumberFormat="1" applyFont="1" applyBorder="1" applyAlignment="1">
      <alignment vertical="center" wrapText="1"/>
    </xf>
    <xf numFmtId="0" fontId="25" fillId="0" borderId="38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172" fontId="31" fillId="0" borderId="0" xfId="0" applyNumberFormat="1" applyFont="1" applyFill="1" applyBorder="1" applyAlignment="1">
      <alignment vertical="center" wrapText="1"/>
    </xf>
    <xf numFmtId="9" fontId="21" fillId="0" borderId="0" xfId="2" applyNumberFormat="1" applyFont="1" applyBorder="1" applyAlignment="1">
      <alignment vertical="center" wrapText="1"/>
    </xf>
    <xf numFmtId="172" fontId="21" fillId="0" borderId="0" xfId="0" applyNumberFormat="1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174" fontId="20" fillId="0" borderId="13" xfId="0" applyNumberFormat="1" applyFont="1" applyFill="1" applyBorder="1" applyAlignment="1">
      <alignment vertical="center" wrapText="1"/>
    </xf>
    <xf numFmtId="174" fontId="21" fillId="0" borderId="13" xfId="0" applyNumberFormat="1" applyFont="1" applyFill="1" applyBorder="1" applyAlignment="1">
      <alignment vertical="center" wrapText="1"/>
    </xf>
    <xf numFmtId="43" fontId="20" fillId="0" borderId="0" xfId="1" applyFont="1" applyAlignment="1">
      <alignment vertical="center" wrapText="1"/>
    </xf>
    <xf numFmtId="169" fontId="20" fillId="0" borderId="0" xfId="0" applyNumberFormat="1" applyFont="1" applyAlignment="1">
      <alignment vertical="center" wrapText="1"/>
    </xf>
    <xf numFmtId="171" fontId="20" fillId="0" borderId="34" xfId="1" applyNumberFormat="1" applyFont="1" applyBorder="1" applyAlignment="1">
      <alignment vertical="center" wrapText="1"/>
    </xf>
    <xf numFmtId="171" fontId="20" fillId="0" borderId="36" xfId="1" applyNumberFormat="1" applyFont="1" applyBorder="1" applyAlignment="1">
      <alignment vertical="center" wrapText="1"/>
    </xf>
    <xf numFmtId="0" fontId="23" fillId="0" borderId="13" xfId="0" applyFont="1" applyBorder="1" applyAlignment="1">
      <alignment horizontal="left" vertical="center" wrapText="1"/>
    </xf>
    <xf numFmtId="2" fontId="0" fillId="0" borderId="0" xfId="0" applyNumberFormat="1"/>
    <xf numFmtId="166" fontId="7" fillId="6" borderId="8" xfId="1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8" fillId="0" borderId="0" xfId="0" applyFont="1" applyBorder="1" applyAlignment="1">
      <alignment vertical="center" wrapText="1"/>
    </xf>
    <xf numFmtId="171" fontId="0" fillId="0" borderId="13" xfId="1" applyNumberFormat="1" applyFont="1" applyBorder="1"/>
    <xf numFmtId="164" fontId="33" fillId="14" borderId="8" xfId="2" applyNumberFormat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67" fontId="34" fillId="6" borderId="41" xfId="1" applyNumberFormat="1" applyFont="1" applyFill="1" applyBorder="1" applyAlignment="1" applyProtection="1">
      <alignment vertical="top"/>
    </xf>
    <xf numFmtId="167" fontId="34" fillId="6" borderId="42" xfId="1" applyNumberFormat="1" applyFont="1" applyFill="1" applyBorder="1" applyAlignment="1" applyProtection="1">
      <alignment vertical="top"/>
    </xf>
    <xf numFmtId="167" fontId="34" fillId="6" borderId="43" xfId="1" applyNumberFormat="1" applyFont="1" applyFill="1" applyBorder="1" applyAlignment="1" applyProtection="1">
      <alignment vertical="top"/>
    </xf>
    <xf numFmtId="2" fontId="0" fillId="15" borderId="13" xfId="0" applyNumberFormat="1" applyFill="1" applyBorder="1"/>
    <xf numFmtId="164" fontId="0" fillId="15" borderId="13" xfId="2" applyNumberFormat="1" applyFont="1" applyFill="1" applyBorder="1" applyAlignment="1"/>
    <xf numFmtId="2" fontId="35" fillId="15" borderId="13" xfId="0" applyNumberFormat="1" applyFont="1" applyFill="1" applyBorder="1"/>
    <xf numFmtId="0" fontId="2" fillId="3" borderId="3" xfId="0" applyFont="1" applyFill="1" applyBorder="1" applyAlignment="1">
      <alignment horizontal="left" indent="1"/>
    </xf>
    <xf numFmtId="0" fontId="2" fillId="3" borderId="13" xfId="0" applyFont="1" applyFill="1" applyBorder="1" applyAlignment="1">
      <alignment horizontal="left" indent="1"/>
    </xf>
    <xf numFmtId="0" fontId="3" fillId="3" borderId="3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indent="1"/>
    </xf>
    <xf numFmtId="0" fontId="2" fillId="3" borderId="6" xfId="0" applyFont="1" applyFill="1" applyBorder="1" applyAlignment="1">
      <alignment horizontal="left" indent="1"/>
    </xf>
    <xf numFmtId="0" fontId="13" fillId="3" borderId="3" xfId="0" applyFont="1" applyFill="1" applyBorder="1" applyAlignment="1">
      <alignment horizontal="left" indent="5"/>
    </xf>
    <xf numFmtId="0" fontId="13" fillId="3" borderId="9" xfId="0" applyFont="1" applyFill="1" applyBorder="1" applyAlignment="1">
      <alignment horizontal="left" indent="5"/>
    </xf>
    <xf numFmtId="0" fontId="3" fillId="3" borderId="13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indent="1"/>
    </xf>
    <xf numFmtId="0" fontId="2" fillId="3" borderId="14" xfId="0" applyFont="1" applyFill="1" applyBorder="1" applyAlignment="1">
      <alignment horizontal="left" indent="1"/>
    </xf>
    <xf numFmtId="0" fontId="3" fillId="3" borderId="10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 indent="7"/>
    </xf>
    <xf numFmtId="0" fontId="13" fillId="3" borderId="9" xfId="0" applyFont="1" applyFill="1" applyBorder="1" applyAlignment="1">
      <alignment horizontal="left" indent="7"/>
    </xf>
    <xf numFmtId="0" fontId="20" fillId="13" borderId="13" xfId="0" applyFont="1" applyFill="1" applyBorder="1" applyAlignment="1">
      <alignment horizontal="left" vertical="center" wrapText="1"/>
    </xf>
    <xf numFmtId="0" fontId="21" fillId="13" borderId="13" xfId="0" applyFont="1" applyFill="1" applyBorder="1" applyAlignment="1">
      <alignment horizontal="left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13" borderId="14" xfId="0" applyFont="1" applyFill="1" applyBorder="1" applyAlignment="1">
      <alignment horizontal="left" vertical="center" wrapText="1"/>
    </xf>
    <xf numFmtId="0" fontId="20" fillId="13" borderId="37" xfId="0" applyFont="1" applyFill="1" applyBorder="1" applyAlignment="1">
      <alignment horizontal="left" vertical="center" wrapText="1"/>
    </xf>
    <xf numFmtId="0" fontId="20" fillId="13" borderId="38" xfId="0" applyFont="1" applyFill="1" applyBorder="1" applyAlignment="1">
      <alignment horizontal="left" vertical="center" wrapText="1"/>
    </xf>
    <xf numFmtId="0" fontId="21" fillId="13" borderId="14" xfId="0" applyFont="1" applyFill="1" applyBorder="1" applyAlignment="1">
      <alignment horizontal="left" vertical="center" wrapText="1"/>
    </xf>
    <xf numFmtId="0" fontId="29" fillId="0" borderId="29" xfId="0" applyFont="1" applyFill="1" applyBorder="1" applyAlignment="1">
      <alignment horizontal="left" vertical="center" wrapText="1"/>
    </xf>
    <xf numFmtId="0" fontId="21" fillId="13" borderId="0" xfId="0" applyFont="1" applyFill="1" applyAlignment="1">
      <alignment horizontal="center" vertical="center" wrapText="1"/>
    </xf>
    <xf numFmtId="0" fontId="20" fillId="9" borderId="13" xfId="0" applyFont="1" applyFill="1" applyBorder="1" applyAlignment="1">
      <alignment horizontal="left" vertical="center" wrapText="1"/>
    </xf>
    <xf numFmtId="0" fontId="21" fillId="10" borderId="0" xfId="0" applyFont="1" applyFill="1" applyAlignment="1">
      <alignment horizontal="center" vertical="center" wrapText="1"/>
    </xf>
    <xf numFmtId="0" fontId="20" fillId="11" borderId="14" xfId="0" applyFont="1" applyFill="1" applyBorder="1" applyAlignment="1">
      <alignment horizontal="left" vertical="center" wrapText="1"/>
    </xf>
    <xf numFmtId="0" fontId="20" fillId="11" borderId="37" xfId="0" applyFont="1" applyFill="1" applyBorder="1" applyAlignment="1">
      <alignment horizontal="left" vertical="center" wrapText="1"/>
    </xf>
    <xf numFmtId="0" fontId="20" fillId="11" borderId="38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11" borderId="13" xfId="0" applyFont="1" applyFill="1" applyBorder="1" applyAlignment="1">
      <alignment horizontal="left" vertical="center" wrapText="1"/>
    </xf>
    <xf numFmtId="0" fontId="20" fillId="11" borderId="13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1" fillId="8" borderId="13" xfId="0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left" vertical="center" wrapText="1"/>
    </xf>
    <xf numFmtId="0" fontId="26" fillId="0" borderId="14" xfId="1" applyNumberFormat="1" applyFont="1" applyBorder="1" applyAlignment="1">
      <alignment horizontal="center" vertical="center" wrapText="1"/>
    </xf>
    <xf numFmtId="0" fontId="26" fillId="0" borderId="37" xfId="1" applyNumberFormat="1" applyFont="1" applyBorder="1" applyAlignment="1">
      <alignment horizontal="center" vertical="center" wrapText="1"/>
    </xf>
    <xf numFmtId="0" fontId="26" fillId="0" borderId="38" xfId="1" applyNumberFormat="1" applyFont="1" applyBorder="1" applyAlignment="1">
      <alignment horizontal="center" vertical="center" wrapText="1"/>
    </xf>
    <xf numFmtId="0" fontId="21" fillId="8" borderId="13" xfId="0" applyFont="1" applyFill="1" applyBorder="1" applyAlignment="1">
      <alignment horizontal="left" vertical="center" wrapText="1"/>
    </xf>
    <xf numFmtId="0" fontId="21" fillId="9" borderId="13" xfId="0" applyFont="1" applyFill="1" applyBorder="1" applyAlignment="1">
      <alignment horizontal="left" vertical="center" wrapText="1"/>
    </xf>
    <xf numFmtId="0" fontId="29" fillId="0" borderId="14" xfId="0" applyFont="1" applyFill="1" applyBorder="1" applyAlignment="1">
      <alignment horizontal="left" vertical="center" wrapText="1"/>
    </xf>
    <xf numFmtId="0" fontId="29" fillId="0" borderId="37" xfId="0" applyFont="1" applyFill="1" applyBorder="1" applyAlignment="1">
      <alignment horizontal="left" vertical="center" wrapText="1"/>
    </xf>
    <xf numFmtId="0" fontId="29" fillId="0" borderId="38" xfId="0" applyFont="1" applyFill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1" fillId="7" borderId="0" xfId="0" applyFont="1" applyFill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left" vertical="center" wrapText="1"/>
    </xf>
    <xf numFmtId="0" fontId="21" fillId="8" borderId="28" xfId="0" applyFont="1" applyFill="1" applyBorder="1" applyAlignment="1">
      <alignment horizontal="left" vertical="center" wrapText="1"/>
    </xf>
    <xf numFmtId="0" fontId="21" fillId="8" borderId="30" xfId="0" applyFont="1" applyFill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1" fillId="8" borderId="33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23" fillId="0" borderId="36" xfId="0" applyFont="1" applyBorder="1" applyAlignment="1">
      <alignment horizontal="left" vertical="center" wrapText="1"/>
    </xf>
    <xf numFmtId="9" fontId="35" fillId="15" borderId="13" xfId="2" applyFont="1" applyFill="1" applyBorder="1" applyAlignment="1"/>
    <xf numFmtId="167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5"/>
  <sheetViews>
    <sheetView topLeftCell="A8" zoomScale="130" zoomScaleNormal="130" workbookViewId="0">
      <selection activeCell="E37" sqref="E37"/>
    </sheetView>
  </sheetViews>
  <sheetFormatPr baseColWidth="10" defaultColWidth="8.7265625" defaultRowHeight="14.5" x14ac:dyDescent="0.35"/>
  <cols>
    <col min="2" max="2" width="30.08984375" style="52" customWidth="1"/>
    <col min="3" max="4" width="12.81640625" customWidth="1"/>
    <col min="5" max="5" width="15.36328125" customWidth="1"/>
    <col min="6" max="10" width="12.81640625" customWidth="1"/>
  </cols>
  <sheetData>
    <row r="3" spans="2:10" x14ac:dyDescent="0.35">
      <c r="D3">
        <v>2015</v>
      </c>
      <c r="E3">
        <v>2020</v>
      </c>
      <c r="F3">
        <v>2030</v>
      </c>
      <c r="G3">
        <v>2040</v>
      </c>
      <c r="H3">
        <v>2050</v>
      </c>
      <c r="J3" t="s">
        <v>0</v>
      </c>
    </row>
    <row r="4" spans="2:10" x14ac:dyDescent="0.35">
      <c r="D4" s="1">
        <v>2015</v>
      </c>
      <c r="E4" s="2" t="s">
        <v>38</v>
      </c>
      <c r="F4" s="2" t="s">
        <v>39</v>
      </c>
      <c r="G4" s="2" t="s">
        <v>40</v>
      </c>
      <c r="H4" s="2" t="s">
        <v>41</v>
      </c>
      <c r="J4" t="s">
        <v>1</v>
      </c>
    </row>
    <row r="5" spans="2:10" x14ac:dyDescent="0.35">
      <c r="B5" s="163" t="s">
        <v>2</v>
      </c>
      <c r="C5" s="163"/>
      <c r="D5" s="3"/>
      <c r="E5" s="4">
        <v>2.7309338664209815E-3</v>
      </c>
      <c r="F5" s="4">
        <v>1.9293005517355688E-3</v>
      </c>
      <c r="G5" s="4">
        <v>8.5602642227255998E-4</v>
      </c>
      <c r="H5" s="4">
        <v>-3.4661055679729997E-5</v>
      </c>
      <c r="J5" t="s">
        <v>3</v>
      </c>
    </row>
    <row r="6" spans="2:10" x14ac:dyDescent="0.35">
      <c r="B6" s="169" t="s">
        <v>4</v>
      </c>
      <c r="C6" s="169"/>
      <c r="D6" s="5">
        <v>62843000</v>
      </c>
      <c r="E6" s="6">
        <f>D6*(1+E5)^(C624-C623)</f>
        <v>62843000</v>
      </c>
      <c r="F6" s="6">
        <f>E6*(1+F5)^(D624-D623)</f>
        <v>62843000</v>
      </c>
      <c r="G6" s="6">
        <f>F6*(1+G5)^(E624-E623)</f>
        <v>62843000</v>
      </c>
      <c r="H6" s="7">
        <f>G6*(1+H5)^(F624-F623)</f>
        <v>62843000</v>
      </c>
      <c r="J6" s="33" t="s">
        <v>5</v>
      </c>
    </row>
    <row r="7" spans="2:10" x14ac:dyDescent="0.35">
      <c r="B7" s="169" t="s">
        <v>6</v>
      </c>
      <c r="C7" s="169"/>
      <c r="D7" s="9">
        <v>2.2281246798769998</v>
      </c>
      <c r="E7" s="10">
        <v>2.1922005110737501</v>
      </c>
      <c r="F7" s="10">
        <v>2.12</v>
      </c>
      <c r="G7" s="10">
        <v>2.0699999999999998</v>
      </c>
      <c r="H7" s="10">
        <v>2.06</v>
      </c>
      <c r="J7" t="s">
        <v>7</v>
      </c>
    </row>
    <row r="8" spans="2:10" x14ac:dyDescent="0.35">
      <c r="B8" s="170" t="s">
        <v>8</v>
      </c>
      <c r="C8" s="170"/>
      <c r="D8" s="7">
        <f>D9+D11+D16</f>
        <v>34306000</v>
      </c>
      <c r="E8" s="11">
        <f>E9+E11+E16</f>
        <v>35986000</v>
      </c>
      <c r="F8" s="7">
        <f ca="1">(F9+(1-$E$29-$E$28)*$E$19)/(1-F10-F12-F13)</f>
        <v>38321786.861861989</v>
      </c>
      <c r="G8" s="7">
        <f ca="1">(G9+(1-$E$29-$E$28)*$E$19)/(1-G10-G12-G13)</f>
        <v>40304881.928421006</v>
      </c>
      <c r="H8" s="7">
        <f>(H9+(1-$E$29-$E$28)*$E$19)/(1-H10-H12-H13)</f>
        <v>38083671.423365034</v>
      </c>
    </row>
    <row r="9" spans="2:10" x14ac:dyDescent="0.35">
      <c r="B9" s="161" t="s">
        <v>9</v>
      </c>
      <c r="C9" s="161"/>
      <c r="D9" s="12">
        <v>28280000</v>
      </c>
      <c r="E9" s="13">
        <v>29482000</v>
      </c>
      <c r="F9" s="14">
        <f>F6/F7+$F$37-F28</f>
        <v>29148508.557835802</v>
      </c>
      <c r="G9" s="14">
        <f>G6/G7+$F$37-G28</f>
        <v>29864521.148929305</v>
      </c>
      <c r="H9" s="14">
        <f>H6/H7+$F$37-H28</f>
        <v>30011910.679611649</v>
      </c>
      <c r="J9" s="15"/>
    </row>
    <row r="10" spans="2:10" x14ac:dyDescent="0.35">
      <c r="B10" s="165" t="s">
        <v>10</v>
      </c>
      <c r="C10" s="165"/>
      <c r="D10" s="16">
        <f>D11/D8</f>
        <v>9.6426281117005769E-2</v>
      </c>
      <c r="E10" s="16">
        <f>E11/E8</f>
        <v>9.9288612238092586E-2</v>
      </c>
      <c r="F10" s="17">
        <v>0.11</v>
      </c>
      <c r="G10" s="17">
        <v>0.115</v>
      </c>
      <c r="H10" s="17">
        <v>0.12</v>
      </c>
      <c r="J10" t="s">
        <v>11</v>
      </c>
    </row>
    <row r="11" spans="2:10" x14ac:dyDescent="0.35">
      <c r="B11" s="165" t="s">
        <v>12</v>
      </c>
      <c r="C11" s="165"/>
      <c r="D11" s="18">
        <v>3308000</v>
      </c>
      <c r="E11" s="19">
        <v>3573000</v>
      </c>
      <c r="F11" s="20">
        <f ca="1">F10*F8</f>
        <v>4215396.5548048187</v>
      </c>
      <c r="G11" s="20">
        <f ca="1">G10*G8</f>
        <v>4635061.4217684157</v>
      </c>
      <c r="H11" s="20">
        <f>H10*H8</f>
        <v>4570040.5708038043</v>
      </c>
    </row>
    <row r="12" spans="2:10" x14ac:dyDescent="0.35">
      <c r="B12" s="165" t="s">
        <v>13</v>
      </c>
      <c r="C12" s="165"/>
      <c r="D12" s="16">
        <f>D17/D8</f>
        <v>0</v>
      </c>
      <c r="E12" s="16">
        <f>E17/E8</f>
        <v>4.1682876674262212E-11</v>
      </c>
      <c r="F12" s="16">
        <f ca="1">($I12-$F12)*(F$6-$F$6)/($I$6-$F$6)+$F12</f>
        <v>6.4390837177420848E-2</v>
      </c>
      <c r="G12" s="16">
        <f ca="1">($I12-$F12)*(G$6-$F$6)/($I$6-$F$6)+$F12</f>
        <v>6.7695418588710421E-2</v>
      </c>
      <c r="H12" s="17">
        <v>7.0999999999999994E-2</v>
      </c>
      <c r="J12" t="s">
        <v>11</v>
      </c>
    </row>
    <row r="13" spans="2:10" x14ac:dyDescent="0.35">
      <c r="B13" s="165" t="s">
        <v>14</v>
      </c>
      <c r="C13" s="165"/>
      <c r="D13" s="16">
        <f>D18/D8</f>
        <v>0</v>
      </c>
      <c r="E13" s="16">
        <f>E18/E8</f>
        <v>9.4481187128327685E-12</v>
      </c>
      <c r="F13" s="16">
        <f ca="1">F14+F15</f>
        <v>1.6230811982437615E-2</v>
      </c>
      <c r="G13" s="16">
        <f ca="1">G14+G15</f>
        <v>1.8615405991218806E-2</v>
      </c>
      <c r="H13" s="16">
        <f>H14+H15</f>
        <v>2.0999999999999998E-2</v>
      </c>
    </row>
    <row r="14" spans="2:10" x14ac:dyDescent="0.35">
      <c r="B14" s="165" t="s">
        <v>15</v>
      </c>
      <c r="C14" s="165"/>
      <c r="D14" s="16">
        <f>D13*D23</f>
        <v>0</v>
      </c>
      <c r="E14" s="16">
        <f>E13*E23</f>
        <v>2.0568554437836937E-12</v>
      </c>
      <c r="F14" s="16">
        <f ca="1">($I14-$F14)*(F$6-$F$6)/($I$6-$F$6)+$F14</f>
        <v>5.342881101910002E-3</v>
      </c>
      <c r="G14" s="16">
        <f ca="1">($I14-$F14)*(G$6-$F$6)/($I$6-$F$6)+$F14</f>
        <v>7.6714405509550011E-3</v>
      </c>
      <c r="H14" s="21">
        <v>0.01</v>
      </c>
      <c r="J14" t="s">
        <v>11</v>
      </c>
    </row>
    <row r="15" spans="2:10" x14ac:dyDescent="0.35">
      <c r="B15" s="165" t="s">
        <v>16</v>
      </c>
      <c r="C15" s="165"/>
      <c r="D15" s="16">
        <f>D13*D24</f>
        <v>0</v>
      </c>
      <c r="E15" s="16">
        <f>E13*E24</f>
        <v>7.3912632690490749E-12</v>
      </c>
      <c r="F15" s="16">
        <f ca="1">($I15-$F15)*(F$6-$F$6)/($I$6-$F$6)+$F15</f>
        <v>1.0887930880527613E-2</v>
      </c>
      <c r="G15" s="16">
        <f ca="1">($I15-$F15)*(G$6-$F$6)/($I$6-$F$6)+$F15</f>
        <v>1.0943965440263806E-2</v>
      </c>
      <c r="H15" s="21">
        <v>1.0999999999999999E-2</v>
      </c>
      <c r="I15" s="22"/>
      <c r="J15" t="s">
        <v>11</v>
      </c>
    </row>
    <row r="16" spans="2:10" x14ac:dyDescent="0.35">
      <c r="B16" s="164" t="s">
        <v>17</v>
      </c>
      <c r="C16" s="164"/>
      <c r="D16" s="23">
        <v>2718000</v>
      </c>
      <c r="E16" s="24">
        <v>2931000</v>
      </c>
      <c r="F16" s="25">
        <f ca="1">F17+F18+(1-$E$29-$E$28)*$E$19</f>
        <v>3307005.6555559109</v>
      </c>
      <c r="G16" s="25">
        <f ca="1">G17+G18+(1-$E$29-$E$28)*$E$19</f>
        <v>3696187.5938387052</v>
      </c>
      <c r="H16" s="25">
        <f>H17+H18+(1-$E$29-$E$28)*$E$19</f>
        <v>418466.13451394998</v>
      </c>
      <c r="I16" s="22"/>
    </row>
    <row r="17" spans="2:10" x14ac:dyDescent="0.35">
      <c r="B17" s="166" t="s">
        <v>18</v>
      </c>
      <c r="C17" s="166"/>
      <c r="D17" s="26">
        <f>$E25*D$19</f>
        <v>0</v>
      </c>
      <c r="E17" s="26">
        <f>E25*E$19</f>
        <v>1.5E-3</v>
      </c>
      <c r="F17" s="26">
        <f t="shared" ref="F17:H18" ca="1" si="0">F12*F$11</f>
        <v>2467571.9381699809</v>
      </c>
      <c r="G17" s="26">
        <f t="shared" ca="1" si="0"/>
        <v>2728455.8533130102</v>
      </c>
      <c r="H17" s="26">
        <f t="shared" si="0"/>
        <v>324472.88052707008</v>
      </c>
    </row>
    <row r="18" spans="2:10" x14ac:dyDescent="0.35">
      <c r="B18" s="167" t="s">
        <v>19</v>
      </c>
      <c r="C18" s="167"/>
      <c r="D18" s="27">
        <f>$E26*D$19</f>
        <v>0</v>
      </c>
      <c r="E18" s="27">
        <f>E26*E$19</f>
        <v>3.4000000000000002E-4</v>
      </c>
      <c r="F18" s="27">
        <f t="shared" ca="1" si="0"/>
        <v>621993.71738592989</v>
      </c>
      <c r="G18" s="27">
        <f t="shared" ca="1" si="0"/>
        <v>750291.74052569503</v>
      </c>
      <c r="H18" s="27">
        <f t="shared" si="0"/>
        <v>95970.851986879876</v>
      </c>
    </row>
    <row r="19" spans="2:10" x14ac:dyDescent="0.35">
      <c r="B19" s="168" t="s">
        <v>20</v>
      </c>
      <c r="C19" s="168"/>
      <c r="D19" s="28"/>
      <c r="E19" s="29">
        <v>2E-3</v>
      </c>
      <c r="F19" s="29">
        <f ca="1">($I19-$F19)*(F$6-$F$6)/($I$6-$F$6)+$F19</f>
        <v>2E-3</v>
      </c>
      <c r="G19" s="29">
        <f ca="1">($I19-$F19)*(G$6-$F$6)/($I$6-$F$6)+$F19</f>
        <v>2E-3</v>
      </c>
      <c r="H19" s="30">
        <v>2E-3</v>
      </c>
      <c r="J19" s="31" t="s">
        <v>21</v>
      </c>
    </row>
    <row r="20" spans="2:10" ht="16.5" customHeight="1" x14ac:dyDescent="0.35">
      <c r="B20" s="53" t="s">
        <v>22</v>
      </c>
      <c r="C20" t="s">
        <v>45</v>
      </c>
      <c r="E20" s="33">
        <f>E34/5</f>
        <v>56334.212027700989</v>
      </c>
      <c r="F20" s="33">
        <f ca="1">F34/10</f>
        <v>58436.144389782472</v>
      </c>
      <c r="G20" s="33">
        <f ca="1">G34/10</f>
        <v>61047.326796403897</v>
      </c>
      <c r="H20" s="33">
        <f>H34/10</f>
        <v>59194.33790077157</v>
      </c>
      <c r="J20" s="34"/>
    </row>
    <row r="21" spans="2:10" x14ac:dyDescent="0.35">
      <c r="J21" s="37"/>
    </row>
    <row r="22" spans="2:10" x14ac:dyDescent="0.35">
      <c r="B22" s="163" t="s">
        <v>31</v>
      </c>
      <c r="C22" s="163"/>
      <c r="D22" s="40">
        <f>D16/D8</f>
        <v>7.9228123360345126E-2</v>
      </c>
      <c r="E22" s="41">
        <f>E16/E8</f>
        <v>8.1448341021508358E-2</v>
      </c>
      <c r="F22" s="42">
        <f ca="1">F16/F8</f>
        <v>8.6295706081676929E-2</v>
      </c>
      <c r="G22" s="42">
        <f ca="1">G16/G8</f>
        <v>9.1705704544747385E-2</v>
      </c>
      <c r="H22" s="43">
        <f>H16/H8</f>
        <v>1.0988072285940722E-2</v>
      </c>
      <c r="J22" s="37"/>
    </row>
    <row r="23" spans="2:10" x14ac:dyDescent="0.35">
      <c r="B23" s="161" t="s">
        <v>32</v>
      </c>
      <c r="C23" s="161"/>
      <c r="D23" s="44">
        <v>0.2177</v>
      </c>
      <c r="E23" s="44">
        <v>0.2177</v>
      </c>
      <c r="F23" s="45">
        <f ca="1">($E23*F12+F14)/F22</f>
        <v>0.2243537625975271</v>
      </c>
      <c r="G23" s="45">
        <f ca="1">($E23*G12+G14)/G22</f>
        <v>0.24435484454277345</v>
      </c>
      <c r="H23" s="46">
        <f>($E23*H12+H14)/H22</f>
        <v>2.3167576020201412</v>
      </c>
      <c r="J23" s="37"/>
    </row>
    <row r="24" spans="2:10" x14ac:dyDescent="0.35">
      <c r="B24" s="164" t="s">
        <v>33</v>
      </c>
      <c r="C24" s="164"/>
      <c r="D24" s="47">
        <v>0.7823</v>
      </c>
      <c r="E24" s="47">
        <v>0.7823</v>
      </c>
      <c r="F24" s="48">
        <f ca="1">1-F23</f>
        <v>0.77564623740247285</v>
      </c>
      <c r="G24" s="48">
        <f ca="1">1-G23</f>
        <v>0.75564515545722655</v>
      </c>
      <c r="H24" s="49">
        <f>1-H23</f>
        <v>-1.3167576020201412</v>
      </c>
      <c r="J24" s="37"/>
    </row>
    <row r="25" spans="2:10" x14ac:dyDescent="0.35">
      <c r="B25" s="161" t="s">
        <v>34</v>
      </c>
      <c r="C25" s="161"/>
      <c r="D25" s="44">
        <v>0.75</v>
      </c>
      <c r="E25" s="44">
        <v>0.75</v>
      </c>
      <c r="F25" s="45">
        <f ca="1">F17/F16</f>
        <v>0.74616501910855659</v>
      </c>
      <c r="G25" s="45">
        <f ca="1">G17/G16</f>
        <v>0.73818110797762582</v>
      </c>
      <c r="H25" s="46">
        <f>H17/H16</f>
        <v>0.77538623502699111</v>
      </c>
    </row>
    <row r="26" spans="2:10" x14ac:dyDescent="0.35">
      <c r="B26" s="164" t="s">
        <v>35</v>
      </c>
      <c r="C26" s="164"/>
      <c r="D26" s="47">
        <v>0.17</v>
      </c>
      <c r="E26" s="47">
        <v>0.17</v>
      </c>
      <c r="F26" s="48">
        <f ca="1">F18/F16</f>
        <v>0.18808365699071419</v>
      </c>
      <c r="G26" s="48">
        <f ca="1">G18/G16</f>
        <v>0.2029907090690907</v>
      </c>
      <c r="H26" s="49">
        <f>H18/H16</f>
        <v>0.22933959064178608</v>
      </c>
    </row>
    <row r="27" spans="2:10" x14ac:dyDescent="0.35">
      <c r="B27" s="53" t="s">
        <v>22</v>
      </c>
    </row>
    <row r="28" spans="2:10" x14ac:dyDescent="0.35">
      <c r="B28" s="168" t="s">
        <v>36</v>
      </c>
      <c r="C28" s="168"/>
      <c r="D28" s="50">
        <f>988800</f>
        <v>988800</v>
      </c>
      <c r="E28" s="50">
        <v>988800</v>
      </c>
      <c r="F28" s="38">
        <f>$E$28+($H$28-$E$28)/($I$6-$F$6)*(F3-$F$6)</f>
        <v>494415.97046608216</v>
      </c>
      <c r="G28" s="38">
        <f>$E$28+($H$28-$E$28)/($I$6-$F$6)*(G3-$F$6)</f>
        <v>494416.04913832888</v>
      </c>
      <c r="H28" s="51">
        <f>E28/2</f>
        <v>494400</v>
      </c>
      <c r="J28" t="s">
        <v>37</v>
      </c>
    </row>
    <row r="30" spans="2:10" x14ac:dyDescent="0.35">
      <c r="B30" s="163" t="s">
        <v>23</v>
      </c>
      <c r="C30" s="163"/>
      <c r="D30" s="35"/>
      <c r="E30" s="36">
        <f>SUM(E31:E34)</f>
        <v>1748671.061978505</v>
      </c>
      <c r="F30" s="36" t="e">
        <f t="shared" ref="F30:H30" ca="1" si="1">SUM(F31:F34)</f>
        <v>#VALUE!</v>
      </c>
      <c r="G30" s="36" t="e">
        <f t="shared" ca="1" si="1"/>
        <v>#VALUE!</v>
      </c>
      <c r="H30" s="36" t="e">
        <f t="shared" ca="1" si="1"/>
        <v>#VALUE!</v>
      </c>
    </row>
    <row r="31" spans="2:10" x14ac:dyDescent="0.35">
      <c r="B31" s="161" t="s">
        <v>24</v>
      </c>
      <c r="C31" s="161"/>
      <c r="D31" s="35"/>
      <c r="E31" s="36">
        <f>E9-D9</f>
        <v>1202000</v>
      </c>
      <c r="F31" s="36">
        <f>F9-E9</f>
        <v>-333491.44216419756</v>
      </c>
      <c r="G31" s="36">
        <f>G9-F9</f>
        <v>716012.59109350294</v>
      </c>
      <c r="H31" s="36">
        <f>H9-G9</f>
        <v>147389.53068234399</v>
      </c>
      <c r="J31" s="37"/>
    </row>
    <row r="32" spans="2:10" x14ac:dyDescent="0.35">
      <c r="B32" s="161" t="s">
        <v>25</v>
      </c>
      <c r="C32" s="161" t="s">
        <v>26</v>
      </c>
      <c r="D32" s="35"/>
      <c r="E32" s="36">
        <f>(E17-D17)+(E18-D18)</f>
        <v>1.8400000000000001E-3</v>
      </c>
      <c r="F32" s="36">
        <f ca="1">(F17-E17)+(F18-E18)</f>
        <v>393045.65555591072</v>
      </c>
      <c r="G32" s="36">
        <f ca="1">(G17-F17)+(G18-F18)</f>
        <v>389181.93828279444</v>
      </c>
      <c r="H32" s="36">
        <f ca="1">(H17-G17)+(H18-G18)</f>
        <v>315474.01505165128</v>
      </c>
      <c r="I32" s="33"/>
      <c r="J32" s="33"/>
    </row>
    <row r="33" spans="2:10" x14ac:dyDescent="0.35">
      <c r="B33" s="161" t="s">
        <v>27</v>
      </c>
      <c r="C33" s="161" t="s">
        <v>28</v>
      </c>
      <c r="D33" s="35"/>
      <c r="E33" s="36">
        <f>E11-D11</f>
        <v>265000</v>
      </c>
      <c r="F33" s="38">
        <f ca="1">F11-E11</f>
        <v>642396.5548048187</v>
      </c>
      <c r="G33" s="38">
        <f ca="1">G11-F11</f>
        <v>419664.86696359701</v>
      </c>
      <c r="H33" s="39">
        <f ca="1">H11-G11</f>
        <v>313923.28547987528</v>
      </c>
      <c r="J33" s="37"/>
    </row>
    <row r="34" spans="2:10" x14ac:dyDescent="0.35">
      <c r="B34" s="162" t="s">
        <v>29</v>
      </c>
      <c r="C34" s="162" t="s">
        <v>30</v>
      </c>
      <c r="D34" s="35"/>
      <c r="E34" s="36">
        <f>D9-(1-E19)^(E3-D3)*D9</f>
        <v>281671.06013850495</v>
      </c>
      <c r="F34" s="38">
        <f ca="1">E9-(1-F19)^(F3-E3)*E9</f>
        <v>584361.44389782473</v>
      </c>
      <c r="G34" s="38">
        <f ca="1">F9-(1-G19)^(G3-F3)*F9</f>
        <v>584361.44389782473</v>
      </c>
      <c r="H34" s="39">
        <f>G9-(1-H19)^(H3-G3)*G9</f>
        <v>591943.37900771573</v>
      </c>
      <c r="J34" s="37"/>
    </row>
    <row r="35" spans="2:10" ht="16" customHeight="1" x14ac:dyDescent="0.35">
      <c r="B35" s="53" t="s">
        <v>22</v>
      </c>
      <c r="C35" t="s">
        <v>44</v>
      </c>
      <c r="E35" s="33">
        <f>E30/5</f>
        <v>349734.21239570098</v>
      </c>
      <c r="F35" s="33" t="e">
        <f ca="1">F30/10</f>
        <v>#VALUE!</v>
      </c>
      <c r="G35" s="33" t="e">
        <f ca="1">G30/10</f>
        <v>#VALUE!</v>
      </c>
      <c r="H35" s="33" t="e">
        <f ca="1">H30/10</f>
        <v>#VALUE!</v>
      </c>
    </row>
  </sheetData>
  <mergeCells count="26">
    <mergeCell ref="B10:C10"/>
    <mergeCell ref="B5:C5"/>
    <mergeCell ref="B6:C6"/>
    <mergeCell ref="B7:C7"/>
    <mergeCell ref="B8:C8"/>
    <mergeCell ref="B9:C9"/>
    <mergeCell ref="B16:C16"/>
    <mergeCell ref="B17:C17"/>
    <mergeCell ref="B18:C18"/>
    <mergeCell ref="B19:C19"/>
    <mergeCell ref="B30:C30"/>
    <mergeCell ref="B26:C26"/>
    <mergeCell ref="B28:C28"/>
    <mergeCell ref="B11:C11"/>
    <mergeCell ref="B12:C12"/>
    <mergeCell ref="B13:C13"/>
    <mergeCell ref="B14:C14"/>
    <mergeCell ref="B15:C15"/>
    <mergeCell ref="B33:C33"/>
    <mergeCell ref="B34:C34"/>
    <mergeCell ref="B22:C22"/>
    <mergeCell ref="B23:C23"/>
    <mergeCell ref="B24:C24"/>
    <mergeCell ref="B25:C25"/>
    <mergeCell ref="B32:C32"/>
    <mergeCell ref="B31:C3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38"/>
  <sheetViews>
    <sheetView topLeftCell="A19" zoomScale="160" zoomScaleNormal="160" workbookViewId="0">
      <selection activeCell="C39" sqref="C39"/>
    </sheetView>
  </sheetViews>
  <sheetFormatPr baseColWidth="10" defaultRowHeight="14.5" x14ac:dyDescent="0.35"/>
  <cols>
    <col min="2" max="2" width="32.36328125" customWidth="1"/>
    <col min="3" max="3" width="16.54296875" customWidth="1"/>
    <col min="4" max="4" width="15.1796875" customWidth="1"/>
    <col min="5" max="8" width="13" bestFit="1" customWidth="1"/>
    <col min="10" max="10" width="70" customWidth="1"/>
  </cols>
  <sheetData>
    <row r="3" spans="2:10" x14ac:dyDescent="0.35">
      <c r="D3">
        <v>2015</v>
      </c>
      <c r="E3">
        <v>2020</v>
      </c>
      <c r="F3">
        <v>2030</v>
      </c>
      <c r="G3">
        <v>2040</v>
      </c>
      <c r="H3">
        <v>2050</v>
      </c>
      <c r="J3" s="154" t="s">
        <v>136</v>
      </c>
    </row>
    <row r="4" spans="2:10" x14ac:dyDescent="0.35">
      <c r="D4" s="1">
        <v>2015</v>
      </c>
      <c r="E4" s="2" t="s">
        <v>38</v>
      </c>
      <c r="F4" s="2" t="s">
        <v>39</v>
      </c>
      <c r="G4" s="2" t="s">
        <v>40</v>
      </c>
      <c r="H4" s="2" t="s">
        <v>41</v>
      </c>
    </row>
    <row r="5" spans="2:10" x14ac:dyDescent="0.35">
      <c r="B5" s="163" t="s">
        <v>2</v>
      </c>
      <c r="C5" s="163"/>
      <c r="D5" s="3"/>
      <c r="E5" s="4">
        <v>2.7309338664209815E-3</v>
      </c>
      <c r="F5" s="4">
        <v>1.9293005517355688E-3</v>
      </c>
      <c r="G5" s="4">
        <v>8.5602642227255998E-4</v>
      </c>
      <c r="H5" s="4">
        <v>-3.4661055679729991E-5</v>
      </c>
    </row>
    <row r="6" spans="2:10" x14ac:dyDescent="0.35">
      <c r="B6" s="169" t="s">
        <v>42</v>
      </c>
      <c r="C6" s="169"/>
      <c r="D6" s="5">
        <v>62843000</v>
      </c>
      <c r="E6" s="6">
        <f>D6*(1+E5)^(E3-D3)</f>
        <v>63705800.032552674</v>
      </c>
      <c r="F6" s="6">
        <f>E6*(1+F5)^(F3-E3)</f>
        <v>64945602.127849333</v>
      </c>
      <c r="G6" s="6">
        <f>F6*(1+G5)^(G3-F3)</f>
        <v>65503700.129524738</v>
      </c>
      <c r="H6" s="7">
        <f>G6*(1+H5)^(H3-G3)</f>
        <v>65480999.396516725</v>
      </c>
      <c r="J6" s="8" t="s">
        <v>135</v>
      </c>
    </row>
    <row r="7" spans="2:10" x14ac:dyDescent="0.35">
      <c r="B7" s="169" t="s">
        <v>6</v>
      </c>
      <c r="C7" s="169"/>
      <c r="D7" s="9">
        <v>2.2281246798769998</v>
      </c>
      <c r="E7" s="148">
        <v>2.195403116608305</v>
      </c>
      <c r="F7" s="148">
        <v>2.1150000000000002</v>
      </c>
      <c r="G7" s="148">
        <v>2.11</v>
      </c>
      <c r="H7" s="148">
        <v>2.09</v>
      </c>
      <c r="J7" t="s">
        <v>138</v>
      </c>
    </row>
    <row r="8" spans="2:10" x14ac:dyDescent="0.35">
      <c r="B8" s="170" t="s">
        <v>8</v>
      </c>
      <c r="C8" s="170"/>
      <c r="D8" s="7">
        <f>D9+D11+D16</f>
        <v>34306000</v>
      </c>
      <c r="E8" s="7">
        <f>E9+E11+E16</f>
        <v>35986000</v>
      </c>
      <c r="F8" s="7">
        <f>(F9+(1-$D$27-$D$26)*$D$16)/(1-F10-F12-F13)</f>
        <v>37727317.773711912</v>
      </c>
      <c r="G8" s="7">
        <f>(G9+(1-$D$27-$D$26)*$D$16)/(1-G10-G12-G13)</f>
        <v>38409705.61447601</v>
      </c>
      <c r="H8" s="7">
        <f>(H9+(1-$D$27-$D$26)*$D$16)/(1-H10-H12-H13)</f>
        <v>39026529.082403913</v>
      </c>
    </row>
    <row r="9" spans="2:10" x14ac:dyDescent="0.35">
      <c r="B9" s="161" t="s">
        <v>9</v>
      </c>
      <c r="C9" s="161"/>
      <c r="D9" s="12">
        <v>28280000</v>
      </c>
      <c r="E9" s="13">
        <v>29482000</v>
      </c>
      <c r="F9" s="14">
        <f>F6/F7+$E$29-F29</f>
        <v>31036740.485980768</v>
      </c>
      <c r="G9" s="14">
        <f>G6/G7+$E$29-G29</f>
        <v>31703607.644324522</v>
      </c>
      <c r="H9" s="14">
        <f>H6/H7+$E$29-H29</f>
        <v>32319421.720821403</v>
      </c>
      <c r="J9" s="15"/>
    </row>
    <row r="10" spans="2:10" x14ac:dyDescent="0.35">
      <c r="B10" s="165" t="s">
        <v>10</v>
      </c>
      <c r="C10" s="165"/>
      <c r="D10" s="16">
        <f>D11/D8</f>
        <v>9.6426281117005769E-2</v>
      </c>
      <c r="E10" s="16">
        <f>E11/E8</f>
        <v>9.9288612238092586E-2</v>
      </c>
      <c r="F10" s="17">
        <f>E10</f>
        <v>9.9288612238092586E-2</v>
      </c>
      <c r="G10" s="17">
        <f>F10</f>
        <v>9.9288612238092586E-2</v>
      </c>
      <c r="H10" s="17">
        <f>G10</f>
        <v>9.9288612238092586E-2</v>
      </c>
      <c r="J10" t="s">
        <v>134</v>
      </c>
    </row>
    <row r="11" spans="2:10" x14ac:dyDescent="0.35">
      <c r="B11" s="165" t="s">
        <v>12</v>
      </c>
      <c r="C11" s="165"/>
      <c r="D11" s="18">
        <v>3308000</v>
      </c>
      <c r="E11" s="19">
        <v>3573000</v>
      </c>
      <c r="F11" s="20">
        <f>F10*F8</f>
        <v>3745893.0252173804</v>
      </c>
      <c r="G11" s="20">
        <f>G10*G8</f>
        <v>3813646.3669349961</v>
      </c>
      <c r="H11" s="20">
        <f>H10*H8</f>
        <v>3874889.9130614456</v>
      </c>
    </row>
    <row r="12" spans="2:10" x14ac:dyDescent="0.35">
      <c r="B12" s="165" t="s">
        <v>13</v>
      </c>
      <c r="C12" s="165"/>
      <c r="D12" s="16">
        <f>D17/D8</f>
        <v>5.9421092520258845E-2</v>
      </c>
      <c r="E12" s="16">
        <f>E17/E8</f>
        <v>6.1086255766131276E-2</v>
      </c>
      <c r="F12" s="16">
        <f>($H12-$E12)*(F$3-$E$3)/($H$3-$E$3)+$E12</f>
        <v>5.7390837177420849E-2</v>
      </c>
      <c r="G12" s="16">
        <f>($H12-$E12)*(G$3-$E$3)/($H$3-$E$3)+$E12</f>
        <v>5.3695418588710429E-2</v>
      </c>
      <c r="H12" s="17">
        <v>0.05</v>
      </c>
    </row>
    <row r="13" spans="2:10" x14ac:dyDescent="0.35">
      <c r="B13" s="165" t="s">
        <v>14</v>
      </c>
      <c r="C13" s="165"/>
      <c r="D13" s="16">
        <f>D18/D8</f>
        <v>1.3468780971258674E-2</v>
      </c>
      <c r="E13" s="16">
        <f>E18/E8</f>
        <v>1.3846217973656424E-2</v>
      </c>
      <c r="F13" s="16">
        <f>F14+F15</f>
        <v>1.4897478649104283E-2</v>
      </c>
      <c r="G13" s="16">
        <f>G14+G15</f>
        <v>1.5948739324552139E-2</v>
      </c>
      <c r="H13" s="16">
        <f>H14+H15</f>
        <v>1.7000000000000001E-2</v>
      </c>
    </row>
    <row r="14" spans="2:10" x14ac:dyDescent="0.35">
      <c r="B14" s="165" t="s">
        <v>15</v>
      </c>
      <c r="C14" s="165"/>
      <c r="D14" s="16">
        <f>D13*D24</f>
        <v>2.9321536174430132E-3</v>
      </c>
      <c r="E14" s="16">
        <f>E13*E24</f>
        <v>3.0143216528650037E-3</v>
      </c>
      <c r="F14" s="16">
        <f>($H14-$E14)*(F$3-$E$3)/($H$3-$E$3)+$E14</f>
        <v>6.0095477685766698E-3</v>
      </c>
      <c r="G14" s="16">
        <f>($H14-$E14)*(G$3-$E$3)/($H$3-$E$3)+$E14</f>
        <v>9.0047738842883342E-3</v>
      </c>
      <c r="H14" s="153">
        <v>1.2E-2</v>
      </c>
    </row>
    <row r="15" spans="2:10" x14ac:dyDescent="0.35">
      <c r="B15" s="165" t="s">
        <v>16</v>
      </c>
      <c r="C15" s="165"/>
      <c r="D15" s="16">
        <f>D13*D25</f>
        <v>1.0536627353815661E-2</v>
      </c>
      <c r="E15" s="16">
        <f>E13*E25</f>
        <v>1.083189632079142E-2</v>
      </c>
      <c r="F15" s="16">
        <f>($H15-$E15)*(F$3-$E$3)/($H$3-$E$3)+$E15</f>
        <v>8.8879308805276131E-3</v>
      </c>
      <c r="G15" s="16">
        <f>($H15-$E15)*(G$3-$E$3)/($H$3-$E$3)+$E15</f>
        <v>6.9439654402638062E-3</v>
      </c>
      <c r="H15" s="153">
        <v>5.0000000000000001E-3</v>
      </c>
    </row>
    <row r="16" spans="2:10" x14ac:dyDescent="0.35">
      <c r="B16" s="164" t="s">
        <v>17</v>
      </c>
      <c r="C16" s="164"/>
      <c r="D16" s="23">
        <v>2718000</v>
      </c>
      <c r="E16" s="24">
        <v>2931000</v>
      </c>
      <c r="F16" s="25">
        <f>F17+F18+(1-$D$27-$D$26)*$D$16</f>
        <v>2944684.2625137619</v>
      </c>
      <c r="G16" s="25">
        <f>G17+G18+(1-$D$27-$D$26)*$D$16</f>
        <v>2892451.6032164954</v>
      </c>
      <c r="H16" s="25">
        <f>H17+H18+(1-$D$27-$D$26)*$D$16</f>
        <v>2832217.4485210623</v>
      </c>
      <c r="I16" s="22"/>
    </row>
    <row r="17" spans="2:17" x14ac:dyDescent="0.35">
      <c r="B17" s="174" t="s">
        <v>18</v>
      </c>
      <c r="C17" s="174"/>
      <c r="D17" s="26">
        <f>$D26*D$16</f>
        <v>2038500</v>
      </c>
      <c r="E17" s="26">
        <f>E26*E$16</f>
        <v>2198250</v>
      </c>
      <c r="F17" s="26">
        <f t="shared" ref="F17:H18" si="0">F12*F$8</f>
        <v>2165202.351491916</v>
      </c>
      <c r="G17" s="26">
        <f t="shared" si="0"/>
        <v>2062425.2208384306</v>
      </c>
      <c r="H17" s="26">
        <f t="shared" si="0"/>
        <v>1951326.4541201957</v>
      </c>
      <c r="L17" s="147"/>
      <c r="M17" s="147"/>
      <c r="N17" s="147"/>
      <c r="O17" s="147"/>
      <c r="Q17" s="147"/>
    </row>
    <row r="18" spans="2:17" x14ac:dyDescent="0.35">
      <c r="B18" s="175" t="s">
        <v>19</v>
      </c>
      <c r="C18" s="175"/>
      <c r="D18" s="27">
        <f>$D27*D$16</f>
        <v>462060.00000000006</v>
      </c>
      <c r="E18" s="27">
        <f>E27*E$16</f>
        <v>498270.00000000006</v>
      </c>
      <c r="F18" s="27">
        <f t="shared" si="0"/>
        <v>562041.91102184576</v>
      </c>
      <c r="G18" s="27">
        <f t="shared" si="0"/>
        <v>612586.38237806456</v>
      </c>
      <c r="H18" s="27">
        <f t="shared" si="0"/>
        <v>663450.99440086656</v>
      </c>
    </row>
    <row r="19" spans="2:17" x14ac:dyDescent="0.35">
      <c r="B19" s="168" t="s">
        <v>20</v>
      </c>
      <c r="C19" s="168"/>
      <c r="D19" s="28"/>
      <c r="E19" s="29">
        <v>2E-3</v>
      </c>
      <c r="F19" s="29">
        <v>2E-3</v>
      </c>
      <c r="G19" s="29">
        <v>2E-3</v>
      </c>
      <c r="H19" s="29">
        <v>2E-3</v>
      </c>
      <c r="J19" s="34" t="s">
        <v>131</v>
      </c>
    </row>
    <row r="20" spans="2:17" x14ac:dyDescent="0.35">
      <c r="B20" s="32" t="s">
        <v>22</v>
      </c>
      <c r="C20" t="s">
        <v>45</v>
      </c>
      <c r="E20" s="8">
        <f>E35/5</f>
        <v>56334.212027700989</v>
      </c>
      <c r="F20" s="8">
        <f>F35/10</f>
        <v>58436.144389782472</v>
      </c>
      <c r="G20" s="8">
        <f>G35/10</f>
        <v>61517.788766941798</v>
      </c>
      <c r="H20" s="8">
        <f>H35/10</f>
        <v>62839.583270495757</v>
      </c>
    </row>
    <row r="21" spans="2:17" x14ac:dyDescent="0.35">
      <c r="B21" s="32"/>
      <c r="C21" t="s">
        <v>125</v>
      </c>
      <c r="E21">
        <v>5000</v>
      </c>
      <c r="F21" s="152">
        <v>15000</v>
      </c>
      <c r="G21" s="152">
        <v>20000</v>
      </c>
      <c r="H21" s="152">
        <v>25000</v>
      </c>
      <c r="J21" t="s">
        <v>132</v>
      </c>
    </row>
    <row r="22" spans="2:17" x14ac:dyDescent="0.35">
      <c r="J22" s="37"/>
    </row>
    <row r="23" spans="2:17" x14ac:dyDescent="0.35">
      <c r="B23" s="163" t="s">
        <v>31</v>
      </c>
      <c r="C23" s="163"/>
      <c r="D23" s="41">
        <f>D16/D8</f>
        <v>7.9228123360345126E-2</v>
      </c>
      <c r="E23" s="41">
        <f>E16/E8</f>
        <v>8.1448341021508358E-2</v>
      </c>
      <c r="F23" s="59">
        <f>F16/F8</f>
        <v>7.8051778824456852E-2</v>
      </c>
      <c r="G23" s="59">
        <f>G16/G8</f>
        <v>7.530522707589761E-2</v>
      </c>
      <c r="H23" s="60">
        <f>H16/H8</f>
        <v>7.2571594633508887E-2</v>
      </c>
      <c r="J23" t="s">
        <v>137</v>
      </c>
    </row>
    <row r="24" spans="2:17" x14ac:dyDescent="0.35">
      <c r="B24" s="161" t="s">
        <v>32</v>
      </c>
      <c r="C24" s="161"/>
      <c r="D24" s="44">
        <v>0.2177</v>
      </c>
      <c r="E24" s="44">
        <v>0.2177</v>
      </c>
      <c r="F24" s="61">
        <f>($D24*F12+F14)/F23</f>
        <v>0.23706740961941111</v>
      </c>
      <c r="G24" s="61">
        <f>($D24*G12+G14)/G23</f>
        <v>0.27480518039197382</v>
      </c>
      <c r="H24" s="62">
        <f>($D24*H12+H14)/H23</f>
        <v>0.31534376660139124</v>
      </c>
      <c r="J24" s="37"/>
    </row>
    <row r="25" spans="2:17" x14ac:dyDescent="0.35">
      <c r="B25" s="164" t="s">
        <v>33</v>
      </c>
      <c r="C25" s="164"/>
      <c r="D25" s="47">
        <v>0.7823</v>
      </c>
      <c r="E25" s="47">
        <v>0.7823</v>
      </c>
      <c r="F25" s="63">
        <f>1-F24</f>
        <v>0.76293259038058892</v>
      </c>
      <c r="G25" s="63">
        <f>1-G24</f>
        <v>0.72519481960802623</v>
      </c>
      <c r="H25" s="64">
        <f>1-H24</f>
        <v>0.68465623339860882</v>
      </c>
      <c r="J25" s="37"/>
    </row>
    <row r="26" spans="2:17" x14ac:dyDescent="0.35">
      <c r="B26" s="161" t="s">
        <v>34</v>
      </c>
      <c r="C26" s="161"/>
      <c r="D26" s="44">
        <v>0.75</v>
      </c>
      <c r="E26" s="44">
        <v>0.75</v>
      </c>
      <c r="F26" s="61">
        <f>F17/F16</f>
        <v>0.73529185422533805</v>
      </c>
      <c r="G26" s="61">
        <f>G17/G16</f>
        <v>0.71303707157794793</v>
      </c>
      <c r="H26" s="62">
        <f>H17/H16</f>
        <v>0.68897480140133538</v>
      </c>
    </row>
    <row r="27" spans="2:17" x14ac:dyDescent="0.35">
      <c r="B27" s="164" t="s">
        <v>35</v>
      </c>
      <c r="C27" s="164"/>
      <c r="D27" s="47">
        <v>0.17</v>
      </c>
      <c r="E27" s="47">
        <v>0.17</v>
      </c>
      <c r="F27" s="63">
        <f>F18/F16</f>
        <v>0.19086661282390002</v>
      </c>
      <c r="G27" s="63">
        <f>G18/G16</f>
        <v>0.21178794545666715</v>
      </c>
      <c r="H27" s="64">
        <f>H18/H16</f>
        <v>0.23425143247645405</v>
      </c>
    </row>
    <row r="28" spans="2:17" x14ac:dyDescent="0.35">
      <c r="B28" s="32" t="s">
        <v>22</v>
      </c>
    </row>
    <row r="29" spans="2:17" x14ac:dyDescent="0.35">
      <c r="B29" s="168" t="s">
        <v>36</v>
      </c>
      <c r="C29" s="168"/>
      <c r="D29" s="50">
        <f>988800</f>
        <v>988800</v>
      </c>
      <c r="E29" s="50">
        <v>988800</v>
      </c>
      <c r="F29" s="65">
        <f>$E$29+($H$29-$E$29)/($H$3-$E$3)*(F3-$E$3)</f>
        <v>659200</v>
      </c>
      <c r="G29" s="65">
        <f>$E$29+($H$29-$E$29)/($H$3-$E$3)*(G3-$E$3)</f>
        <v>329600</v>
      </c>
      <c r="H29" s="51">
        <v>0</v>
      </c>
      <c r="J29" t="s">
        <v>133</v>
      </c>
    </row>
    <row r="31" spans="2:17" x14ac:dyDescent="0.35">
      <c r="B31" s="163" t="s">
        <v>23</v>
      </c>
      <c r="C31" s="173"/>
      <c r="D31" s="54"/>
      <c r="E31" s="55">
        <f>SUM(E32:E35)</f>
        <v>1944631.060138505</v>
      </c>
      <c r="F31" s="55">
        <f>SUM(F32:F36)</f>
        <v>2192719.2176097343</v>
      </c>
      <c r="G31" s="55">
        <f t="shared" ref="G31:H31" si="1">SUM(G32:G36)</f>
        <v>1097565.7284335219</v>
      </c>
      <c r="H31" s="55">
        <f t="shared" si="1"/>
        <v>995219.30063285469</v>
      </c>
    </row>
    <row r="32" spans="2:17" x14ac:dyDescent="0.35">
      <c r="B32" s="161" t="s">
        <v>24</v>
      </c>
      <c r="C32" s="171"/>
      <c r="D32" s="54"/>
      <c r="E32" s="55">
        <f>E9-D9</f>
        <v>1202000</v>
      </c>
      <c r="F32" s="55">
        <f>F9-E9</f>
        <v>1554740.4859807678</v>
      </c>
      <c r="G32" s="55">
        <f>G9-F9</f>
        <v>666867.15834375471</v>
      </c>
      <c r="H32" s="55">
        <f>H9-G9</f>
        <v>615814.0764968805</v>
      </c>
      <c r="J32" s="37"/>
    </row>
    <row r="33" spans="2:10" x14ac:dyDescent="0.35">
      <c r="B33" s="161" t="s">
        <v>25</v>
      </c>
      <c r="C33" s="171" t="s">
        <v>26</v>
      </c>
      <c r="D33" s="54"/>
      <c r="E33" s="55">
        <f>(E17-D17)+(E18-D18)</f>
        <v>195960</v>
      </c>
      <c r="F33" s="55">
        <f>(F17-E17)+(F18-E18)</f>
        <v>30724.2625137617</v>
      </c>
      <c r="G33" s="55">
        <f>(G17-F17)+(G18-F18)</f>
        <v>-52232.659297266626</v>
      </c>
      <c r="H33" s="55">
        <f>(H17-G17)+(H18-G18)</f>
        <v>-60234.154695432866</v>
      </c>
      <c r="I33" s="8"/>
      <c r="J33" s="8"/>
    </row>
    <row r="34" spans="2:10" x14ac:dyDescent="0.35">
      <c r="B34" s="161" t="s">
        <v>27</v>
      </c>
      <c r="C34" s="171" t="s">
        <v>28</v>
      </c>
      <c r="D34" s="54"/>
      <c r="E34" s="55">
        <f>E11-D11</f>
        <v>265000</v>
      </c>
      <c r="F34" s="55">
        <f>F11-E11</f>
        <v>172893.02521738037</v>
      </c>
      <c r="G34" s="55">
        <f>G11-F11</f>
        <v>67753.341717615724</v>
      </c>
      <c r="H34" s="55">
        <f>H11-G11</f>
        <v>61243.546126449481</v>
      </c>
      <c r="J34" s="37"/>
    </row>
    <row r="35" spans="2:10" x14ac:dyDescent="0.35">
      <c r="B35" s="162" t="s">
        <v>29</v>
      </c>
      <c r="C35" s="172" t="s">
        <v>30</v>
      </c>
      <c r="D35" s="54"/>
      <c r="E35" s="55">
        <f>D9-(1-E19)^(E3-D3)*D9</f>
        <v>281671.06013850495</v>
      </c>
      <c r="F35" s="55">
        <f>E9-(1-F19)^(F3-E3)*E9</f>
        <v>584361.44389782473</v>
      </c>
      <c r="G35" s="55">
        <f>F9-(1-G19)^(G3-F3)*F9</f>
        <v>615177.88766941801</v>
      </c>
      <c r="H35" s="55">
        <f>G9-(1-H19)^(H3-G3)*G9</f>
        <v>628395.83270495757</v>
      </c>
      <c r="J35" s="37"/>
    </row>
    <row r="36" spans="2:10" x14ac:dyDescent="0.35">
      <c r="B36" s="56" t="s">
        <v>43</v>
      </c>
      <c r="C36" s="56"/>
      <c r="D36" s="57"/>
      <c r="E36" s="58"/>
      <c r="F36" s="55">
        <f>-F21*10</f>
        <v>-150000</v>
      </c>
      <c r="G36" s="55">
        <f t="shared" ref="G36:H36" si="2">-G21*10</f>
        <v>-200000</v>
      </c>
      <c r="H36" s="55">
        <f t="shared" si="2"/>
        <v>-250000</v>
      </c>
      <c r="J36" s="37"/>
    </row>
    <row r="37" spans="2:10" ht="15" thickBot="1" x14ac:dyDescent="0.4"/>
    <row r="38" spans="2:10" ht="15" thickBot="1" x14ac:dyDescent="0.4">
      <c r="B38" s="163" t="s">
        <v>44</v>
      </c>
      <c r="C38" s="173"/>
      <c r="E38" s="155">
        <f>E31/5</f>
        <v>388926.21202770097</v>
      </c>
      <c r="F38" s="156">
        <f>F31/10</f>
        <v>219271.92176097343</v>
      </c>
      <c r="G38" s="156">
        <f>G31/10</f>
        <v>109756.57284335219</v>
      </c>
      <c r="H38" s="157">
        <f>H31/10</f>
        <v>99521.930063285472</v>
      </c>
    </row>
  </sheetData>
  <mergeCells count="27">
    <mergeCell ref="B38:C38"/>
    <mergeCell ref="B10:C10"/>
    <mergeCell ref="B5:C5"/>
    <mergeCell ref="B6:C6"/>
    <mergeCell ref="B7:C7"/>
    <mergeCell ref="B8:C8"/>
    <mergeCell ref="B9:C9"/>
    <mergeCell ref="B16:C16"/>
    <mergeCell ref="B17:C17"/>
    <mergeCell ref="B18:C18"/>
    <mergeCell ref="B19:C19"/>
    <mergeCell ref="B31:C31"/>
    <mergeCell ref="B27:C27"/>
    <mergeCell ref="B29:C29"/>
    <mergeCell ref="B11:C11"/>
    <mergeCell ref="B12:C12"/>
    <mergeCell ref="B13:C13"/>
    <mergeCell ref="B14:C14"/>
    <mergeCell ref="B15:C15"/>
    <mergeCell ref="B34:C34"/>
    <mergeCell ref="B35:C35"/>
    <mergeCell ref="B23:C23"/>
    <mergeCell ref="B24:C24"/>
    <mergeCell ref="B25:C25"/>
    <mergeCell ref="B26:C26"/>
    <mergeCell ref="B33:C33"/>
    <mergeCell ref="B32:C3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5239-2AAD-426E-8163-5C891FD9D6B3}">
  <dimension ref="B3:Q38"/>
  <sheetViews>
    <sheetView topLeftCell="A13" zoomScale="130" zoomScaleNormal="130" workbookViewId="0">
      <selection activeCell="G42" sqref="G42"/>
    </sheetView>
  </sheetViews>
  <sheetFormatPr baseColWidth="10" defaultRowHeight="14.5" x14ac:dyDescent="0.35"/>
  <cols>
    <col min="2" max="2" width="32.36328125" customWidth="1"/>
    <col min="3" max="3" width="16.54296875" customWidth="1"/>
    <col min="4" max="4" width="15.1796875" customWidth="1"/>
    <col min="5" max="8" width="13" bestFit="1" customWidth="1"/>
    <col min="10" max="10" width="70" customWidth="1"/>
  </cols>
  <sheetData>
    <row r="3" spans="2:10" x14ac:dyDescent="0.35">
      <c r="D3">
        <v>2015</v>
      </c>
      <c r="E3">
        <v>2020</v>
      </c>
      <c r="F3">
        <v>2030</v>
      </c>
      <c r="G3">
        <v>2040</v>
      </c>
      <c r="H3">
        <v>2050</v>
      </c>
      <c r="J3" s="154" t="s">
        <v>136</v>
      </c>
    </row>
    <row r="4" spans="2:10" x14ac:dyDescent="0.35">
      <c r="D4" s="1">
        <v>2015</v>
      </c>
      <c r="E4" s="2" t="s">
        <v>38</v>
      </c>
      <c r="F4" s="2" t="s">
        <v>39</v>
      </c>
      <c r="G4" s="2" t="s">
        <v>40</v>
      </c>
      <c r="H4" s="2" t="s">
        <v>41</v>
      </c>
    </row>
    <row r="5" spans="2:10" x14ac:dyDescent="0.35">
      <c r="B5" s="163" t="s">
        <v>2</v>
      </c>
      <c r="C5" s="163"/>
      <c r="D5" s="3"/>
      <c r="E5" s="4">
        <v>2.7309338664209815E-3</v>
      </c>
      <c r="F5" s="4">
        <v>1.9293005517355688E-3</v>
      </c>
      <c r="G5" s="4">
        <v>8.5602642227255998E-4</v>
      </c>
      <c r="H5" s="4">
        <v>-3.4661055679729991E-5</v>
      </c>
    </row>
    <row r="6" spans="2:10" x14ac:dyDescent="0.35">
      <c r="B6" s="169" t="s">
        <v>42</v>
      </c>
      <c r="C6" s="169"/>
      <c r="D6" s="5">
        <v>62843000</v>
      </c>
      <c r="E6" s="6">
        <f>D6*(1+E5)^(E3-D3)</f>
        <v>63705800.032552674</v>
      </c>
      <c r="F6" s="6">
        <f>E6*(1+F5)^(F3-E3)</f>
        <v>64945602.127849333</v>
      </c>
      <c r="G6" s="6">
        <f>F6*(1+G5)^(G3-F3)</f>
        <v>65503700.129524738</v>
      </c>
      <c r="H6" s="7">
        <f>G6*(1+H5)^(H3-G3)</f>
        <v>65480999.396516725</v>
      </c>
      <c r="J6" s="8" t="s">
        <v>135</v>
      </c>
    </row>
    <row r="7" spans="2:10" x14ac:dyDescent="0.35">
      <c r="B7" s="169" t="s">
        <v>6</v>
      </c>
      <c r="C7" s="169"/>
      <c r="D7" s="9">
        <v>2.2281246798769998</v>
      </c>
      <c r="E7" s="148">
        <v>2.195403116608305</v>
      </c>
      <c r="F7" s="148">
        <v>2.08</v>
      </c>
      <c r="G7" s="148">
        <v>2.0499999999999998</v>
      </c>
      <c r="H7" s="148">
        <v>2.02</v>
      </c>
      <c r="J7" t="s">
        <v>139</v>
      </c>
    </row>
    <row r="8" spans="2:10" x14ac:dyDescent="0.35">
      <c r="B8" s="170" t="s">
        <v>8</v>
      </c>
      <c r="C8" s="170"/>
      <c r="D8" s="7">
        <f>D9+D11+D16</f>
        <v>34306000</v>
      </c>
      <c r="E8" s="7">
        <f>E9+E11+E16</f>
        <v>35986000</v>
      </c>
      <c r="F8" s="7">
        <f>(F9+(1-$D$27-$D$26)*$D$16)/(1-F10-F12-F13)</f>
        <v>38554720.222231135</v>
      </c>
      <c r="G8" s="7">
        <f>(G9+(1-$D$27-$D$26)*$D$16)/(1-G10-G12-G13)</f>
        <v>40157325.009137288</v>
      </c>
      <c r="H8" s="7">
        <f>(H9+(1-$D$27-$D$26)*$D$16)/(1-H10-H12-H13)</f>
        <v>40719526.015068464</v>
      </c>
    </row>
    <row r="9" spans="2:10" x14ac:dyDescent="0.35">
      <c r="B9" s="161" t="s">
        <v>9</v>
      </c>
      <c r="C9" s="161"/>
      <c r="D9" s="12">
        <v>28280000</v>
      </c>
      <c r="E9" s="13">
        <v>29482000</v>
      </c>
      <c r="F9" s="14">
        <f>F6/F7+$E$29-F29</f>
        <v>31619367.176850639</v>
      </c>
      <c r="G9" s="14">
        <f>G6/G7+$E$29-G29</f>
        <v>32941824.453426704</v>
      </c>
      <c r="H9" s="14">
        <f>H6/H7+$E$29-H29</f>
        <v>33405136.334909271</v>
      </c>
      <c r="J9" s="15"/>
    </row>
    <row r="10" spans="2:10" x14ac:dyDescent="0.35">
      <c r="B10" s="165" t="s">
        <v>10</v>
      </c>
      <c r="C10" s="165"/>
      <c r="D10" s="16">
        <f>D11/D8</f>
        <v>9.6426281117005769E-2</v>
      </c>
      <c r="E10" s="16">
        <f>E11/E8</f>
        <v>9.9288612238092586E-2</v>
      </c>
      <c r="F10" s="17">
        <f>E10</f>
        <v>9.9288612238092586E-2</v>
      </c>
      <c r="G10" s="17">
        <f>F10</f>
        <v>9.9288612238092586E-2</v>
      </c>
      <c r="H10" s="17">
        <f>G10</f>
        <v>9.9288612238092586E-2</v>
      </c>
      <c r="J10" t="s">
        <v>134</v>
      </c>
    </row>
    <row r="11" spans="2:10" x14ac:dyDescent="0.35">
      <c r="B11" s="165" t="s">
        <v>12</v>
      </c>
      <c r="C11" s="165"/>
      <c r="D11" s="18">
        <v>3308000</v>
      </c>
      <c r="E11" s="19">
        <v>3573000</v>
      </c>
      <c r="F11" s="20">
        <f>F10*F8</f>
        <v>3828044.666093254</v>
      </c>
      <c r="G11" s="20">
        <f>G10*G8</f>
        <v>3987165.0713512897</v>
      </c>
      <c r="H11" s="20">
        <f>H10*H8</f>
        <v>4042985.2290290562</v>
      </c>
    </row>
    <row r="12" spans="2:10" x14ac:dyDescent="0.35">
      <c r="B12" s="165" t="s">
        <v>13</v>
      </c>
      <c r="C12" s="165"/>
      <c r="D12" s="16">
        <f>D17/D8</f>
        <v>5.9421092520258845E-2</v>
      </c>
      <c r="E12" s="16">
        <f>E17/E8</f>
        <v>6.1086255766131276E-2</v>
      </c>
      <c r="F12" s="16">
        <f>($H12-$E12)*(F$3-$E$3)/($H$3-$E$3)+$E12</f>
        <v>6.1057503844087514E-2</v>
      </c>
      <c r="G12" s="16">
        <f>($H12-$E12)*(G$3-$E$3)/($H$3-$E$3)+$E12</f>
        <v>6.102875192204376E-2</v>
      </c>
      <c r="H12" s="17">
        <v>6.0999999999999999E-2</v>
      </c>
    </row>
    <row r="13" spans="2:10" x14ac:dyDescent="0.35">
      <c r="B13" s="165" t="s">
        <v>14</v>
      </c>
      <c r="C13" s="165"/>
      <c r="D13" s="16">
        <f>D18/D8</f>
        <v>1.3468780971258674E-2</v>
      </c>
      <c r="E13" s="16">
        <f>E18/E8</f>
        <v>1.3846217973656424E-2</v>
      </c>
      <c r="F13" s="16">
        <f>F14+F15</f>
        <v>1.3897478649104282E-2</v>
      </c>
      <c r="G13" s="16">
        <f>G14+G15</f>
        <v>1.394873932455214E-2</v>
      </c>
      <c r="H13" s="16">
        <f>H14+H15</f>
        <v>1.3999999999999999E-2</v>
      </c>
    </row>
    <row r="14" spans="2:10" x14ac:dyDescent="0.35">
      <c r="B14" s="165" t="s">
        <v>15</v>
      </c>
      <c r="C14" s="165"/>
      <c r="D14" s="16">
        <f>D13*D24</f>
        <v>2.9321536174430132E-3</v>
      </c>
      <c r="E14" s="16">
        <f>E13*E24</f>
        <v>3.0143216528650037E-3</v>
      </c>
      <c r="F14" s="16">
        <f>($H14-$E14)*(F$3-$E$3)/($H$3-$E$3)+$E14</f>
        <v>3.0095477685766693E-3</v>
      </c>
      <c r="G14" s="16">
        <f>($H14-$E14)*(G$3-$E$3)/($H$3-$E$3)+$E14</f>
        <v>3.0047738842883345E-3</v>
      </c>
      <c r="H14" s="153">
        <v>3.0000000000000001E-3</v>
      </c>
    </row>
    <row r="15" spans="2:10" x14ac:dyDescent="0.35">
      <c r="B15" s="165" t="s">
        <v>16</v>
      </c>
      <c r="C15" s="165"/>
      <c r="D15" s="16">
        <f>D13*D25</f>
        <v>1.0536627353815661E-2</v>
      </c>
      <c r="E15" s="16">
        <f>E13*E25</f>
        <v>1.083189632079142E-2</v>
      </c>
      <c r="F15" s="16">
        <f>($H15-$E15)*(F$3-$E$3)/($H$3-$E$3)+$E15</f>
        <v>1.0887930880527613E-2</v>
      </c>
      <c r="G15" s="16">
        <f>($H15-$E15)*(G$3-$E$3)/($H$3-$E$3)+$E15</f>
        <v>1.0943965440263806E-2</v>
      </c>
      <c r="H15" s="153">
        <v>1.0999999999999999E-2</v>
      </c>
    </row>
    <row r="16" spans="2:10" x14ac:dyDescent="0.35">
      <c r="B16" s="164" t="s">
        <v>17</v>
      </c>
      <c r="C16" s="164"/>
      <c r="D16" s="23">
        <v>2718000</v>
      </c>
      <c r="E16" s="24">
        <v>2931000</v>
      </c>
      <c r="F16" s="25">
        <f>F17+F18+(1-$D$27-$D$26)*$D$16</f>
        <v>3107308.3792872424</v>
      </c>
      <c r="G16" s="25">
        <f>G17+G18+(1-$D$27-$D$26)*$D$16</f>
        <v>3228335.4843592979</v>
      </c>
      <c r="H16" s="25">
        <f>H17+H18+(1-$D$27-$D$26)*$D$16</f>
        <v>3271404.451130135</v>
      </c>
      <c r="I16" s="22"/>
    </row>
    <row r="17" spans="2:17" x14ac:dyDescent="0.35">
      <c r="B17" s="174" t="s">
        <v>18</v>
      </c>
      <c r="C17" s="174"/>
      <c r="D17" s="26">
        <f>$D26*D$16</f>
        <v>2038500</v>
      </c>
      <c r="E17" s="26">
        <f>E26*E$16</f>
        <v>2198250</v>
      </c>
      <c r="F17" s="26">
        <f t="shared" ref="F17:H18" si="0">F12*F$8</f>
        <v>2354054.9781765961</v>
      </c>
      <c r="G17" s="26">
        <f t="shared" si="0"/>
        <v>2450751.4258355233</v>
      </c>
      <c r="H17" s="26">
        <f t="shared" si="0"/>
        <v>2483891.0869191764</v>
      </c>
      <c r="L17" s="147"/>
      <c r="M17" s="147"/>
      <c r="N17" s="147"/>
      <c r="O17" s="147"/>
      <c r="Q17" s="147"/>
    </row>
    <row r="18" spans="2:17" x14ac:dyDescent="0.35">
      <c r="B18" s="175" t="s">
        <v>19</v>
      </c>
      <c r="C18" s="175"/>
      <c r="D18" s="27">
        <f>$D27*D$16</f>
        <v>462060.00000000006</v>
      </c>
      <c r="E18" s="27">
        <f>E27*E$16</f>
        <v>498270.00000000006</v>
      </c>
      <c r="F18" s="27">
        <f t="shared" si="0"/>
        <v>535813.40111064631</v>
      </c>
      <c r="G18" s="27">
        <f t="shared" si="0"/>
        <v>560144.05852377438</v>
      </c>
      <c r="H18" s="27">
        <f t="shared" si="0"/>
        <v>570073.36421095848</v>
      </c>
    </row>
    <row r="19" spans="2:17" x14ac:dyDescent="0.35">
      <c r="B19" s="168" t="s">
        <v>20</v>
      </c>
      <c r="C19" s="168"/>
      <c r="D19" s="28"/>
      <c r="E19" s="29">
        <v>2E-3</v>
      </c>
      <c r="F19" s="29">
        <v>2E-3</v>
      </c>
      <c r="G19" s="29">
        <v>2E-3</v>
      </c>
      <c r="H19" s="29">
        <v>2E-3</v>
      </c>
      <c r="J19" s="34" t="s">
        <v>131</v>
      </c>
    </row>
    <row r="20" spans="2:17" x14ac:dyDescent="0.35">
      <c r="B20" s="32" t="s">
        <v>22</v>
      </c>
      <c r="C20" t="s">
        <v>45</v>
      </c>
      <c r="E20" s="8">
        <f>E35/5</f>
        <v>56334.212027700989</v>
      </c>
      <c r="F20" s="8">
        <f>F35/10</f>
        <v>58436.144389782472</v>
      </c>
      <c r="G20" s="8">
        <f>G35/10</f>
        <v>62672.6106051147</v>
      </c>
      <c r="H20" s="8">
        <f>H35/10</f>
        <v>65293.847439906</v>
      </c>
    </row>
    <row r="21" spans="2:17" x14ac:dyDescent="0.35">
      <c r="B21" s="32"/>
      <c r="C21" t="s">
        <v>125</v>
      </c>
      <c r="E21">
        <v>5000</v>
      </c>
      <c r="F21" s="152">
        <v>15000</v>
      </c>
      <c r="G21" s="152">
        <v>15000</v>
      </c>
      <c r="H21" s="152">
        <v>15000</v>
      </c>
      <c r="J21" t="s">
        <v>141</v>
      </c>
    </row>
    <row r="22" spans="2:17" x14ac:dyDescent="0.35">
      <c r="J22" s="37"/>
    </row>
    <row r="23" spans="2:17" x14ac:dyDescent="0.35">
      <c r="B23" s="163" t="s">
        <v>31</v>
      </c>
      <c r="C23" s="163"/>
      <c r="D23" s="41">
        <f>D16/D8</f>
        <v>7.9228123360345126E-2</v>
      </c>
      <c r="E23" s="41">
        <f>E16/E8</f>
        <v>8.1448341021508358E-2</v>
      </c>
      <c r="F23" s="59">
        <f>F16/F8</f>
        <v>8.0594758861601834E-2</v>
      </c>
      <c r="G23" s="59">
        <f>G16/G8</f>
        <v>8.0392194540466311E-2</v>
      </c>
      <c r="H23" s="60">
        <f>H16/H8</f>
        <v>8.0339944279300676E-2</v>
      </c>
      <c r="J23" t="s">
        <v>140</v>
      </c>
    </row>
    <row r="24" spans="2:17" x14ac:dyDescent="0.35">
      <c r="B24" s="161" t="s">
        <v>32</v>
      </c>
      <c r="C24" s="161"/>
      <c r="D24" s="44">
        <v>0.2177</v>
      </c>
      <c r="E24" s="44">
        <v>0.2177</v>
      </c>
      <c r="F24" s="61">
        <f>($D24*F12+F14)/F23</f>
        <v>0.20226831850726279</v>
      </c>
      <c r="G24" s="61">
        <f>($D24*G12+G14)/G23</f>
        <v>0.20264073236011912</v>
      </c>
      <c r="H24" s="62">
        <f>($D24*H12+H14)/H23</f>
        <v>0.20263519157299706</v>
      </c>
      <c r="J24" s="37"/>
    </row>
    <row r="25" spans="2:17" x14ac:dyDescent="0.35">
      <c r="B25" s="164" t="s">
        <v>33</v>
      </c>
      <c r="C25" s="164"/>
      <c r="D25" s="47">
        <v>0.7823</v>
      </c>
      <c r="E25" s="47">
        <v>0.7823</v>
      </c>
      <c r="F25" s="63">
        <f>1-F24</f>
        <v>0.79773168149273721</v>
      </c>
      <c r="G25" s="63">
        <f>1-G24</f>
        <v>0.79735926763988085</v>
      </c>
      <c r="H25" s="64">
        <f>1-H24</f>
        <v>0.79736480842700297</v>
      </c>
      <c r="J25" s="37"/>
    </row>
    <row r="26" spans="2:17" x14ac:dyDescent="0.35">
      <c r="B26" s="161" t="s">
        <v>34</v>
      </c>
      <c r="C26" s="161"/>
      <c r="D26" s="44">
        <v>0.75</v>
      </c>
      <c r="E26" s="44">
        <v>0.75</v>
      </c>
      <c r="F26" s="61">
        <f>F17/F16</f>
        <v>0.75758653176115454</v>
      </c>
      <c r="G26" s="61">
        <f>G17/G16</f>
        <v>0.75913777787623715</v>
      </c>
      <c r="H26" s="62">
        <f>H17/H16</f>
        <v>0.75927361597282617</v>
      </c>
    </row>
    <row r="27" spans="2:17" x14ac:dyDescent="0.35">
      <c r="B27" s="164" t="s">
        <v>35</v>
      </c>
      <c r="C27" s="164"/>
      <c r="D27" s="47">
        <v>0.17</v>
      </c>
      <c r="E27" s="47">
        <v>0.17</v>
      </c>
      <c r="F27" s="63">
        <f>F18/F16</f>
        <v>0.17243650636102997</v>
      </c>
      <c r="G27" s="63">
        <f>G18/G16</f>
        <v>0.17350862735225975</v>
      </c>
      <c r="H27" s="64">
        <f>H18/H16</f>
        <v>0.17425951841999288</v>
      </c>
    </row>
    <row r="28" spans="2:17" x14ac:dyDescent="0.35">
      <c r="B28" s="32" t="s">
        <v>22</v>
      </c>
    </row>
    <row r="29" spans="2:17" x14ac:dyDescent="0.35">
      <c r="B29" s="168" t="s">
        <v>36</v>
      </c>
      <c r="C29" s="168"/>
      <c r="D29" s="50">
        <f>988800</f>
        <v>988800</v>
      </c>
      <c r="E29" s="50">
        <v>988800</v>
      </c>
      <c r="F29" s="65">
        <f>E29*9/15</f>
        <v>593280</v>
      </c>
      <c r="G29" s="65">
        <v>0</v>
      </c>
      <c r="H29" s="51">
        <v>0</v>
      </c>
      <c r="J29" t="s">
        <v>142</v>
      </c>
    </row>
    <row r="31" spans="2:17" x14ac:dyDescent="0.35">
      <c r="B31" s="163" t="s">
        <v>23</v>
      </c>
      <c r="C31" s="173"/>
      <c r="D31" s="54"/>
      <c r="E31" s="55">
        <f>SUM(E32:E35)</f>
        <v>1944631.060138505</v>
      </c>
      <c r="F31" s="55">
        <f>SUM(F32:F36)</f>
        <v>3020121.6661289604</v>
      </c>
      <c r="G31" s="55">
        <f t="shared" ref="G31:H31" si="1">SUM(G32:G36)</f>
        <v>2079330.8929573027</v>
      </c>
      <c r="H31" s="55">
        <f t="shared" si="1"/>
        <v>1065139.4803302311</v>
      </c>
    </row>
    <row r="32" spans="2:17" x14ac:dyDescent="0.35">
      <c r="B32" s="161" t="s">
        <v>24</v>
      </c>
      <c r="C32" s="171"/>
      <c r="D32" s="54"/>
      <c r="E32" s="55">
        <f>E9-D9</f>
        <v>1202000</v>
      </c>
      <c r="F32" s="55">
        <f>F9-E9</f>
        <v>2137367.1768506393</v>
      </c>
      <c r="G32" s="55">
        <f>G9-F9</f>
        <v>1322457.2765760645</v>
      </c>
      <c r="H32" s="55">
        <f>H9-G9</f>
        <v>463311.88148256764</v>
      </c>
      <c r="J32" s="37"/>
    </row>
    <row r="33" spans="2:10" x14ac:dyDescent="0.35">
      <c r="B33" s="161" t="s">
        <v>25</v>
      </c>
      <c r="C33" s="171" t="s">
        <v>26</v>
      </c>
      <c r="D33" s="54"/>
      <c r="E33" s="55">
        <f>(E17-D17)+(E18-D18)</f>
        <v>195960</v>
      </c>
      <c r="F33" s="55">
        <f>(F17-E17)+(F18-E18)</f>
        <v>193348.37928724237</v>
      </c>
      <c r="G33" s="55">
        <f>(G17-F17)+(G18-F18)</f>
        <v>121027.10507205524</v>
      </c>
      <c r="H33" s="55">
        <f>(H17-G17)+(H18-G18)</f>
        <v>43068.9667708372</v>
      </c>
      <c r="I33" s="8"/>
      <c r="J33" s="8"/>
    </row>
    <row r="34" spans="2:10" x14ac:dyDescent="0.35">
      <c r="B34" s="161" t="s">
        <v>27</v>
      </c>
      <c r="C34" s="171" t="s">
        <v>28</v>
      </c>
      <c r="D34" s="54"/>
      <c r="E34" s="55">
        <f>E11-D11</f>
        <v>265000</v>
      </c>
      <c r="F34" s="55">
        <f>F11-E11</f>
        <v>255044.666093254</v>
      </c>
      <c r="G34" s="55">
        <f>G11-F11</f>
        <v>159120.40525803575</v>
      </c>
      <c r="H34" s="55">
        <f>H11-G11</f>
        <v>55820.157677766401</v>
      </c>
      <c r="J34" s="37"/>
    </row>
    <row r="35" spans="2:10" x14ac:dyDescent="0.35">
      <c r="B35" s="162" t="s">
        <v>29</v>
      </c>
      <c r="C35" s="172" t="s">
        <v>30</v>
      </c>
      <c r="D35" s="54"/>
      <c r="E35" s="55">
        <f>D9-(1-E19)^(E3-D3)*D9</f>
        <v>281671.06013850495</v>
      </c>
      <c r="F35" s="55">
        <f>E9-(1-F19)^(F3-E3)*E9</f>
        <v>584361.44389782473</v>
      </c>
      <c r="G35" s="55">
        <f>F9-(1-G19)^(G3-F3)*F9</f>
        <v>626726.10605114698</v>
      </c>
      <c r="H35" s="55">
        <f>G9-(1-H19)^(H3-G3)*G9</f>
        <v>652938.47439906001</v>
      </c>
      <c r="J35" s="37"/>
    </row>
    <row r="36" spans="2:10" x14ac:dyDescent="0.35">
      <c r="B36" s="56" t="s">
        <v>43</v>
      </c>
      <c r="C36" s="56"/>
      <c r="D36" s="57"/>
      <c r="E36" s="58"/>
      <c r="F36" s="55">
        <f>-F21*10</f>
        <v>-150000</v>
      </c>
      <c r="G36" s="55">
        <f t="shared" ref="G36:H36" si="2">-G21*10</f>
        <v>-150000</v>
      </c>
      <c r="H36" s="55">
        <f t="shared" si="2"/>
        <v>-150000</v>
      </c>
      <c r="J36" s="37"/>
    </row>
    <row r="37" spans="2:10" ht="15" thickBot="1" x14ac:dyDescent="0.4"/>
    <row r="38" spans="2:10" ht="15" thickBot="1" x14ac:dyDescent="0.4">
      <c r="B38" s="163" t="s">
        <v>44</v>
      </c>
      <c r="C38" s="173"/>
      <c r="E38" s="155">
        <f>E31/5</f>
        <v>388926.21202770097</v>
      </c>
      <c r="F38" s="156">
        <f>F31/10</f>
        <v>302012.16661289602</v>
      </c>
      <c r="G38" s="156">
        <f>G31/10</f>
        <v>207933.08929573029</v>
      </c>
      <c r="H38" s="157">
        <f>H31/10</f>
        <v>106513.94803302312</v>
      </c>
    </row>
  </sheetData>
  <mergeCells count="27">
    <mergeCell ref="B34:C34"/>
    <mergeCell ref="B35:C35"/>
    <mergeCell ref="B38:C38"/>
    <mergeCell ref="B26:C26"/>
    <mergeCell ref="B27:C27"/>
    <mergeCell ref="B29:C29"/>
    <mergeCell ref="B31:C31"/>
    <mergeCell ref="B32:C32"/>
    <mergeCell ref="B33:C33"/>
    <mergeCell ref="B25:C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3:C23"/>
    <mergeCell ref="B24:C24"/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8ECA-EB2B-4144-9F81-764DFE50D6FF}">
  <dimension ref="B3:Q38"/>
  <sheetViews>
    <sheetView topLeftCell="A16" zoomScale="130" zoomScaleNormal="130" workbookViewId="0">
      <selection activeCell="J27" sqref="J27"/>
    </sheetView>
  </sheetViews>
  <sheetFormatPr baseColWidth="10" defaultRowHeight="14.5" x14ac:dyDescent="0.35"/>
  <cols>
    <col min="2" max="2" width="32.36328125" customWidth="1"/>
    <col min="3" max="3" width="16.54296875" customWidth="1"/>
    <col min="4" max="4" width="15.1796875" customWidth="1"/>
    <col min="5" max="8" width="13" bestFit="1" customWidth="1"/>
    <col min="10" max="10" width="70" customWidth="1"/>
  </cols>
  <sheetData>
    <row r="3" spans="2:10" x14ac:dyDescent="0.35">
      <c r="D3">
        <v>2015</v>
      </c>
      <c r="E3">
        <v>2020</v>
      </c>
      <c r="F3">
        <v>2030</v>
      </c>
      <c r="G3">
        <v>2040</v>
      </c>
      <c r="H3">
        <v>2050</v>
      </c>
      <c r="J3" s="154" t="s">
        <v>136</v>
      </c>
    </row>
    <row r="4" spans="2:10" x14ac:dyDescent="0.35">
      <c r="D4" s="1">
        <v>2015</v>
      </c>
      <c r="E4" s="2" t="s">
        <v>38</v>
      </c>
      <c r="F4" s="2" t="s">
        <v>39</v>
      </c>
      <c r="G4" s="2" t="s">
        <v>40</v>
      </c>
      <c r="H4" s="2" t="s">
        <v>41</v>
      </c>
    </row>
    <row r="5" spans="2:10" x14ac:dyDescent="0.35">
      <c r="B5" s="163" t="s">
        <v>2</v>
      </c>
      <c r="C5" s="163"/>
      <c r="D5" s="3"/>
      <c r="E5" s="4">
        <v>2.7309338664209815E-3</v>
      </c>
      <c r="F5" s="4">
        <v>1.9293005517355688E-3</v>
      </c>
      <c r="G5" s="4">
        <v>8.5602642227255998E-4</v>
      </c>
      <c r="H5" s="4">
        <v>-3.4661055679729991E-5</v>
      </c>
    </row>
    <row r="6" spans="2:10" x14ac:dyDescent="0.35">
      <c r="B6" s="169" t="s">
        <v>42</v>
      </c>
      <c r="C6" s="169"/>
      <c r="D6" s="5">
        <v>62843000</v>
      </c>
      <c r="E6" s="6">
        <f>D6*(1+E5)^(E3-D3)</f>
        <v>63705800.032552674</v>
      </c>
      <c r="F6" s="6">
        <f>E6*(1+F5)^(F3-E3)</f>
        <v>64945602.127849333</v>
      </c>
      <c r="G6" s="6">
        <f>F6*(1+G5)^(G3-F3)</f>
        <v>65503700.129524738</v>
      </c>
      <c r="H6" s="7">
        <f>G6*(1+H5)^(H3-G3)</f>
        <v>65480999.396516725</v>
      </c>
      <c r="J6" s="8" t="s">
        <v>135</v>
      </c>
    </row>
    <row r="7" spans="2:10" x14ac:dyDescent="0.35">
      <c r="B7" s="169" t="s">
        <v>6</v>
      </c>
      <c r="C7" s="169"/>
      <c r="D7" s="9">
        <v>2.2281246798769998</v>
      </c>
      <c r="E7" s="148">
        <v>2.195403116608305</v>
      </c>
      <c r="F7" s="148">
        <v>2.1150000000000002</v>
      </c>
      <c r="G7" s="148">
        <v>2.11</v>
      </c>
      <c r="H7" s="148">
        <v>2.09</v>
      </c>
      <c r="J7" t="s">
        <v>138</v>
      </c>
    </row>
    <row r="8" spans="2:10" x14ac:dyDescent="0.35">
      <c r="B8" s="170" t="s">
        <v>8</v>
      </c>
      <c r="C8" s="170"/>
      <c r="D8" s="7">
        <f>D9+D11+D16</f>
        <v>34306000</v>
      </c>
      <c r="E8" s="7">
        <f>E9+E11+E16</f>
        <v>35986000</v>
      </c>
      <c r="F8" s="7">
        <f>(F9+(1-$D$27-$D$26)*$D$16)/(1-F10-F12-F13)</f>
        <v>37727317.773711912</v>
      </c>
      <c r="G8" s="7">
        <f>(G9+(1-$D$27-$D$26)*$D$16)/(1-G10-G12-G13)</f>
        <v>38409705.61447601</v>
      </c>
      <c r="H8" s="7">
        <f>(H9+(1-$D$27-$D$26)*$D$16)/(1-H10-H12-H13)</f>
        <v>39026529.082403913</v>
      </c>
    </row>
    <row r="9" spans="2:10" x14ac:dyDescent="0.35">
      <c r="B9" s="161" t="s">
        <v>9</v>
      </c>
      <c r="C9" s="161"/>
      <c r="D9" s="12">
        <v>28280000</v>
      </c>
      <c r="E9" s="13">
        <v>29482000</v>
      </c>
      <c r="F9" s="14">
        <f>F6/F7+$E$29-F29</f>
        <v>31036740.485980768</v>
      </c>
      <c r="G9" s="14">
        <f>G6/G7+$E$29-G29</f>
        <v>31703607.644324522</v>
      </c>
      <c r="H9" s="14">
        <f>H6/H7+$E$29-H29</f>
        <v>32319421.720821403</v>
      </c>
      <c r="J9" s="15"/>
    </row>
    <row r="10" spans="2:10" x14ac:dyDescent="0.35">
      <c r="B10" s="165" t="s">
        <v>10</v>
      </c>
      <c r="C10" s="165"/>
      <c r="D10" s="16">
        <f>D11/D8</f>
        <v>9.6426281117005769E-2</v>
      </c>
      <c r="E10" s="16">
        <f>E11/E8</f>
        <v>9.9288612238092586E-2</v>
      </c>
      <c r="F10" s="17">
        <f>E10</f>
        <v>9.9288612238092586E-2</v>
      </c>
      <c r="G10" s="17">
        <f>F10</f>
        <v>9.9288612238092586E-2</v>
      </c>
      <c r="H10" s="17">
        <f>G10</f>
        <v>9.9288612238092586E-2</v>
      </c>
      <c r="J10" t="s">
        <v>134</v>
      </c>
    </row>
    <row r="11" spans="2:10" x14ac:dyDescent="0.35">
      <c r="B11" s="165" t="s">
        <v>12</v>
      </c>
      <c r="C11" s="165"/>
      <c r="D11" s="18">
        <v>3308000</v>
      </c>
      <c r="E11" s="19">
        <v>3573000</v>
      </c>
      <c r="F11" s="20">
        <f>F10*F8</f>
        <v>3745893.0252173804</v>
      </c>
      <c r="G11" s="20">
        <f>G10*G8</f>
        <v>3813646.3669349961</v>
      </c>
      <c r="H11" s="20">
        <f>H10*H8</f>
        <v>3874889.9130614456</v>
      </c>
    </row>
    <row r="12" spans="2:10" x14ac:dyDescent="0.35">
      <c r="B12" s="165" t="s">
        <v>13</v>
      </c>
      <c r="C12" s="165"/>
      <c r="D12" s="16">
        <f>D17/D8</f>
        <v>5.9421092520258845E-2</v>
      </c>
      <c r="E12" s="16">
        <f>E17/E8</f>
        <v>6.1086255766131276E-2</v>
      </c>
      <c r="F12" s="16">
        <f>($H12-$E12)*(F$3-$E$3)/($H$3-$E$3)+$E12</f>
        <v>5.7390837177420849E-2</v>
      </c>
      <c r="G12" s="16">
        <f>($H12-$E12)*(G$3-$E$3)/($H$3-$E$3)+$E12</f>
        <v>5.3695418588710429E-2</v>
      </c>
      <c r="H12" s="17">
        <v>0.05</v>
      </c>
    </row>
    <row r="13" spans="2:10" x14ac:dyDescent="0.35">
      <c r="B13" s="165" t="s">
        <v>14</v>
      </c>
      <c r="C13" s="165"/>
      <c r="D13" s="16">
        <f>D18/D8</f>
        <v>1.3468780971258674E-2</v>
      </c>
      <c r="E13" s="16">
        <f>E18/E8</f>
        <v>1.3846217973656424E-2</v>
      </c>
      <c r="F13" s="16">
        <f>F14+F15</f>
        <v>1.4897478649104283E-2</v>
      </c>
      <c r="G13" s="16">
        <f>G14+G15</f>
        <v>1.5948739324552139E-2</v>
      </c>
      <c r="H13" s="16">
        <f>H14+H15</f>
        <v>1.7000000000000001E-2</v>
      </c>
    </row>
    <row r="14" spans="2:10" x14ac:dyDescent="0.35">
      <c r="B14" s="165" t="s">
        <v>15</v>
      </c>
      <c r="C14" s="165"/>
      <c r="D14" s="16">
        <f>D13*D24</f>
        <v>2.9321536174430132E-3</v>
      </c>
      <c r="E14" s="16">
        <f>E13*E24</f>
        <v>3.0143216528650037E-3</v>
      </c>
      <c r="F14" s="16">
        <f>($H14-$E14)*(F$3-$E$3)/($H$3-$E$3)+$E14</f>
        <v>6.0095477685766698E-3</v>
      </c>
      <c r="G14" s="16">
        <f>($H14-$E14)*(G$3-$E$3)/($H$3-$E$3)+$E14</f>
        <v>9.0047738842883342E-3</v>
      </c>
      <c r="H14" s="153">
        <v>1.2E-2</v>
      </c>
    </row>
    <row r="15" spans="2:10" x14ac:dyDescent="0.35">
      <c r="B15" s="165" t="s">
        <v>16</v>
      </c>
      <c r="C15" s="165"/>
      <c r="D15" s="16">
        <f>D13*D25</f>
        <v>1.0536627353815661E-2</v>
      </c>
      <c r="E15" s="16">
        <f>E13*E25</f>
        <v>1.083189632079142E-2</v>
      </c>
      <c r="F15" s="16">
        <f>($H15-$E15)*(F$3-$E$3)/($H$3-$E$3)+$E15</f>
        <v>8.8879308805276131E-3</v>
      </c>
      <c r="G15" s="16">
        <f>($H15-$E15)*(G$3-$E$3)/($H$3-$E$3)+$E15</f>
        <v>6.9439654402638062E-3</v>
      </c>
      <c r="H15" s="153">
        <v>5.0000000000000001E-3</v>
      </c>
    </row>
    <row r="16" spans="2:10" x14ac:dyDescent="0.35">
      <c r="B16" s="164" t="s">
        <v>17</v>
      </c>
      <c r="C16" s="164"/>
      <c r="D16" s="23">
        <v>2718000</v>
      </c>
      <c r="E16" s="24">
        <v>2931000</v>
      </c>
      <c r="F16" s="25">
        <f>F17+F18+(1-$D$27-$D$26)*$D$16</f>
        <v>2944684.2625137619</v>
      </c>
      <c r="G16" s="25">
        <f>G17+G18+(1-$D$27-$D$26)*$D$16</f>
        <v>2892451.6032164954</v>
      </c>
      <c r="H16" s="25">
        <f>H17+H18+(1-$D$27-$D$26)*$D$16</f>
        <v>2832217.4485210623</v>
      </c>
      <c r="I16" s="22"/>
    </row>
    <row r="17" spans="2:17" x14ac:dyDescent="0.35">
      <c r="B17" s="174" t="s">
        <v>18</v>
      </c>
      <c r="C17" s="174"/>
      <c r="D17" s="26">
        <f>$D26*D$16</f>
        <v>2038500</v>
      </c>
      <c r="E17" s="26">
        <f>E26*E$16</f>
        <v>2198250</v>
      </c>
      <c r="F17" s="26">
        <f t="shared" ref="F17:H18" si="0">F12*F$8</f>
        <v>2165202.351491916</v>
      </c>
      <c r="G17" s="26">
        <f t="shared" si="0"/>
        <v>2062425.2208384306</v>
      </c>
      <c r="H17" s="26">
        <f t="shared" si="0"/>
        <v>1951326.4541201957</v>
      </c>
      <c r="L17" s="147"/>
      <c r="M17" s="147"/>
      <c r="N17" s="147"/>
      <c r="O17" s="147"/>
      <c r="Q17" s="147"/>
    </row>
    <row r="18" spans="2:17" x14ac:dyDescent="0.35">
      <c r="B18" s="175" t="s">
        <v>19</v>
      </c>
      <c r="C18" s="175"/>
      <c r="D18" s="27">
        <f>$D27*D$16</f>
        <v>462060.00000000006</v>
      </c>
      <c r="E18" s="27">
        <f>E27*E$16</f>
        <v>498270.00000000006</v>
      </c>
      <c r="F18" s="27">
        <f t="shared" si="0"/>
        <v>562041.91102184576</v>
      </c>
      <c r="G18" s="27">
        <f t="shared" si="0"/>
        <v>612586.38237806456</v>
      </c>
      <c r="H18" s="27">
        <f t="shared" si="0"/>
        <v>663450.99440086656</v>
      </c>
    </row>
    <row r="19" spans="2:17" x14ac:dyDescent="0.35">
      <c r="B19" s="168" t="s">
        <v>20</v>
      </c>
      <c r="C19" s="168"/>
      <c r="D19" s="28"/>
      <c r="E19" s="29">
        <v>2E-3</v>
      </c>
      <c r="F19" s="29">
        <v>2.5000000000000001E-3</v>
      </c>
      <c r="G19" s="29">
        <v>4.6499999999999996E-3</v>
      </c>
      <c r="H19" s="29">
        <v>5.5999999999999999E-3</v>
      </c>
      <c r="J19" s="34" t="s">
        <v>131</v>
      </c>
    </row>
    <row r="20" spans="2:17" x14ac:dyDescent="0.35">
      <c r="B20" s="32" t="s">
        <v>22</v>
      </c>
      <c r="C20" t="s">
        <v>45</v>
      </c>
      <c r="E20" s="8">
        <f>E35/5</f>
        <v>56334.212027700989</v>
      </c>
      <c r="F20" s="8">
        <f>F35/10</f>
        <v>72881.322512948143</v>
      </c>
      <c r="G20" s="8">
        <f>G35/10</f>
        <v>141338.07351320423</v>
      </c>
      <c r="H20" s="8">
        <f>H35/10</f>
        <v>173132.35124916545</v>
      </c>
    </row>
    <row r="21" spans="2:17" x14ac:dyDescent="0.35">
      <c r="B21" s="32"/>
      <c r="C21" t="s">
        <v>125</v>
      </c>
      <c r="E21">
        <v>5000</v>
      </c>
      <c r="F21" s="152">
        <v>15000</v>
      </c>
      <c r="G21" s="152">
        <v>20000</v>
      </c>
      <c r="H21" s="152">
        <v>25000</v>
      </c>
      <c r="J21" t="s">
        <v>132</v>
      </c>
    </row>
    <row r="22" spans="2:17" x14ac:dyDescent="0.35">
      <c r="J22" s="37"/>
    </row>
    <row r="23" spans="2:17" x14ac:dyDescent="0.35">
      <c r="B23" s="163" t="s">
        <v>31</v>
      </c>
      <c r="C23" s="163"/>
      <c r="D23" s="41">
        <f>D16/D8</f>
        <v>7.9228123360345126E-2</v>
      </c>
      <c r="E23" s="41">
        <f>E16/E8</f>
        <v>8.1448341021508358E-2</v>
      </c>
      <c r="F23" s="59">
        <f>F16/F8</f>
        <v>7.8051778824456852E-2</v>
      </c>
      <c r="G23" s="59">
        <f>G16/G8</f>
        <v>7.530522707589761E-2</v>
      </c>
      <c r="H23" s="60">
        <f>H16/H8</f>
        <v>7.2571594633508887E-2</v>
      </c>
      <c r="J23" t="s">
        <v>137</v>
      </c>
    </row>
    <row r="24" spans="2:17" x14ac:dyDescent="0.35">
      <c r="B24" s="161" t="s">
        <v>32</v>
      </c>
      <c r="C24" s="161"/>
      <c r="D24" s="44">
        <v>0.2177</v>
      </c>
      <c r="E24" s="44">
        <v>0.2177</v>
      </c>
      <c r="F24" s="61">
        <f>($D24*F12+F14)/F23</f>
        <v>0.23706740961941111</v>
      </c>
      <c r="G24" s="61">
        <f>($D24*G12+G14)/G23</f>
        <v>0.27480518039197382</v>
      </c>
      <c r="H24" s="62">
        <f>($D24*H12+H14)/H23</f>
        <v>0.31534376660139124</v>
      </c>
      <c r="J24" s="37"/>
    </row>
    <row r="25" spans="2:17" x14ac:dyDescent="0.35">
      <c r="B25" s="164" t="s">
        <v>33</v>
      </c>
      <c r="C25" s="164"/>
      <c r="D25" s="47">
        <v>0.7823</v>
      </c>
      <c r="E25" s="47">
        <v>0.7823</v>
      </c>
      <c r="F25" s="63">
        <f>1-F24</f>
        <v>0.76293259038058892</v>
      </c>
      <c r="G25" s="63">
        <f>1-G24</f>
        <v>0.72519481960802623</v>
      </c>
      <c r="H25" s="64">
        <f>1-H24</f>
        <v>0.68465623339860882</v>
      </c>
      <c r="J25" s="37"/>
    </row>
    <row r="26" spans="2:17" x14ac:dyDescent="0.35">
      <c r="B26" s="161" t="s">
        <v>34</v>
      </c>
      <c r="C26" s="161"/>
      <c r="D26" s="44">
        <v>0.75</v>
      </c>
      <c r="E26" s="44">
        <v>0.75</v>
      </c>
      <c r="F26" s="61">
        <f>F17/F16</f>
        <v>0.73529185422533805</v>
      </c>
      <c r="G26" s="61">
        <f>G17/G16</f>
        <v>0.71303707157794793</v>
      </c>
      <c r="H26" s="62">
        <f>H17/H16</f>
        <v>0.68897480140133538</v>
      </c>
    </row>
    <row r="27" spans="2:17" x14ac:dyDescent="0.35">
      <c r="B27" s="164" t="s">
        <v>35</v>
      </c>
      <c r="C27" s="164"/>
      <c r="D27" s="47">
        <v>0.17</v>
      </c>
      <c r="E27" s="47">
        <v>0.17</v>
      </c>
      <c r="F27" s="63">
        <f>F18/F16</f>
        <v>0.19086661282390002</v>
      </c>
      <c r="G27" s="63">
        <f>G18/G16</f>
        <v>0.21178794545666715</v>
      </c>
      <c r="H27" s="64">
        <f>H18/H16</f>
        <v>0.23425143247645405</v>
      </c>
    </row>
    <row r="28" spans="2:17" x14ac:dyDescent="0.35">
      <c r="B28" s="32" t="s">
        <v>22</v>
      </c>
    </row>
    <row r="29" spans="2:17" x14ac:dyDescent="0.35">
      <c r="B29" s="168" t="s">
        <v>36</v>
      </c>
      <c r="C29" s="168"/>
      <c r="D29" s="50">
        <f>988800</f>
        <v>988800</v>
      </c>
      <c r="E29" s="50">
        <v>988800</v>
      </c>
      <c r="F29" s="65">
        <f>$E$29+($H$29-$E$29)/($H$3-$E$3)*(F3-$E$3)</f>
        <v>659200</v>
      </c>
      <c r="G29" s="65">
        <f>$E$29+($H$29-$E$29)/($H$3-$E$3)*(G3-$E$3)</f>
        <v>329600</v>
      </c>
      <c r="H29" s="51">
        <v>0</v>
      </c>
      <c r="J29" t="s">
        <v>133</v>
      </c>
    </row>
    <row r="31" spans="2:17" x14ac:dyDescent="0.35">
      <c r="B31" s="163" t="s">
        <v>23</v>
      </c>
      <c r="C31" s="173"/>
      <c r="D31" s="54"/>
      <c r="E31" s="55">
        <f>SUM(E32:E35)</f>
        <v>1944631.060138505</v>
      </c>
      <c r="F31" s="55">
        <f>SUM(F32:F36)</f>
        <v>2337170.9988413909</v>
      </c>
      <c r="G31" s="55">
        <f t="shared" ref="G31:H31" si="1">SUM(G32:G36)</f>
        <v>1895768.5758961462</v>
      </c>
      <c r="H31" s="55">
        <f t="shared" si="1"/>
        <v>2098146.980419552</v>
      </c>
    </row>
    <row r="32" spans="2:17" x14ac:dyDescent="0.35">
      <c r="B32" s="161" t="s">
        <v>24</v>
      </c>
      <c r="C32" s="171"/>
      <c r="D32" s="54"/>
      <c r="E32" s="55">
        <f>E9-D9</f>
        <v>1202000</v>
      </c>
      <c r="F32" s="55">
        <f>F9-E9</f>
        <v>1554740.4859807678</v>
      </c>
      <c r="G32" s="55">
        <f>G9-F9</f>
        <v>666867.15834375471</v>
      </c>
      <c r="H32" s="55">
        <f>H9-G9</f>
        <v>615814.0764968805</v>
      </c>
      <c r="J32" s="37"/>
    </row>
    <row r="33" spans="2:10" x14ac:dyDescent="0.35">
      <c r="B33" s="161" t="s">
        <v>25</v>
      </c>
      <c r="C33" s="171" t="s">
        <v>26</v>
      </c>
      <c r="D33" s="54"/>
      <c r="E33" s="55">
        <f>(E17-D17)+(E18-D18)</f>
        <v>195960</v>
      </c>
      <c r="F33" s="55">
        <f>(F17-E17)+(F18-E18)</f>
        <v>30724.2625137617</v>
      </c>
      <c r="G33" s="55">
        <f>(G17-F17)+(G18-F18)</f>
        <v>-52232.659297266626</v>
      </c>
      <c r="H33" s="55">
        <f>(H17-G17)+(H18-G18)</f>
        <v>-60234.154695432866</v>
      </c>
      <c r="I33" s="8"/>
      <c r="J33" s="8"/>
    </row>
    <row r="34" spans="2:10" x14ac:dyDescent="0.35">
      <c r="B34" s="161" t="s">
        <v>27</v>
      </c>
      <c r="C34" s="171" t="s">
        <v>28</v>
      </c>
      <c r="D34" s="54"/>
      <c r="E34" s="55">
        <f>E11-D11</f>
        <v>265000</v>
      </c>
      <c r="F34" s="55">
        <f>F11-E11</f>
        <v>172893.02521738037</v>
      </c>
      <c r="G34" s="55">
        <f>G11-F11</f>
        <v>67753.341717615724</v>
      </c>
      <c r="H34" s="55">
        <f>H11-G11</f>
        <v>61243.546126449481</v>
      </c>
      <c r="J34" s="37"/>
    </row>
    <row r="35" spans="2:10" x14ac:dyDescent="0.35">
      <c r="B35" s="162" t="s">
        <v>29</v>
      </c>
      <c r="C35" s="172" t="s">
        <v>30</v>
      </c>
      <c r="D35" s="54"/>
      <c r="E35" s="55">
        <f>D9-(1-E19)^(E3-D3)*D9</f>
        <v>281671.06013850495</v>
      </c>
      <c r="F35" s="55">
        <f>E9-(1-F19)^(F3-E3)*E9</f>
        <v>728813.22512948141</v>
      </c>
      <c r="G35" s="55">
        <f>F9-(1-G19)^(G3-F3)*F9</f>
        <v>1413380.7351320423</v>
      </c>
      <c r="H35" s="55">
        <f>G9-(1-H19)^(H3-G3)*G9</f>
        <v>1731323.5124916546</v>
      </c>
      <c r="J35" s="37"/>
    </row>
    <row r="36" spans="2:10" x14ac:dyDescent="0.35">
      <c r="B36" s="56" t="s">
        <v>43</v>
      </c>
      <c r="C36" s="56"/>
      <c r="D36" s="57"/>
      <c r="E36" s="58"/>
      <c r="F36" s="55">
        <f>-F21*10</f>
        <v>-150000</v>
      </c>
      <c r="G36" s="55">
        <f t="shared" ref="G36:H36" si="2">-G21*10</f>
        <v>-200000</v>
      </c>
      <c r="H36" s="55">
        <f t="shared" si="2"/>
        <v>-250000</v>
      </c>
      <c r="J36" s="37"/>
    </row>
    <row r="37" spans="2:10" ht="15" thickBot="1" x14ac:dyDescent="0.4"/>
    <row r="38" spans="2:10" ht="15" thickBot="1" x14ac:dyDescent="0.4">
      <c r="B38" s="163" t="s">
        <v>44</v>
      </c>
      <c r="C38" s="173"/>
      <c r="E38" s="155">
        <f>E31/5</f>
        <v>388926.21202770097</v>
      </c>
      <c r="F38" s="156">
        <f>F31/10</f>
        <v>233717.09988413908</v>
      </c>
      <c r="G38" s="156">
        <f>G31/10</f>
        <v>189576.85758961464</v>
      </c>
      <c r="H38" s="157">
        <f>H31/10</f>
        <v>209814.69804195518</v>
      </c>
    </row>
  </sheetData>
  <mergeCells count="27">
    <mergeCell ref="B34:C34"/>
    <mergeCell ref="B35:C35"/>
    <mergeCell ref="B38:C38"/>
    <mergeCell ref="B26:C26"/>
    <mergeCell ref="B27:C27"/>
    <mergeCell ref="B29:C29"/>
    <mergeCell ref="B31:C31"/>
    <mergeCell ref="B32:C32"/>
    <mergeCell ref="B33:C33"/>
    <mergeCell ref="B25:C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3:C23"/>
    <mergeCell ref="B24:C24"/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A5B1-314A-429C-AFFF-9441AFF4C955}">
  <dimension ref="B3:Q38"/>
  <sheetViews>
    <sheetView topLeftCell="A13" zoomScale="130" zoomScaleNormal="130" workbookViewId="0">
      <selection activeCell="F38" sqref="F38:H38"/>
    </sheetView>
  </sheetViews>
  <sheetFormatPr baseColWidth="10" defaultRowHeight="14.5" x14ac:dyDescent="0.35"/>
  <cols>
    <col min="2" max="2" width="32.36328125" customWidth="1"/>
    <col min="3" max="3" width="16.54296875" customWidth="1"/>
    <col min="4" max="4" width="15.1796875" customWidth="1"/>
    <col min="5" max="8" width="13" bestFit="1" customWidth="1"/>
    <col min="10" max="10" width="70" customWidth="1"/>
  </cols>
  <sheetData>
    <row r="3" spans="2:10" x14ac:dyDescent="0.35">
      <c r="D3">
        <v>2015</v>
      </c>
      <c r="E3">
        <v>2020</v>
      </c>
      <c r="F3">
        <v>2030</v>
      </c>
      <c r="G3">
        <v>2040</v>
      </c>
      <c r="H3">
        <v>2050</v>
      </c>
      <c r="J3" s="154" t="s">
        <v>136</v>
      </c>
    </row>
    <row r="4" spans="2:10" x14ac:dyDescent="0.35">
      <c r="D4" s="1">
        <v>2015</v>
      </c>
      <c r="E4" s="2" t="s">
        <v>38</v>
      </c>
      <c r="F4" s="2" t="s">
        <v>39</v>
      </c>
      <c r="G4" s="2" t="s">
        <v>40</v>
      </c>
      <c r="H4" s="2" t="s">
        <v>41</v>
      </c>
    </row>
    <row r="5" spans="2:10" x14ac:dyDescent="0.35">
      <c r="B5" s="163" t="s">
        <v>2</v>
      </c>
      <c r="C5" s="163"/>
      <c r="D5" s="3"/>
      <c r="E5" s="4">
        <v>2.7309338664209815E-3</v>
      </c>
      <c r="F5" s="4">
        <v>1.9293005517355688E-3</v>
      </c>
      <c r="G5" s="4">
        <v>8.5602642227255998E-4</v>
      </c>
      <c r="H5" s="4">
        <v>-3.4661055679729991E-5</v>
      </c>
    </row>
    <row r="6" spans="2:10" x14ac:dyDescent="0.35">
      <c r="B6" s="169" t="s">
        <v>42</v>
      </c>
      <c r="C6" s="169"/>
      <c r="D6" s="5">
        <v>62843000</v>
      </c>
      <c r="E6" s="6">
        <f>D6*(1+E5)^(E3-D3)</f>
        <v>63705800.032552674</v>
      </c>
      <c r="F6" s="6">
        <f>E6*(1+F5)^(F3-E3)</f>
        <v>64945602.127849333</v>
      </c>
      <c r="G6" s="6">
        <f>F6*(1+G5)^(G3-F3)</f>
        <v>65503700.129524738</v>
      </c>
      <c r="H6" s="7">
        <f>G6*(1+H5)^(H3-G3)</f>
        <v>65480999.396516725</v>
      </c>
      <c r="J6" s="8" t="s">
        <v>135</v>
      </c>
    </row>
    <row r="7" spans="2:10" x14ac:dyDescent="0.35">
      <c r="B7" s="169" t="s">
        <v>6</v>
      </c>
      <c r="C7" s="169"/>
      <c r="D7" s="9">
        <v>2.2281246798769998</v>
      </c>
      <c r="E7" s="148">
        <v>2.195403116608305</v>
      </c>
      <c r="F7" s="158">
        <v>2.1214315243375026</v>
      </c>
      <c r="G7" s="158">
        <v>2.0653741165546875</v>
      </c>
      <c r="H7" s="158">
        <v>2.0556381317774282</v>
      </c>
      <c r="J7" t="s">
        <v>138</v>
      </c>
    </row>
    <row r="8" spans="2:10" x14ac:dyDescent="0.35">
      <c r="B8" s="170" t="s">
        <v>8</v>
      </c>
      <c r="C8" s="170"/>
      <c r="D8" s="7">
        <f>D9+D11+D16</f>
        <v>34306000</v>
      </c>
      <c r="E8" s="7">
        <f>E9+E11+E16</f>
        <v>35986000</v>
      </c>
      <c r="F8" s="7">
        <f>(F9+(1-$D$27-$D$26)*$D$16)/(1-F10-F12-F13)</f>
        <v>38107668.674914055</v>
      </c>
      <c r="G8" s="7">
        <f>(G9+(1-$D$27-$D$26)*$D$16)/(1-G10-G12-G13)</f>
        <v>39972503.576208398</v>
      </c>
      <c r="H8" s="7">
        <f>(H9+(1-$D$27-$D$26)*$D$16)/(1-H10-H12-H13)</f>
        <v>40664922.101524785</v>
      </c>
    </row>
    <row r="9" spans="2:10" x14ac:dyDescent="0.35">
      <c r="B9" s="161" t="s">
        <v>9</v>
      </c>
      <c r="C9" s="161"/>
      <c r="D9" s="12">
        <v>28280000</v>
      </c>
      <c r="E9" s="13">
        <v>29482000</v>
      </c>
      <c r="F9" s="14">
        <f>F6/F7+$E$29-F29</f>
        <v>30943645.93208874</v>
      </c>
      <c r="G9" s="14">
        <f>G6/G7+$E$29-G29</f>
        <v>32374374.313694522</v>
      </c>
      <c r="H9" s="14">
        <f>H6/H7+$E$29-H29</f>
        <v>32843141.668539647</v>
      </c>
      <c r="J9" s="15"/>
    </row>
    <row r="10" spans="2:10" x14ac:dyDescent="0.35">
      <c r="B10" s="165" t="s">
        <v>10</v>
      </c>
      <c r="C10" s="165"/>
      <c r="D10" s="16">
        <f>D11/D8</f>
        <v>9.6426281117005769E-2</v>
      </c>
      <c r="E10" s="16">
        <f>E11/E8</f>
        <v>9.9288612238092586E-2</v>
      </c>
      <c r="F10" s="159">
        <v>0.11</v>
      </c>
      <c r="G10" s="159">
        <v>0.115</v>
      </c>
      <c r="H10" s="159">
        <v>0.12</v>
      </c>
      <c r="J10" t="s">
        <v>134</v>
      </c>
    </row>
    <row r="11" spans="2:10" x14ac:dyDescent="0.35">
      <c r="B11" s="165" t="s">
        <v>12</v>
      </c>
      <c r="C11" s="165"/>
      <c r="D11" s="18">
        <v>3308000</v>
      </c>
      <c r="E11" s="19">
        <v>3573000</v>
      </c>
      <c r="F11" s="20">
        <f>F10*F8</f>
        <v>4191843.5542405462</v>
      </c>
      <c r="G11" s="20">
        <f>G10*G8</f>
        <v>4596837.911263966</v>
      </c>
      <c r="H11" s="20">
        <f>H10*H8</f>
        <v>4879790.6521829739</v>
      </c>
    </row>
    <row r="12" spans="2:10" x14ac:dyDescent="0.35">
      <c r="B12" s="165" t="s">
        <v>13</v>
      </c>
      <c r="C12" s="165"/>
      <c r="D12" s="16">
        <f>D17/D8</f>
        <v>5.9421092520258845E-2</v>
      </c>
      <c r="E12" s="16">
        <f>E17/E8</f>
        <v>6.1086255766131276E-2</v>
      </c>
      <c r="F12" s="16">
        <f>($H12-$E12)*(F$3-$E$3)/($H$3-$E$3)+$E12</f>
        <v>5.7390837177420849E-2</v>
      </c>
      <c r="G12" s="16">
        <f>($H12-$E12)*(G$3-$E$3)/($H$3-$E$3)+$E12</f>
        <v>5.3695418588710429E-2</v>
      </c>
      <c r="H12" s="17">
        <v>0.05</v>
      </c>
    </row>
    <row r="13" spans="2:10" x14ac:dyDescent="0.35">
      <c r="B13" s="165" t="s">
        <v>14</v>
      </c>
      <c r="C13" s="165"/>
      <c r="D13" s="16">
        <f>D18/D8</f>
        <v>1.3468780971258674E-2</v>
      </c>
      <c r="E13" s="16">
        <f>E18/E8</f>
        <v>1.3846217973656424E-2</v>
      </c>
      <c r="F13" s="16">
        <f>F14+F15</f>
        <v>1.4897478649104283E-2</v>
      </c>
      <c r="G13" s="16">
        <f>G14+G15</f>
        <v>1.5948739324552139E-2</v>
      </c>
      <c r="H13" s="16">
        <f>H14+H15</f>
        <v>1.7000000000000001E-2</v>
      </c>
    </row>
    <row r="14" spans="2:10" x14ac:dyDescent="0.35">
      <c r="B14" s="165" t="s">
        <v>15</v>
      </c>
      <c r="C14" s="165"/>
      <c r="D14" s="16">
        <f>D13*D24</f>
        <v>2.9321536174430132E-3</v>
      </c>
      <c r="E14" s="16">
        <f>E13*E24</f>
        <v>3.0143216528650037E-3</v>
      </c>
      <c r="F14" s="16">
        <f>($H14-$E14)*(F$3-$E$3)/($H$3-$E$3)+$E14</f>
        <v>6.0095477685766698E-3</v>
      </c>
      <c r="G14" s="16">
        <f>($H14-$E14)*(G$3-$E$3)/($H$3-$E$3)+$E14</f>
        <v>9.0047738842883342E-3</v>
      </c>
      <c r="H14" s="153">
        <v>1.2E-2</v>
      </c>
    </row>
    <row r="15" spans="2:10" x14ac:dyDescent="0.35">
      <c r="B15" s="165" t="s">
        <v>16</v>
      </c>
      <c r="C15" s="165"/>
      <c r="D15" s="16">
        <f>D13*D25</f>
        <v>1.0536627353815661E-2</v>
      </c>
      <c r="E15" s="16">
        <f>E13*E25</f>
        <v>1.083189632079142E-2</v>
      </c>
      <c r="F15" s="16">
        <f>($H15-$E15)*(F$3-$E$3)/($H$3-$E$3)+$E15</f>
        <v>8.8879308805276131E-3</v>
      </c>
      <c r="G15" s="16">
        <f>($H15-$E15)*(G$3-$E$3)/($H$3-$E$3)+$E15</f>
        <v>6.9439654402638062E-3</v>
      </c>
      <c r="H15" s="153">
        <v>5.0000000000000001E-3</v>
      </c>
    </row>
    <row r="16" spans="2:10" x14ac:dyDescent="0.35">
      <c r="B16" s="164" t="s">
        <v>17</v>
      </c>
      <c r="C16" s="164"/>
      <c r="D16" s="23">
        <v>2718000</v>
      </c>
      <c r="E16" s="24">
        <v>2931000</v>
      </c>
      <c r="F16" s="25">
        <f>F17+F18+(1-$D$27-$D$26)*$D$16</f>
        <v>2972179.1885847654</v>
      </c>
      <c r="G16" s="25">
        <f>G17+G18+(1-$D$27-$D$26)*$D$16</f>
        <v>3001291.35124991</v>
      </c>
      <c r="H16" s="25">
        <f>H17+H18+(1-$D$27-$D$26)*$D$16</f>
        <v>2941989.780802161</v>
      </c>
      <c r="I16" s="22"/>
    </row>
    <row r="17" spans="2:17" x14ac:dyDescent="0.35">
      <c r="B17" s="174" t="s">
        <v>18</v>
      </c>
      <c r="C17" s="174"/>
      <c r="D17" s="26">
        <f>$D26*D$16</f>
        <v>2038500</v>
      </c>
      <c r="E17" s="26">
        <f>E26*E$16</f>
        <v>2198250</v>
      </c>
      <c r="F17" s="26">
        <f t="shared" ref="F17:H18" si="0">F12*F$8</f>
        <v>2187031.0081330934</v>
      </c>
      <c r="G17" s="26">
        <f t="shared" si="0"/>
        <v>2146340.3115632343</v>
      </c>
      <c r="H17" s="26">
        <f t="shared" si="0"/>
        <v>2033246.1050762394</v>
      </c>
      <c r="L17" s="147"/>
      <c r="M17" s="147"/>
      <c r="N17" s="147"/>
      <c r="O17" s="147"/>
      <c r="Q17" s="147"/>
    </row>
    <row r="18" spans="2:17" x14ac:dyDescent="0.35">
      <c r="B18" s="175" t="s">
        <v>19</v>
      </c>
      <c r="C18" s="175"/>
      <c r="D18" s="27">
        <f>$D27*D$16</f>
        <v>462060.00000000006</v>
      </c>
      <c r="E18" s="27">
        <f>E27*E$16</f>
        <v>498270.00000000006</v>
      </c>
      <c r="F18" s="27">
        <f t="shared" si="0"/>
        <v>567708.18045167217</v>
      </c>
      <c r="G18" s="27">
        <f t="shared" si="0"/>
        <v>637511.03968667588</v>
      </c>
      <c r="H18" s="27">
        <f t="shared" si="0"/>
        <v>691303.67572592141</v>
      </c>
    </row>
    <row r="19" spans="2:17" x14ac:dyDescent="0.35">
      <c r="B19" s="168" t="s">
        <v>20</v>
      </c>
      <c r="C19" s="168"/>
      <c r="D19" s="28"/>
      <c r="E19" s="29">
        <v>2E-3</v>
      </c>
      <c r="F19" s="29">
        <v>2E-3</v>
      </c>
      <c r="G19" s="29">
        <v>2E-3</v>
      </c>
      <c r="H19" s="29">
        <v>2E-3</v>
      </c>
      <c r="J19" s="34" t="s">
        <v>131</v>
      </c>
    </row>
    <row r="20" spans="2:17" x14ac:dyDescent="0.35">
      <c r="B20" s="32" t="s">
        <v>22</v>
      </c>
      <c r="C20" t="s">
        <v>45</v>
      </c>
      <c r="E20" s="8">
        <f>E35/5</f>
        <v>56334.212027700989</v>
      </c>
      <c r="F20" s="8">
        <f>F35/10</f>
        <v>58436.144389782472</v>
      </c>
      <c r="G20" s="8">
        <f>G35/10</f>
        <v>61333.266455255449</v>
      </c>
      <c r="H20" s="8">
        <f>H35/10</f>
        <v>64169.106977950039</v>
      </c>
    </row>
    <row r="21" spans="2:17" x14ac:dyDescent="0.35">
      <c r="B21" s="32"/>
      <c r="C21" t="s">
        <v>125</v>
      </c>
      <c r="E21">
        <v>5000</v>
      </c>
      <c r="F21" s="152">
        <v>15000</v>
      </c>
      <c r="G21" s="152">
        <v>20000</v>
      </c>
      <c r="H21" s="152">
        <v>25000</v>
      </c>
      <c r="J21" t="s">
        <v>132</v>
      </c>
    </row>
    <row r="22" spans="2:17" x14ac:dyDescent="0.35">
      <c r="J22" s="37"/>
    </row>
    <row r="23" spans="2:17" x14ac:dyDescent="0.35">
      <c r="B23" s="163" t="s">
        <v>31</v>
      </c>
      <c r="C23" s="163"/>
      <c r="D23" s="41">
        <f>D16/D8</f>
        <v>7.9228123360345126E-2</v>
      </c>
      <c r="E23" s="41">
        <f>E16/E8</f>
        <v>8.1448341021508358E-2</v>
      </c>
      <c r="F23" s="159">
        <v>8.7599999999999997E-2</v>
      </c>
      <c r="G23" s="159">
        <v>9.3799999999999994E-2</v>
      </c>
      <c r="H23" s="159">
        <v>0.1</v>
      </c>
      <c r="J23" t="s">
        <v>137</v>
      </c>
    </row>
    <row r="24" spans="2:17" x14ac:dyDescent="0.35">
      <c r="B24" s="161" t="s">
        <v>32</v>
      </c>
      <c r="C24" s="161"/>
      <c r="D24" s="44">
        <v>0.2177</v>
      </c>
      <c r="E24" s="44">
        <v>0.2177</v>
      </c>
      <c r="F24" s="61">
        <f>($D24*F12+F14)/F23</f>
        <v>0.21122754591439716</v>
      </c>
      <c r="G24" s="61">
        <f>($D24*G12+G14)/G23</f>
        <v>0.2206211781561897</v>
      </c>
      <c r="H24" s="62">
        <f>($D24*H12+H14)/H23</f>
        <v>0.22885000000000003</v>
      </c>
      <c r="J24" s="37"/>
    </row>
    <row r="25" spans="2:17" x14ac:dyDescent="0.35">
      <c r="B25" s="164" t="s">
        <v>33</v>
      </c>
      <c r="C25" s="164"/>
      <c r="D25" s="47">
        <v>0.7823</v>
      </c>
      <c r="E25" s="47">
        <v>0.7823</v>
      </c>
      <c r="F25" s="63">
        <f>1-F24</f>
        <v>0.78877245408560281</v>
      </c>
      <c r="G25" s="63">
        <f>1-G24</f>
        <v>0.77937882184381024</v>
      </c>
      <c r="H25" s="64">
        <f>1-H24</f>
        <v>0.77115</v>
      </c>
      <c r="J25" s="37"/>
    </row>
    <row r="26" spans="2:17" x14ac:dyDescent="0.35">
      <c r="B26" s="161" t="s">
        <v>34</v>
      </c>
      <c r="C26" s="161"/>
      <c r="D26" s="44">
        <v>0.75</v>
      </c>
      <c r="E26" s="44">
        <v>0.75</v>
      </c>
      <c r="F26" s="61">
        <f>F17/F16</f>
        <v>0.73583417060882905</v>
      </c>
      <c r="G26" s="61">
        <f>G17/G16</f>
        <v>0.71513893866697587</v>
      </c>
      <c r="H26" s="62">
        <f>H17/H16</f>
        <v>0.69111256549703448</v>
      </c>
    </row>
    <row r="27" spans="2:17" x14ac:dyDescent="0.35">
      <c r="B27" s="164" t="s">
        <v>35</v>
      </c>
      <c r="C27" s="164"/>
      <c r="D27" s="47">
        <v>0.17</v>
      </c>
      <c r="E27" s="47">
        <v>0.17</v>
      </c>
      <c r="F27" s="63">
        <f>F18/F16</f>
        <v>0.1910073869812649</v>
      </c>
      <c r="G27" s="63">
        <f>G18/G16</f>
        <v>0.21241224695535796</v>
      </c>
      <c r="H27" s="64">
        <f>H18/H16</f>
        <v>0.23497827226899171</v>
      </c>
    </row>
    <row r="28" spans="2:17" x14ac:dyDescent="0.35">
      <c r="B28" s="32" t="s">
        <v>22</v>
      </c>
    </row>
    <row r="29" spans="2:17" x14ac:dyDescent="0.35">
      <c r="B29" s="168" t="s">
        <v>36</v>
      </c>
      <c r="C29" s="168"/>
      <c r="D29" s="50">
        <f>988800</f>
        <v>988800</v>
      </c>
      <c r="E29" s="50">
        <v>988800</v>
      </c>
      <c r="F29" s="65">
        <f>$E$29+($H$29-$E$29)/($H$3-$E$3)*(F3-$E$3)</f>
        <v>659200</v>
      </c>
      <c r="G29" s="65">
        <f>$E$29+($H$29-$E$29)/($H$3-$E$3)*(G3-$E$3)</f>
        <v>329600</v>
      </c>
      <c r="H29" s="51">
        <v>0</v>
      </c>
      <c r="J29" t="s">
        <v>133</v>
      </c>
    </row>
    <row r="31" spans="2:17" x14ac:dyDescent="0.35">
      <c r="B31" s="163" t="s">
        <v>23</v>
      </c>
      <c r="C31" s="173"/>
      <c r="D31" s="54"/>
      <c r="E31" s="55">
        <f>SUM(E32:E35)</f>
        <v>1944631.060138505</v>
      </c>
      <c r="F31" s="55">
        <f>SUM(F32:F36)</f>
        <v>2573070.1188118765</v>
      </c>
      <c r="G31" s="55">
        <f t="shared" ref="G31:H31" si="1">SUM(G32:G36)</f>
        <v>2278167.5658469005</v>
      </c>
      <c r="H31" s="55">
        <f t="shared" si="1"/>
        <v>1084109.5950958841</v>
      </c>
    </row>
    <row r="32" spans="2:17" x14ac:dyDescent="0.35">
      <c r="B32" s="161" t="s">
        <v>24</v>
      </c>
      <c r="C32" s="171"/>
      <c r="D32" s="54"/>
      <c r="E32" s="55">
        <f>E9-D9</f>
        <v>1202000</v>
      </c>
      <c r="F32" s="55">
        <f>F9-E9</f>
        <v>1461645.9320887402</v>
      </c>
      <c r="G32" s="55">
        <f>G9-F9</f>
        <v>1430728.3816057816</v>
      </c>
      <c r="H32" s="55">
        <f>H9-G9</f>
        <v>468767.35484512523</v>
      </c>
      <c r="J32" s="37"/>
    </row>
    <row r="33" spans="2:10" x14ac:dyDescent="0.35">
      <c r="B33" s="161" t="s">
        <v>25</v>
      </c>
      <c r="C33" s="171" t="s">
        <v>26</v>
      </c>
      <c r="D33" s="54"/>
      <c r="E33" s="55">
        <f>(E17-D17)+(E18-D18)</f>
        <v>195960</v>
      </c>
      <c r="F33" s="55">
        <f>(F17-E17)+(F18-E18)</f>
        <v>58219.188584765478</v>
      </c>
      <c r="G33" s="55">
        <f>(G17-F17)+(G18-F18)</f>
        <v>29112.162665144657</v>
      </c>
      <c r="H33" s="55">
        <f>(H17-G17)+(H18-G18)</f>
        <v>-59301.570447749342</v>
      </c>
      <c r="I33" s="8"/>
      <c r="J33" s="8"/>
    </row>
    <row r="34" spans="2:10" x14ac:dyDescent="0.35">
      <c r="B34" s="161" t="s">
        <v>27</v>
      </c>
      <c r="C34" s="171" t="s">
        <v>28</v>
      </c>
      <c r="D34" s="54"/>
      <c r="E34" s="55">
        <f>E11-D11</f>
        <v>265000</v>
      </c>
      <c r="F34" s="55">
        <f>F11-E11</f>
        <v>618843.55424054619</v>
      </c>
      <c r="G34" s="55">
        <f>G11-F11</f>
        <v>404994.35702341981</v>
      </c>
      <c r="H34" s="55">
        <f>H11-G11</f>
        <v>282952.74091900792</v>
      </c>
      <c r="J34" s="37"/>
    </row>
    <row r="35" spans="2:10" x14ac:dyDescent="0.35">
      <c r="B35" s="162" t="s">
        <v>29</v>
      </c>
      <c r="C35" s="172" t="s">
        <v>30</v>
      </c>
      <c r="D35" s="54"/>
      <c r="E35" s="55">
        <f>D9-(1-E19)^(E3-D3)*D9</f>
        <v>281671.06013850495</v>
      </c>
      <c r="F35" s="55">
        <f>E9-(1-F19)^(F3-E3)*E9</f>
        <v>584361.44389782473</v>
      </c>
      <c r="G35" s="55">
        <f>F9-(1-G19)^(G3-F3)*F9</f>
        <v>613332.66455255449</v>
      </c>
      <c r="H35" s="55">
        <f>G9-(1-H19)^(H3-G3)*G9</f>
        <v>641691.06977950037</v>
      </c>
      <c r="J35" s="37"/>
    </row>
    <row r="36" spans="2:10" x14ac:dyDescent="0.35">
      <c r="B36" s="56" t="s">
        <v>43</v>
      </c>
      <c r="C36" s="56"/>
      <c r="D36" s="57"/>
      <c r="E36" s="58"/>
      <c r="F36" s="55">
        <f>-F21*10</f>
        <v>-150000</v>
      </c>
      <c r="G36" s="55">
        <f t="shared" ref="G36:H36" si="2">-G21*10</f>
        <v>-200000</v>
      </c>
      <c r="H36" s="55">
        <f t="shared" si="2"/>
        <v>-250000</v>
      </c>
      <c r="J36" s="37"/>
    </row>
    <row r="37" spans="2:10" ht="15" thickBot="1" x14ac:dyDescent="0.4"/>
    <row r="38" spans="2:10" ht="15" thickBot="1" x14ac:dyDescent="0.4">
      <c r="B38" s="163" t="s">
        <v>44</v>
      </c>
      <c r="C38" s="173"/>
      <c r="E38" s="155">
        <f>E31/5</f>
        <v>388926.21202770097</v>
      </c>
      <c r="F38" s="156">
        <f>F31/10</f>
        <v>257307.01188118765</v>
      </c>
      <c r="G38" s="156">
        <f>G31/10</f>
        <v>227816.75658469004</v>
      </c>
      <c r="H38" s="157">
        <f>H31/10</f>
        <v>108410.9595095884</v>
      </c>
    </row>
  </sheetData>
  <mergeCells count="27">
    <mergeCell ref="B34:C34"/>
    <mergeCell ref="B35:C35"/>
    <mergeCell ref="B38:C38"/>
    <mergeCell ref="B26:C26"/>
    <mergeCell ref="B27:C27"/>
    <mergeCell ref="B29:C29"/>
    <mergeCell ref="B31:C31"/>
    <mergeCell ref="B32:C32"/>
    <mergeCell ref="B33:C33"/>
    <mergeCell ref="B25:C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3:C23"/>
    <mergeCell ref="B24:C24"/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389C-3313-4024-A61B-309C0D674FCE}">
  <dimension ref="B3:Q42"/>
  <sheetViews>
    <sheetView tabSelected="1" topLeftCell="A10" zoomScale="130" zoomScaleNormal="130" workbookViewId="0">
      <selection activeCell="F39" sqref="F39"/>
    </sheetView>
  </sheetViews>
  <sheetFormatPr baseColWidth="10" defaultRowHeight="14.5" x14ac:dyDescent="0.35"/>
  <cols>
    <col min="2" max="2" width="32.36328125" customWidth="1"/>
    <col min="3" max="3" width="16.54296875" customWidth="1"/>
    <col min="4" max="4" width="15.1796875" customWidth="1"/>
    <col min="5" max="8" width="13" bestFit="1" customWidth="1"/>
    <col min="10" max="10" width="70" customWidth="1"/>
  </cols>
  <sheetData>
    <row r="3" spans="2:10" x14ac:dyDescent="0.35">
      <c r="D3">
        <v>2015</v>
      </c>
      <c r="E3">
        <v>2020</v>
      </c>
      <c r="F3">
        <v>2030</v>
      </c>
      <c r="G3">
        <v>2040</v>
      </c>
      <c r="H3">
        <v>2050</v>
      </c>
      <c r="J3" s="154" t="s">
        <v>136</v>
      </c>
    </row>
    <row r="4" spans="2:10" x14ac:dyDescent="0.35">
      <c r="D4" s="1">
        <v>2015</v>
      </c>
      <c r="E4" s="2" t="s">
        <v>38</v>
      </c>
      <c r="F4" s="2" t="s">
        <v>39</v>
      </c>
      <c r="G4" s="2" t="s">
        <v>40</v>
      </c>
      <c r="H4" s="2" t="s">
        <v>41</v>
      </c>
    </row>
    <row r="5" spans="2:10" x14ac:dyDescent="0.35">
      <c r="B5" s="163" t="s">
        <v>2</v>
      </c>
      <c r="C5" s="163"/>
      <c r="D5" s="3"/>
      <c r="E5" s="4">
        <v>2.7309338664209815E-3</v>
      </c>
      <c r="F5" s="4">
        <v>1.9293005517355688E-3</v>
      </c>
      <c r="G5" s="4">
        <v>8.5602642227255998E-4</v>
      </c>
      <c r="H5" s="4">
        <v>-3.4661055679729991E-5</v>
      </c>
    </row>
    <row r="6" spans="2:10" x14ac:dyDescent="0.35">
      <c r="B6" s="169" t="s">
        <v>42</v>
      </c>
      <c r="C6" s="169"/>
      <c r="D6" s="5">
        <v>62843000</v>
      </c>
      <c r="E6" s="6">
        <f>D6*(1+E5)^(E3-D3)</f>
        <v>63705800.032552674</v>
      </c>
      <c r="F6" s="6">
        <f>E6*(1+F5)^(F3-E3)</f>
        <v>64945602.127849333</v>
      </c>
      <c r="G6" s="6">
        <f>F6*(1+G5)^(G3-F3)</f>
        <v>65503700.129524738</v>
      </c>
      <c r="H6" s="7">
        <f>G6*(1+H5)^(H3-G3)</f>
        <v>65480999.396516725</v>
      </c>
      <c r="J6" s="8" t="s">
        <v>135</v>
      </c>
    </row>
    <row r="7" spans="2:10" x14ac:dyDescent="0.35">
      <c r="B7" s="169" t="s">
        <v>6</v>
      </c>
      <c r="C7" s="169"/>
      <c r="D7" s="9">
        <v>2.2281246798769998</v>
      </c>
      <c r="E7" s="148">
        <v>2.195403116608305</v>
      </c>
      <c r="F7" s="160">
        <v>2.1488520772182249</v>
      </c>
      <c r="G7" s="160">
        <v>2.1115955542148717</v>
      </c>
      <c r="H7" s="160">
        <v>2.1166223841466221</v>
      </c>
      <c r="J7" t="s">
        <v>138</v>
      </c>
    </row>
    <row r="8" spans="2:10" x14ac:dyDescent="0.35">
      <c r="B8" s="170" t="s">
        <v>8</v>
      </c>
      <c r="C8" s="170"/>
      <c r="D8" s="7">
        <f>D9+D11+D16</f>
        <v>34306000</v>
      </c>
      <c r="E8" s="7">
        <f>E9+E11+E16</f>
        <v>35986000</v>
      </c>
      <c r="F8" s="7">
        <f>(F9+(1-$D$27-$D$26)*$D$16)/(1-F10-F12-F13)</f>
        <v>36731532.084298342</v>
      </c>
      <c r="G8" s="7">
        <f>(G9+(1-$D$27-$D$26)*$D$16)/(1-G10-G12-G13)</f>
        <v>37510873.01540105</v>
      </c>
      <c r="H8" s="7">
        <f>(H9+(1-$D$27-$D$26)*$D$16)/(1-H10-H12-H13)</f>
        <v>37245414.190575212</v>
      </c>
    </row>
    <row r="9" spans="2:10" x14ac:dyDescent="0.35">
      <c r="B9" s="161" t="s">
        <v>9</v>
      </c>
      <c r="C9" s="161"/>
      <c r="D9" s="12">
        <v>28280000</v>
      </c>
      <c r="E9" s="13">
        <v>29482000</v>
      </c>
      <c r="F9" s="14">
        <f>F6/F7+$E$29-F29</f>
        <v>30552993.60460959</v>
      </c>
      <c r="G9" s="14">
        <f>G6/G7+$E$29-G29</f>
        <v>31680150.010420043</v>
      </c>
      <c r="H9" s="14">
        <f>H6/H7+$E$29-H29</f>
        <v>31925352.446466401</v>
      </c>
      <c r="J9" s="15"/>
    </row>
    <row r="10" spans="2:10" x14ac:dyDescent="0.35">
      <c r="B10" s="165" t="s">
        <v>10</v>
      </c>
      <c r="C10" s="165"/>
      <c r="D10" s="16">
        <f>D11/D8</f>
        <v>9.6426281117005769E-2</v>
      </c>
      <c r="E10" s="16">
        <f>E11/E8</f>
        <v>9.9288612238092586E-2</v>
      </c>
      <c r="F10" s="159">
        <v>0.09</v>
      </c>
      <c r="G10" s="159">
        <v>0.08</v>
      </c>
      <c r="H10" s="159">
        <v>7.0000000000000007E-2</v>
      </c>
      <c r="J10" t="s">
        <v>134</v>
      </c>
    </row>
    <row r="11" spans="2:10" x14ac:dyDescent="0.35">
      <c r="B11" s="165" t="s">
        <v>12</v>
      </c>
      <c r="C11" s="165"/>
      <c r="D11" s="18">
        <v>3308000</v>
      </c>
      <c r="E11" s="19">
        <v>3573000</v>
      </c>
      <c r="F11" s="20">
        <f>F10*F8</f>
        <v>3305837.8875868507</v>
      </c>
      <c r="G11" s="20">
        <f>G10*G8</f>
        <v>3000869.8412320842</v>
      </c>
      <c r="H11" s="20">
        <f>H10*H8</f>
        <v>2607178.993340265</v>
      </c>
    </row>
    <row r="12" spans="2:10" x14ac:dyDescent="0.35">
      <c r="B12" s="165" t="s">
        <v>13</v>
      </c>
      <c r="C12" s="165"/>
      <c r="D12" s="16">
        <f>D17/D8</f>
        <v>5.9421092520258845E-2</v>
      </c>
      <c r="E12" s="16">
        <f>E17/E8</f>
        <v>6.1086255766131276E-2</v>
      </c>
      <c r="F12" s="16">
        <f>($H12-$E12)*(F$3-$E$3)/($H$3-$E$3)+$E12</f>
        <v>5.7390837177420849E-2</v>
      </c>
      <c r="G12" s="16">
        <f>($H12-$E12)*(G$3-$E$3)/($H$3-$E$3)+$E12</f>
        <v>5.3695418588710429E-2</v>
      </c>
      <c r="H12" s="17">
        <v>0.05</v>
      </c>
    </row>
    <row r="13" spans="2:10" x14ac:dyDescent="0.35">
      <c r="B13" s="165" t="s">
        <v>14</v>
      </c>
      <c r="C13" s="165"/>
      <c r="D13" s="16">
        <f>D18/D8</f>
        <v>1.3468780971258674E-2</v>
      </c>
      <c r="E13" s="16">
        <f>E18/E8</f>
        <v>1.3846217973656424E-2</v>
      </c>
      <c r="F13" s="16">
        <f>F14+F15</f>
        <v>1.4897478649104283E-2</v>
      </c>
      <c r="G13" s="16">
        <f>G14+G15</f>
        <v>1.5948739324552139E-2</v>
      </c>
      <c r="H13" s="16">
        <f>H14+H15</f>
        <v>1.7000000000000001E-2</v>
      </c>
    </row>
    <row r="14" spans="2:10" x14ac:dyDescent="0.35">
      <c r="B14" s="165" t="s">
        <v>15</v>
      </c>
      <c r="C14" s="165"/>
      <c r="D14" s="16">
        <f>D13*D24</f>
        <v>2.9321536174430132E-3</v>
      </c>
      <c r="E14" s="16">
        <f>E13*E24</f>
        <v>3.0143216528650037E-3</v>
      </c>
      <c r="F14" s="16">
        <f>($H14-$E14)*(F$3-$E$3)/($H$3-$E$3)+$E14</f>
        <v>6.0095477685766698E-3</v>
      </c>
      <c r="G14" s="16">
        <f>($H14-$E14)*(G$3-$E$3)/($H$3-$E$3)+$E14</f>
        <v>9.0047738842883342E-3</v>
      </c>
      <c r="H14" s="153">
        <v>1.2E-2</v>
      </c>
    </row>
    <row r="15" spans="2:10" x14ac:dyDescent="0.35">
      <c r="B15" s="165" t="s">
        <v>16</v>
      </c>
      <c r="C15" s="165"/>
      <c r="D15" s="16">
        <f>D13*D25</f>
        <v>1.0536627353815661E-2</v>
      </c>
      <c r="E15" s="16">
        <f>E13*E25</f>
        <v>1.083189632079142E-2</v>
      </c>
      <c r="F15" s="16">
        <f>($H15-$E15)*(F$3-$E$3)/($H$3-$E$3)+$E15</f>
        <v>8.8879308805276131E-3</v>
      </c>
      <c r="G15" s="16">
        <f>($H15-$E15)*(G$3-$E$3)/($H$3-$E$3)+$E15</f>
        <v>6.9439654402638062E-3</v>
      </c>
      <c r="H15" s="153">
        <v>5.0000000000000001E-3</v>
      </c>
    </row>
    <row r="16" spans="2:10" x14ac:dyDescent="0.35">
      <c r="B16" s="164" t="s">
        <v>17</v>
      </c>
      <c r="C16" s="164"/>
      <c r="D16" s="23">
        <v>2718000</v>
      </c>
      <c r="E16" s="24">
        <v>2931000</v>
      </c>
      <c r="F16" s="25">
        <f>F17+F18+(1-$D$27-$D$26)*$D$16</f>
        <v>2872700.5921018999</v>
      </c>
      <c r="G16" s="25">
        <f>G17+G18+(1-$D$27-$D$26)*$D$16</f>
        <v>2829853.1637489302</v>
      </c>
      <c r="H16" s="25">
        <f>H17+H18+(1-$D$27-$D$26)*$D$16</f>
        <v>2712882.7507685395</v>
      </c>
      <c r="I16" s="22"/>
    </row>
    <row r="17" spans="2:17" x14ac:dyDescent="0.35">
      <c r="B17" s="174" t="s">
        <v>18</v>
      </c>
      <c r="C17" s="174"/>
      <c r="D17" s="26">
        <f>$D26*D$16</f>
        <v>2038500</v>
      </c>
      <c r="E17" s="26">
        <f>E26*E$16</f>
        <v>2198250</v>
      </c>
      <c r="F17" s="26">
        <f t="shared" ref="F17:H18" si="0">F12*F$8</f>
        <v>2108053.3771271762</v>
      </c>
      <c r="G17" s="26">
        <f t="shared" si="0"/>
        <v>2014162.028189922</v>
      </c>
      <c r="H17" s="26">
        <f t="shared" si="0"/>
        <v>1862270.7095287608</v>
      </c>
      <c r="L17" s="147"/>
      <c r="M17" s="147"/>
      <c r="N17" s="147"/>
      <c r="O17" s="147"/>
      <c r="Q17" s="147"/>
    </row>
    <row r="18" spans="2:17" x14ac:dyDescent="0.35">
      <c r="B18" s="175" t="s">
        <v>19</v>
      </c>
      <c r="C18" s="175"/>
      <c r="D18" s="27">
        <f>$D27*D$16</f>
        <v>462060.00000000006</v>
      </c>
      <c r="E18" s="27">
        <f>E27*E$16</f>
        <v>498270.00000000006</v>
      </c>
      <c r="F18" s="27">
        <f t="shared" si="0"/>
        <v>547207.21497472352</v>
      </c>
      <c r="G18" s="27">
        <f t="shared" si="0"/>
        <v>598251.13555900834</v>
      </c>
      <c r="H18" s="27">
        <f t="shared" si="0"/>
        <v>633172.04123977863</v>
      </c>
    </row>
    <row r="19" spans="2:17" x14ac:dyDescent="0.35">
      <c r="B19" s="168" t="s">
        <v>20</v>
      </c>
      <c r="C19" s="168"/>
      <c r="D19" s="28"/>
      <c r="E19" s="29">
        <v>2E-3</v>
      </c>
      <c r="F19" s="29">
        <v>2E-3</v>
      </c>
      <c r="G19" s="29">
        <v>2E-3</v>
      </c>
      <c r="H19" s="29">
        <v>2E-3</v>
      </c>
      <c r="J19" s="34" t="s">
        <v>131</v>
      </c>
    </row>
    <row r="20" spans="2:17" x14ac:dyDescent="0.35">
      <c r="B20" s="32" t="s">
        <v>22</v>
      </c>
      <c r="C20" t="s">
        <v>45</v>
      </c>
      <c r="E20" s="8">
        <f>E35/5</f>
        <v>56334.212027700989</v>
      </c>
      <c r="F20" s="8">
        <f>F35/10</f>
        <v>58436.144389782472</v>
      </c>
      <c r="G20" s="8">
        <f>G35/10</f>
        <v>60558.956170513105</v>
      </c>
      <c r="H20" s="8">
        <f>H35/10</f>
        <v>62793.087996027243</v>
      </c>
    </row>
    <row r="21" spans="2:17" x14ac:dyDescent="0.35">
      <c r="B21" s="32"/>
      <c r="C21" t="s">
        <v>125</v>
      </c>
      <c r="E21">
        <v>5000</v>
      </c>
      <c r="F21" s="152">
        <v>15000</v>
      </c>
      <c r="G21" s="152">
        <v>20000</v>
      </c>
      <c r="H21" s="152">
        <v>25000</v>
      </c>
      <c r="J21" t="s">
        <v>132</v>
      </c>
    </row>
    <row r="22" spans="2:17" x14ac:dyDescent="0.35">
      <c r="J22" s="37"/>
    </row>
    <row r="23" spans="2:17" x14ac:dyDescent="0.35">
      <c r="B23" s="163" t="s">
        <v>31</v>
      </c>
      <c r="C23" s="163"/>
      <c r="D23" s="41">
        <f>D16/D8</f>
        <v>7.9228123360345126E-2</v>
      </c>
      <c r="E23" s="41">
        <f>E16/E8</f>
        <v>8.1448341021508358E-2</v>
      </c>
      <c r="F23" s="159">
        <v>7.0000000000000007E-2</v>
      </c>
      <c r="G23" s="159">
        <v>0.06</v>
      </c>
      <c r="H23" s="159">
        <v>0.05</v>
      </c>
      <c r="J23" t="s">
        <v>137</v>
      </c>
    </row>
    <row r="24" spans="2:17" x14ac:dyDescent="0.35">
      <c r="B24" s="161" t="s">
        <v>32</v>
      </c>
      <c r="C24" s="161"/>
      <c r="D24" s="44">
        <v>0.2177</v>
      </c>
      <c r="E24" s="44">
        <v>0.2177</v>
      </c>
      <c r="F24" s="61">
        <f>($D24*F12+F14)/F23</f>
        <v>0.26433618603001702</v>
      </c>
      <c r="G24" s="61">
        <f>($D24*G12+G14)/G23</f>
        <v>0.34490444185084324</v>
      </c>
      <c r="H24" s="62">
        <f>($D24*H12+H14)/H23</f>
        <v>0.45770000000000005</v>
      </c>
      <c r="J24" s="37"/>
    </row>
    <row r="25" spans="2:17" x14ac:dyDescent="0.35">
      <c r="B25" s="164" t="s">
        <v>33</v>
      </c>
      <c r="C25" s="164"/>
      <c r="D25" s="47">
        <v>0.7823</v>
      </c>
      <c r="E25" s="47">
        <v>0.7823</v>
      </c>
      <c r="F25" s="63">
        <f>1-F24</f>
        <v>0.73566381396998293</v>
      </c>
      <c r="G25" s="63">
        <f>1-G24</f>
        <v>0.65509555814915676</v>
      </c>
      <c r="H25" s="64">
        <f>1-H24</f>
        <v>0.5423</v>
      </c>
      <c r="J25" s="37"/>
    </row>
    <row r="26" spans="2:17" x14ac:dyDescent="0.35">
      <c r="B26" s="161" t="s">
        <v>34</v>
      </c>
      <c r="C26" s="161"/>
      <c r="D26" s="44">
        <v>0.75</v>
      </c>
      <c r="E26" s="44">
        <v>0.75</v>
      </c>
      <c r="F26" s="61">
        <f>F17/F16</f>
        <v>0.73382286442345668</v>
      </c>
      <c r="G26" s="61">
        <f>G17/G16</f>
        <v>0.71175496099649294</v>
      </c>
      <c r="H26" s="62">
        <f>H17/H16</f>
        <v>0.68645455060716998</v>
      </c>
    </row>
    <row r="27" spans="2:17" x14ac:dyDescent="0.35">
      <c r="B27" s="164" t="s">
        <v>35</v>
      </c>
      <c r="C27" s="164"/>
      <c r="D27" s="47">
        <v>0.17</v>
      </c>
      <c r="E27" s="47">
        <v>0.17</v>
      </c>
      <c r="F27" s="63">
        <f>F18/F16</f>
        <v>0.19048529334355116</v>
      </c>
      <c r="G27" s="63">
        <f>G18/G16</f>
        <v>0.21140712996092623</v>
      </c>
      <c r="H27" s="64">
        <f>H18/H16</f>
        <v>0.23339454720643776</v>
      </c>
    </row>
    <row r="28" spans="2:17" x14ac:dyDescent="0.35">
      <c r="B28" s="32" t="s">
        <v>22</v>
      </c>
    </row>
    <row r="29" spans="2:17" x14ac:dyDescent="0.35">
      <c r="B29" s="168" t="s">
        <v>36</v>
      </c>
      <c r="C29" s="168"/>
      <c r="D29" s="50">
        <f>988800</f>
        <v>988800</v>
      </c>
      <c r="E29" s="50">
        <v>988800</v>
      </c>
      <c r="F29" s="65">
        <f>$E$29+($H$29-$E$29)/($H$3-$E$3)*(F3-$E$3)</f>
        <v>659200</v>
      </c>
      <c r="G29" s="65">
        <f>$E$29+($H$29-$E$29)/($H$3-$E$3)*(G3-$E$3)</f>
        <v>329600</v>
      </c>
      <c r="H29" s="51">
        <v>0</v>
      </c>
      <c r="J29" t="s">
        <v>133</v>
      </c>
    </row>
    <row r="31" spans="2:17" x14ac:dyDescent="0.35">
      <c r="B31" s="163" t="s">
        <v>23</v>
      </c>
      <c r="C31" s="173"/>
      <c r="D31" s="54"/>
      <c r="E31" s="55">
        <f>SUM(E32:E35)</f>
        <v>1944631.060138505</v>
      </c>
      <c r="F31" s="55">
        <f>SUM(F32:F36)</f>
        <v>1196933.5281961651</v>
      </c>
      <c r="G31" s="55">
        <f t="shared" ref="G31:H31" si="1">SUM(G32:G36)</f>
        <v>1184930.4928078484</v>
      </c>
      <c r="H31" s="55">
        <f t="shared" si="1"/>
        <v>112472.05513442052</v>
      </c>
    </row>
    <row r="32" spans="2:17" x14ac:dyDescent="0.35">
      <c r="B32" s="161" t="s">
        <v>24</v>
      </c>
      <c r="C32" s="171"/>
      <c r="D32" s="54"/>
      <c r="E32" s="55">
        <f>E9-D9</f>
        <v>1202000</v>
      </c>
      <c r="F32" s="55">
        <f>F9-E9</f>
        <v>1070993.60460959</v>
      </c>
      <c r="G32" s="55">
        <f>G9-F9</f>
        <v>1127156.405810453</v>
      </c>
      <c r="H32" s="55">
        <f>H9-G9</f>
        <v>245202.4360463582</v>
      </c>
      <c r="J32" s="37"/>
    </row>
    <row r="33" spans="2:10" x14ac:dyDescent="0.35">
      <c r="B33" s="161" t="s">
        <v>25</v>
      </c>
      <c r="C33" s="171" t="s">
        <v>26</v>
      </c>
      <c r="D33" s="54"/>
      <c r="E33" s="55">
        <f>(E17-D17)+(E18-D18)</f>
        <v>195960</v>
      </c>
      <c r="F33" s="55">
        <f>(F17-E17)+(F18-E18)</f>
        <v>-41259.407898100384</v>
      </c>
      <c r="G33" s="55">
        <f>(G17-F17)+(G18-F18)</f>
        <v>-42847.428352969349</v>
      </c>
      <c r="H33" s="55">
        <f>(H17-G17)+(H18-G18)</f>
        <v>-116970.41298039095</v>
      </c>
      <c r="I33" s="8"/>
      <c r="J33" s="8"/>
    </row>
    <row r="34" spans="2:10" x14ac:dyDescent="0.35">
      <c r="B34" s="161" t="s">
        <v>27</v>
      </c>
      <c r="C34" s="171" t="s">
        <v>28</v>
      </c>
      <c r="D34" s="54"/>
      <c r="E34" s="55">
        <f>E11-D11</f>
        <v>265000</v>
      </c>
      <c r="F34" s="55">
        <f>F11-E11</f>
        <v>-267162.11241314933</v>
      </c>
      <c r="G34" s="55">
        <f>G11-F11</f>
        <v>-304968.04635476647</v>
      </c>
      <c r="H34" s="55">
        <f>H11-G11</f>
        <v>-393690.8478918192</v>
      </c>
      <c r="J34" s="37"/>
    </row>
    <row r="35" spans="2:10" x14ac:dyDescent="0.35">
      <c r="B35" s="162" t="s">
        <v>29</v>
      </c>
      <c r="C35" s="172" t="s">
        <v>30</v>
      </c>
      <c r="D35" s="54"/>
      <c r="E35" s="55">
        <f>D9-(1-E19)^(E3-D3)*D9</f>
        <v>281671.06013850495</v>
      </c>
      <c r="F35" s="55">
        <f>E9-(1-F19)^(F3-E3)*E9</f>
        <v>584361.44389782473</v>
      </c>
      <c r="G35" s="55">
        <f>F9-(1-G19)^(G3-F3)*F9</f>
        <v>605589.56170513108</v>
      </c>
      <c r="H35" s="55">
        <f>G9-(1-H19)^(H3-G3)*G9</f>
        <v>627930.87996027246</v>
      </c>
      <c r="J35" s="37"/>
    </row>
    <row r="36" spans="2:10" x14ac:dyDescent="0.35">
      <c r="B36" s="56" t="s">
        <v>43</v>
      </c>
      <c r="C36" s="56"/>
      <c r="D36" s="57"/>
      <c r="E36" s="58"/>
      <c r="F36" s="55">
        <f>-F21*10</f>
        <v>-150000</v>
      </c>
      <c r="G36" s="55">
        <f t="shared" ref="G36:H36" si="2">-G21*10</f>
        <v>-200000</v>
      </c>
      <c r="H36" s="55">
        <f t="shared" si="2"/>
        <v>-250000</v>
      </c>
      <c r="J36" s="37"/>
    </row>
    <row r="37" spans="2:10" ht="15" thickBot="1" x14ac:dyDescent="0.4"/>
    <row r="38" spans="2:10" ht="15" thickBot="1" x14ac:dyDescent="0.4">
      <c r="B38" s="163" t="s">
        <v>44</v>
      </c>
      <c r="C38" s="173"/>
      <c r="E38" s="155">
        <f>E31/5</f>
        <v>388926.21202770097</v>
      </c>
      <c r="F38" s="156">
        <f>F31/10</f>
        <v>119693.35281961651</v>
      </c>
      <c r="G38" s="156">
        <f>G31/10</f>
        <v>118493.04928078483</v>
      </c>
      <c r="H38" s="157">
        <f>H31/10</f>
        <v>11247.205513442052</v>
      </c>
    </row>
    <row r="40" spans="2:10" x14ac:dyDescent="0.35">
      <c r="F40" s="216">
        <v>0.51</v>
      </c>
      <c r="G40" s="216">
        <v>0.51</v>
      </c>
      <c r="H40" s="216">
        <v>0.51</v>
      </c>
    </row>
    <row r="42" spans="2:10" x14ac:dyDescent="0.35">
      <c r="F42" s="217">
        <f>F38*F40</f>
        <v>61043.609938004425</v>
      </c>
    </row>
  </sheetData>
  <mergeCells count="27">
    <mergeCell ref="B34:C34"/>
    <mergeCell ref="B35:C35"/>
    <mergeCell ref="B38:C38"/>
    <mergeCell ref="B26:C26"/>
    <mergeCell ref="B27:C27"/>
    <mergeCell ref="B29:C29"/>
    <mergeCell ref="B31:C31"/>
    <mergeCell ref="B32:C32"/>
    <mergeCell ref="B33:C33"/>
    <mergeCell ref="B25:C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3:C23"/>
    <mergeCell ref="B24:C24"/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5"/>
  <sheetViews>
    <sheetView zoomScaleNormal="100" workbookViewId="0">
      <selection activeCell="F5" sqref="B4:I11"/>
    </sheetView>
  </sheetViews>
  <sheetFormatPr baseColWidth="10" defaultColWidth="9.1796875" defaultRowHeight="13" x14ac:dyDescent="0.35"/>
  <cols>
    <col min="1" max="1" width="2.81640625" style="66" customWidth="1"/>
    <col min="2" max="2" width="10.7265625" style="66" customWidth="1"/>
    <col min="3" max="3" width="31.54296875" style="66" customWidth="1"/>
    <col min="4" max="4" width="18.54296875" style="66" customWidth="1"/>
    <col min="5" max="8" width="11.81640625" style="66" customWidth="1"/>
    <col min="9" max="9" width="70.81640625" style="66" customWidth="1"/>
    <col min="10" max="10" width="3.453125" style="66" customWidth="1"/>
    <col min="11" max="11" width="21.453125" style="66" customWidth="1"/>
    <col min="12" max="12" width="9.7265625" style="66" bestFit="1" customWidth="1"/>
    <col min="13" max="14" width="16" style="66" customWidth="1"/>
    <col min="15" max="15" width="9.1796875" style="66"/>
    <col min="16" max="16" width="10.54296875" style="66" customWidth="1"/>
    <col min="17" max="17" width="19.54296875" style="66" customWidth="1"/>
    <col min="18" max="18" width="19" style="66" customWidth="1"/>
    <col min="19" max="16384" width="9.1796875" style="66"/>
  </cols>
  <sheetData>
    <row r="2" spans="2:18" ht="30" customHeight="1" x14ac:dyDescent="0.35">
      <c r="C2" s="206" t="s">
        <v>46</v>
      </c>
      <c r="D2" s="206"/>
      <c r="E2" s="206"/>
      <c r="F2" s="206"/>
      <c r="G2" s="206"/>
      <c r="H2" s="206"/>
      <c r="I2" s="206"/>
      <c r="J2" s="67"/>
      <c r="K2" s="68"/>
    </row>
    <row r="3" spans="2:18" ht="15.75" customHeight="1" x14ac:dyDescent="0.35">
      <c r="C3" s="67"/>
      <c r="D3" s="67"/>
      <c r="E3" s="67"/>
      <c r="F3" s="67"/>
      <c r="G3" s="67"/>
      <c r="H3" s="67"/>
      <c r="I3" s="67"/>
      <c r="J3" s="67"/>
      <c r="K3" s="67"/>
    </row>
    <row r="4" spans="2:18" ht="29.25" customHeight="1" x14ac:dyDescent="0.35">
      <c r="E4" s="69" t="s">
        <v>47</v>
      </c>
      <c r="F4" s="69" t="s">
        <v>48</v>
      </c>
      <c r="G4" s="69" t="s">
        <v>49</v>
      </c>
      <c r="H4" s="69" t="s">
        <v>50</v>
      </c>
      <c r="I4" s="70" t="s">
        <v>51</v>
      </c>
      <c r="J4" s="71"/>
      <c r="K4" s="72" t="s">
        <v>52</v>
      </c>
    </row>
    <row r="5" spans="2:18" ht="28.5" customHeight="1" x14ac:dyDescent="0.35">
      <c r="B5" s="195" t="s">
        <v>53</v>
      </c>
      <c r="C5" s="208" t="s">
        <v>54</v>
      </c>
      <c r="D5" s="208"/>
      <c r="E5" s="73">
        <v>239165</v>
      </c>
      <c r="F5" s="74">
        <v>174000</v>
      </c>
      <c r="G5" s="74">
        <v>136000</v>
      </c>
      <c r="H5" s="74">
        <v>57000</v>
      </c>
      <c r="I5" s="75" t="s">
        <v>55</v>
      </c>
      <c r="J5" s="76"/>
      <c r="K5" s="77" t="s">
        <v>56</v>
      </c>
      <c r="L5" s="78"/>
      <c r="M5" s="78"/>
    </row>
    <row r="6" spans="2:18" ht="12.75" customHeight="1" x14ac:dyDescent="0.35">
      <c r="B6" s="207"/>
      <c r="C6" s="209" t="s">
        <v>57</v>
      </c>
      <c r="D6" s="79" t="s">
        <v>58</v>
      </c>
      <c r="E6" s="80">
        <v>9.8000000000000004E-2</v>
      </c>
      <c r="F6" s="80">
        <f>E6+0.002</f>
        <v>0.1</v>
      </c>
      <c r="G6" s="80">
        <f>F6+0.001</f>
        <v>0.10100000000000001</v>
      </c>
      <c r="H6" s="80">
        <f>G6+0.001</f>
        <v>0.10200000000000001</v>
      </c>
      <c r="I6" s="211" t="s">
        <v>59</v>
      </c>
      <c r="J6" s="76"/>
      <c r="K6" s="81"/>
    </row>
    <row r="7" spans="2:18" ht="12.75" customHeight="1" x14ac:dyDescent="0.35">
      <c r="B7" s="207"/>
      <c r="C7" s="210"/>
      <c r="D7" s="82" t="s">
        <v>60</v>
      </c>
      <c r="E7" s="83">
        <v>44908</v>
      </c>
      <c r="F7" s="84">
        <f>(F6*F22-E6*E22)/10</f>
        <v>40931.271800000031</v>
      </c>
      <c r="G7" s="84">
        <f>(G6*G22-F6*F22)/10</f>
        <v>37253.827735300038</v>
      </c>
      <c r="H7" s="85">
        <f t="shared" ref="H7" si="0">(H6*H22-G6*G22)/10</f>
        <v>30799.915790024912</v>
      </c>
      <c r="I7" s="212"/>
      <c r="J7" s="76"/>
      <c r="K7" s="81"/>
    </row>
    <row r="8" spans="2:18" ht="12.75" customHeight="1" x14ac:dyDescent="0.35">
      <c r="B8" s="207"/>
      <c r="C8" s="213" t="s">
        <v>61</v>
      </c>
      <c r="D8" s="86" t="s">
        <v>58</v>
      </c>
      <c r="E8" s="87">
        <v>8.3000000000000004E-2</v>
      </c>
      <c r="F8" s="87">
        <f>E8+0.005</f>
        <v>8.8000000000000009E-2</v>
      </c>
      <c r="G8" s="87">
        <f>F8+0.0025</f>
        <v>9.0500000000000011E-2</v>
      </c>
      <c r="H8" s="87">
        <f>G8+0.0025</f>
        <v>9.3000000000000013E-2</v>
      </c>
      <c r="I8" s="211" t="s">
        <v>62</v>
      </c>
      <c r="J8" s="76"/>
      <c r="K8" s="81"/>
    </row>
    <row r="9" spans="2:18" ht="12.75" customHeight="1" x14ac:dyDescent="0.35">
      <c r="B9" s="207"/>
      <c r="C9" s="213"/>
      <c r="D9" s="88" t="s">
        <v>60</v>
      </c>
      <c r="E9" s="89">
        <v>59860</v>
      </c>
      <c r="F9" s="84">
        <f>(F8*F22-E8*E22)/10</f>
        <v>46611.033499999998</v>
      </c>
      <c r="G9" s="84">
        <f t="shared" ref="G9:H9" si="1">(G8*G22-F8*F22)/10</f>
        <v>39175.883879650057</v>
      </c>
      <c r="H9" s="84">
        <f t="shared" si="1"/>
        <v>34349.448193440352</v>
      </c>
      <c r="I9" s="212"/>
      <c r="J9" s="76"/>
      <c r="K9" s="81"/>
    </row>
    <row r="10" spans="2:18" ht="12.75" customHeight="1" x14ac:dyDescent="0.35">
      <c r="B10" s="207"/>
      <c r="C10" s="209" t="s">
        <v>63</v>
      </c>
      <c r="D10" s="90" t="s">
        <v>64</v>
      </c>
      <c r="E10" s="91">
        <v>7.5818620080312976E-4</v>
      </c>
      <c r="F10" s="92">
        <f>E10</f>
        <v>7.5818620080312976E-4</v>
      </c>
      <c r="G10" s="92">
        <f>E10</f>
        <v>7.5818620080312976E-4</v>
      </c>
      <c r="H10" s="92">
        <f>E10</f>
        <v>7.5818620080312976E-4</v>
      </c>
      <c r="I10" s="205" t="s">
        <v>65</v>
      </c>
      <c r="J10" s="93"/>
      <c r="K10" s="194"/>
      <c r="L10" s="194"/>
    </row>
    <row r="11" spans="2:18" ht="12.75" customHeight="1" x14ac:dyDescent="0.35">
      <c r="B11" s="207"/>
      <c r="C11" s="210"/>
      <c r="D11" s="94" t="s">
        <v>66</v>
      </c>
      <c r="E11" s="95">
        <v>24785</v>
      </c>
      <c r="F11" s="84">
        <f>F10*F22</f>
        <v>27392.652546008227</v>
      </c>
      <c r="G11" s="84">
        <f>G10*G22</f>
        <v>29918.006294661747</v>
      </c>
      <c r="H11" s="84">
        <f>H10*H22</f>
        <v>31914.111246468525</v>
      </c>
      <c r="I11" s="205"/>
      <c r="J11" s="93"/>
      <c r="K11" s="194"/>
      <c r="L11" s="194"/>
    </row>
    <row r="12" spans="2:18" ht="18" customHeight="1" x14ac:dyDescent="0.35">
      <c r="I12" s="96"/>
      <c r="J12" s="96"/>
      <c r="R12" s="97"/>
    </row>
    <row r="13" spans="2:18" ht="25.5" customHeight="1" x14ac:dyDescent="0.35">
      <c r="B13" s="195" t="s">
        <v>67</v>
      </c>
      <c r="C13" s="196" t="s">
        <v>68</v>
      </c>
      <c r="D13" s="196"/>
      <c r="E13" s="98"/>
      <c r="F13" s="99">
        <v>988800</v>
      </c>
      <c r="G13" s="99"/>
      <c r="H13" s="99"/>
      <c r="I13" s="75" t="s">
        <v>69</v>
      </c>
      <c r="J13" s="76"/>
      <c r="R13" s="97"/>
    </row>
    <row r="14" spans="2:18" ht="25.5" customHeight="1" x14ac:dyDescent="0.35">
      <c r="B14" s="195"/>
      <c r="C14" s="196" t="s">
        <v>70</v>
      </c>
      <c r="D14" s="196"/>
      <c r="E14" s="98"/>
      <c r="F14" s="197">
        <v>15</v>
      </c>
      <c r="G14" s="198"/>
      <c r="H14" s="199"/>
      <c r="I14" s="75" t="s">
        <v>71</v>
      </c>
      <c r="J14" s="76"/>
      <c r="K14" s="100" t="s">
        <v>72</v>
      </c>
      <c r="R14" s="97"/>
    </row>
    <row r="15" spans="2:18" ht="25.5" customHeight="1" x14ac:dyDescent="0.35">
      <c r="B15" s="195"/>
      <c r="C15" s="200" t="s">
        <v>73</v>
      </c>
      <c r="D15" s="200"/>
      <c r="E15" s="98"/>
      <c r="F15" s="101">
        <f>$F13/$F14*MAX((MIN(2022+$F14,2030)-2022),0)/10</f>
        <v>52736</v>
      </c>
      <c r="G15" s="101">
        <f>($F13)/$F14*MAX((MIN(2022+$F14,2040)-2030),0)/10</f>
        <v>46144</v>
      </c>
      <c r="H15" s="101">
        <f>$F13/$F14*MAX((MIN(2022+$F14,2050)-2040),0)/10</f>
        <v>0</v>
      </c>
      <c r="I15" s="75"/>
      <c r="J15" s="76"/>
      <c r="K15" s="97"/>
      <c r="R15" s="97"/>
    </row>
    <row r="16" spans="2:18" ht="25.5" customHeight="1" x14ac:dyDescent="0.35">
      <c r="B16" s="195"/>
      <c r="C16" s="196" t="s">
        <v>74</v>
      </c>
      <c r="D16" s="196"/>
      <c r="E16" s="98"/>
      <c r="F16" s="99">
        <v>235000</v>
      </c>
      <c r="G16" s="99"/>
      <c r="H16" s="99"/>
      <c r="I16" s="75" t="s">
        <v>75</v>
      </c>
      <c r="J16" s="76"/>
      <c r="K16" s="100"/>
      <c r="R16" s="97"/>
    </row>
    <row r="17" spans="2:18" ht="25.5" customHeight="1" x14ac:dyDescent="0.35">
      <c r="B17" s="195"/>
      <c r="C17" s="196" t="s">
        <v>76</v>
      </c>
      <c r="D17" s="196"/>
      <c r="E17" s="98"/>
      <c r="F17" s="197">
        <v>10</v>
      </c>
      <c r="G17" s="198"/>
      <c r="H17" s="199"/>
      <c r="I17" s="75" t="s">
        <v>77</v>
      </c>
      <c r="J17" s="76"/>
      <c r="K17" s="100" t="s">
        <v>72</v>
      </c>
      <c r="R17" s="97"/>
    </row>
    <row r="18" spans="2:18" ht="25.5" customHeight="1" x14ac:dyDescent="0.35">
      <c r="B18" s="195"/>
      <c r="C18" s="200" t="s">
        <v>78</v>
      </c>
      <c r="D18" s="200"/>
      <c r="E18" s="102">
        <v>0</v>
      </c>
      <c r="F18" s="102">
        <f>$F16/$F17*MAX((MIN(2022+$F17,2030)-2022),0)/10</f>
        <v>18800</v>
      </c>
      <c r="G18" s="102">
        <f>$F16/$F17*MAX((MIN(2022+$F17,2040)-2030),0)/10</f>
        <v>4700</v>
      </c>
      <c r="H18" s="102">
        <f>$F16/$F17*MAX((MIN(2022+$F17,2050)-2040),0)/10</f>
        <v>0</v>
      </c>
      <c r="I18" s="75"/>
      <c r="J18" s="76"/>
      <c r="K18" s="97"/>
      <c r="L18" s="97"/>
    </row>
    <row r="19" spans="2:18" ht="18" customHeight="1" x14ac:dyDescent="0.35">
      <c r="R19" s="97"/>
    </row>
    <row r="20" spans="2:18" ht="31.5" customHeight="1" x14ac:dyDescent="0.35">
      <c r="B20" s="201" t="s">
        <v>79</v>
      </c>
      <c r="C20" s="201"/>
      <c r="D20" s="201"/>
      <c r="E20" s="103">
        <v>368718</v>
      </c>
      <c r="F20" s="103">
        <f>F5+F7+F9+F11+F15+F18</f>
        <v>360470.95784600824</v>
      </c>
      <c r="G20" s="103">
        <f t="shared" ref="G20" si="2">G5+G7+G9+G11+G15+G18</f>
        <v>293191.71790961188</v>
      </c>
      <c r="H20" s="103">
        <f>H5+H7+H9+H11+H15+H18</f>
        <v>154063.4752299338</v>
      </c>
      <c r="I20" s="104"/>
      <c r="K20" s="191"/>
      <c r="L20" s="191"/>
      <c r="M20" s="191"/>
      <c r="N20" s="105"/>
    </row>
    <row r="21" spans="2:18" ht="18.75" customHeight="1" x14ac:dyDescent="0.35">
      <c r="B21" s="202" t="s">
        <v>80</v>
      </c>
      <c r="C21" s="203"/>
      <c r="D21" s="204"/>
      <c r="E21" s="106"/>
      <c r="F21" s="107">
        <f>F20/$E20-1</f>
        <v>-2.2366801062035924E-2</v>
      </c>
      <c r="G21" s="107">
        <f t="shared" ref="G21:H21" si="3">G20/$E20-1</f>
        <v>-0.20483481167284512</v>
      </c>
      <c r="H21" s="107">
        <f t="shared" si="3"/>
        <v>-0.58216448551485467</v>
      </c>
      <c r="I21" s="104"/>
      <c r="K21" s="108"/>
      <c r="L21" s="108"/>
      <c r="M21" s="108"/>
      <c r="N21" s="105"/>
    </row>
    <row r="22" spans="2:18" ht="20.25" customHeight="1" x14ac:dyDescent="0.35">
      <c r="B22" s="205" t="s">
        <v>81</v>
      </c>
      <c r="C22" s="205"/>
      <c r="D22" s="205"/>
      <c r="E22" s="109">
        <v>32689859</v>
      </c>
      <c r="F22" s="109">
        <f>E22+10*(E20-E11)</f>
        <v>36129189</v>
      </c>
      <c r="G22" s="99">
        <f>F22+10*(F20-F11)</f>
        <v>39459972.053000003</v>
      </c>
      <c r="H22" s="99">
        <f>G22+10*(G20-G11)</f>
        <v>42092709.169149503</v>
      </c>
      <c r="I22" s="75"/>
    </row>
    <row r="23" spans="2:18" ht="20.25" customHeight="1" x14ac:dyDescent="0.35"/>
    <row r="24" spans="2:18" ht="20.25" customHeight="1" x14ac:dyDescent="0.35">
      <c r="B24" s="186" t="s">
        <v>82</v>
      </c>
      <c r="C24" s="186"/>
      <c r="D24" s="186"/>
      <c r="E24" s="110">
        <v>0.46</v>
      </c>
      <c r="F24" s="110">
        <v>0.43</v>
      </c>
      <c r="G24" s="110">
        <v>0.4</v>
      </c>
      <c r="H24" s="110">
        <v>0.4</v>
      </c>
      <c r="I24" s="111" t="s">
        <v>83</v>
      </c>
    </row>
    <row r="25" spans="2:18" ht="20.25" customHeight="1" x14ac:dyDescent="0.35">
      <c r="B25" s="186" t="s">
        <v>84</v>
      </c>
      <c r="C25" s="186"/>
      <c r="D25" s="186"/>
      <c r="E25" s="112">
        <v>120</v>
      </c>
      <c r="F25" s="112">
        <f>E25</f>
        <v>120</v>
      </c>
      <c r="G25" s="112">
        <f t="shared" ref="G25:H26" si="4">F25</f>
        <v>120</v>
      </c>
      <c r="H25" s="112">
        <f t="shared" si="4"/>
        <v>120</v>
      </c>
      <c r="I25" s="111" t="s">
        <v>85</v>
      </c>
    </row>
    <row r="26" spans="2:18" ht="20.25" customHeight="1" x14ac:dyDescent="0.35">
      <c r="B26" s="186" t="s">
        <v>86</v>
      </c>
      <c r="C26" s="186"/>
      <c r="D26" s="186"/>
      <c r="E26" s="98">
        <v>70</v>
      </c>
      <c r="F26" s="98">
        <f>E26</f>
        <v>70</v>
      </c>
      <c r="G26" s="98">
        <f t="shared" si="4"/>
        <v>70</v>
      </c>
      <c r="H26" s="98">
        <f t="shared" si="4"/>
        <v>70</v>
      </c>
      <c r="I26" s="111" t="s">
        <v>85</v>
      </c>
    </row>
    <row r="27" spans="2:18" ht="20.25" customHeight="1" x14ac:dyDescent="0.35"/>
    <row r="28" spans="2:18" ht="20.25" customHeight="1" x14ac:dyDescent="0.35">
      <c r="B28" s="187" t="s">
        <v>87</v>
      </c>
      <c r="C28" s="187"/>
      <c r="D28" s="187"/>
      <c r="E28" s="187"/>
      <c r="F28" s="187"/>
      <c r="G28" s="187"/>
      <c r="H28" s="187"/>
      <c r="I28" s="187"/>
      <c r="L28" s="113"/>
      <c r="M28" s="113"/>
      <c r="N28" s="113"/>
      <c r="O28" s="113"/>
    </row>
    <row r="29" spans="2:18" ht="20.25" customHeight="1" x14ac:dyDescent="0.35">
      <c r="N29" s="113"/>
      <c r="O29" s="113"/>
    </row>
    <row r="30" spans="2:18" ht="21.75" customHeight="1" x14ac:dyDescent="0.35">
      <c r="B30" s="188" t="s">
        <v>88</v>
      </c>
      <c r="C30" s="189"/>
      <c r="D30" s="190"/>
      <c r="E30" s="114">
        <v>0.45</v>
      </c>
      <c r="F30" s="114">
        <v>0.56999999999999995</v>
      </c>
      <c r="G30" s="114">
        <v>0.6</v>
      </c>
      <c r="H30" s="114">
        <v>0.6</v>
      </c>
      <c r="I30" s="111" t="s">
        <v>89</v>
      </c>
      <c r="K30" s="191" t="s">
        <v>90</v>
      </c>
      <c r="L30" s="191"/>
      <c r="M30" s="191"/>
      <c r="N30" s="115">
        <f>(F20*F30-E30*E20)/(E20*E30)</f>
        <v>0.23833538532142096</v>
      </c>
      <c r="O30" s="113"/>
    </row>
    <row r="31" spans="2:18" ht="21.75" customHeight="1" x14ac:dyDescent="0.35">
      <c r="B31" s="188" t="s">
        <v>91</v>
      </c>
      <c r="C31" s="189"/>
      <c r="D31" s="190"/>
      <c r="E31" s="116">
        <v>7.7859323307492065</v>
      </c>
      <c r="F31" s="116">
        <v>5.5</v>
      </c>
      <c r="G31" s="116">
        <f>F31*0.9</f>
        <v>4.95</v>
      </c>
      <c r="H31" s="116">
        <f>G31*0.9</f>
        <v>4.4550000000000001</v>
      </c>
      <c r="I31" s="117" t="s">
        <v>92</v>
      </c>
      <c r="N31" s="113"/>
      <c r="O31" s="113"/>
    </row>
    <row r="32" spans="2:18" ht="21.75" customHeight="1" x14ac:dyDescent="0.35">
      <c r="B32" s="188" t="s">
        <v>93</v>
      </c>
      <c r="C32" s="189"/>
      <c r="D32" s="190"/>
      <c r="E32" s="116">
        <v>3.8929661653746033</v>
      </c>
      <c r="F32" s="116">
        <f>E32</f>
        <v>3.8929661653746033</v>
      </c>
      <c r="G32" s="116">
        <f>F32</f>
        <v>3.8929661653746033</v>
      </c>
      <c r="H32" s="116">
        <f>F32</f>
        <v>3.8929661653746033</v>
      </c>
      <c r="I32" s="117" t="s">
        <v>94</v>
      </c>
      <c r="K32" s="81"/>
      <c r="L32" s="113"/>
      <c r="M32" s="113"/>
      <c r="N32" s="113"/>
      <c r="O32" s="113"/>
    </row>
    <row r="33" spans="2:18" ht="18.75" customHeight="1" x14ac:dyDescent="0.35"/>
    <row r="34" spans="2:18" ht="21.75" customHeight="1" x14ac:dyDescent="0.35">
      <c r="B34" s="192" t="s">
        <v>95</v>
      </c>
      <c r="C34" s="192"/>
      <c r="D34" s="192"/>
      <c r="E34" s="118">
        <v>117</v>
      </c>
      <c r="F34" s="118">
        <f>F31*F20*F24*F25*(1-F30)/10^6 + F32*F20*(1-F24)*(1-F30)*F26/10^6</f>
        <v>68.06615228726109</v>
      </c>
      <c r="G34" s="118">
        <f t="shared" ref="G34:H34" si="5">G31*G20*G24*G25*(1-G30)/10^6 + G32*G20*(1-G24)*(1-G30)*G26/10^6</f>
        <v>47.040216225004443</v>
      </c>
      <c r="H34" s="118">
        <f t="shared" si="5"/>
        <v>23.25400687662232</v>
      </c>
      <c r="I34" s="111"/>
    </row>
    <row r="35" spans="2:18" ht="21.75" customHeight="1" x14ac:dyDescent="0.35">
      <c r="B35" s="193" t="s">
        <v>96</v>
      </c>
      <c r="C35" s="193"/>
      <c r="D35" s="193"/>
      <c r="E35" s="119">
        <v>126</v>
      </c>
      <c r="F35" s="102">
        <f>E35*0.5</f>
        <v>63</v>
      </c>
      <c r="G35" s="102">
        <f>F35*0.6</f>
        <v>37.799999999999997</v>
      </c>
      <c r="H35" s="102">
        <f>G35*0.6</f>
        <v>22.679999999999996</v>
      </c>
      <c r="I35" s="111" t="s">
        <v>97</v>
      </c>
    </row>
    <row r="36" spans="2:18" ht="21.75" customHeight="1" x14ac:dyDescent="0.35">
      <c r="B36" s="188" t="s">
        <v>98</v>
      </c>
      <c r="C36" s="189"/>
      <c r="D36" s="190"/>
      <c r="E36" s="119">
        <v>0</v>
      </c>
      <c r="F36" s="119">
        <v>10</v>
      </c>
      <c r="G36" s="119">
        <v>10</v>
      </c>
      <c r="H36" s="119">
        <v>10</v>
      </c>
      <c r="I36" s="111" t="s">
        <v>99</v>
      </c>
    </row>
    <row r="37" spans="2:18" ht="21.75" customHeight="1" x14ac:dyDescent="0.35">
      <c r="B37" s="192" t="s">
        <v>100</v>
      </c>
      <c r="C37" s="192"/>
      <c r="D37" s="192"/>
      <c r="E37" s="120">
        <f>E34+E35-E36</f>
        <v>243</v>
      </c>
      <c r="F37" s="120">
        <f>F34+F35-F36</f>
        <v>121.0661522872611</v>
      </c>
      <c r="G37" s="120">
        <f t="shared" ref="G37:H37" si="6">G34+G35-G36</f>
        <v>74.84021622500444</v>
      </c>
      <c r="H37" s="120">
        <f t="shared" si="6"/>
        <v>35.93400687662232</v>
      </c>
      <c r="I37" s="111"/>
    </row>
    <row r="38" spans="2:18" ht="21.75" customHeight="1" x14ac:dyDescent="0.35">
      <c r="B38" s="184" t="s">
        <v>80</v>
      </c>
      <c r="C38" s="184"/>
      <c r="D38" s="184"/>
      <c r="E38" s="121"/>
      <c r="F38" s="122">
        <f>F37/$E37-1</f>
        <v>-0.50178538153390484</v>
      </c>
      <c r="G38" s="122">
        <f t="shared" ref="G38:H38" si="7">G37/$E37-1</f>
        <v>-0.6920155710905167</v>
      </c>
      <c r="H38" s="122">
        <f t="shared" si="7"/>
        <v>-0.85212342849126621</v>
      </c>
      <c r="I38" s="123"/>
    </row>
    <row r="39" spans="2:18" ht="21.75" customHeight="1" x14ac:dyDescent="0.35">
      <c r="E39" s="124"/>
    </row>
    <row r="40" spans="2:18" ht="20.25" customHeight="1" x14ac:dyDescent="0.35">
      <c r="B40" s="185" t="s">
        <v>101</v>
      </c>
      <c r="C40" s="185"/>
      <c r="D40" s="185"/>
      <c r="E40" s="185"/>
      <c r="F40" s="185"/>
      <c r="G40" s="185"/>
      <c r="H40" s="185"/>
      <c r="I40" s="185"/>
    </row>
    <row r="41" spans="2:18" ht="20.25" customHeight="1" x14ac:dyDescent="0.35">
      <c r="H41" s="125"/>
      <c r="L41" s="178" t="s">
        <v>102</v>
      </c>
      <c r="M41" s="178"/>
      <c r="N41" s="178"/>
      <c r="P41" s="179" t="s">
        <v>103</v>
      </c>
      <c r="Q41" s="179"/>
      <c r="R41" s="179"/>
    </row>
    <row r="42" spans="2:18" ht="20.25" customHeight="1" x14ac:dyDescent="0.35">
      <c r="B42" s="180" t="s">
        <v>104</v>
      </c>
      <c r="C42" s="181"/>
      <c r="D42" s="182"/>
      <c r="E42" s="126">
        <f>E44*10^9/((1-E24)*E20*E26*(N43/M43) + E24*E20*E25)</f>
        <v>274.2091386416572</v>
      </c>
      <c r="F42" s="102">
        <f>E42*Q43</f>
        <v>260.07022993044677</v>
      </c>
      <c r="G42" s="102">
        <f>E42*Q44</f>
        <v>185.5196203622462</v>
      </c>
      <c r="H42" s="102">
        <f>E42*Q45</f>
        <v>177.80748833794959</v>
      </c>
      <c r="I42" s="127" t="s">
        <v>105</v>
      </c>
      <c r="L42" s="128" t="s">
        <v>106</v>
      </c>
      <c r="M42" s="128" t="s">
        <v>107</v>
      </c>
      <c r="N42" s="128" t="s">
        <v>108</v>
      </c>
      <c r="P42" s="129" t="s">
        <v>106</v>
      </c>
      <c r="Q42" s="129" t="s">
        <v>107</v>
      </c>
      <c r="R42" s="129" t="s">
        <v>108</v>
      </c>
    </row>
    <row r="43" spans="2:18" ht="20.25" customHeight="1" x14ac:dyDescent="0.35">
      <c r="B43" s="180" t="s">
        <v>109</v>
      </c>
      <c r="C43" s="181"/>
      <c r="D43" s="182"/>
      <c r="E43" s="126">
        <f>E44*10^9/((1-E24)*E20*E26 + E24*E20*E25/(N43/M43))</f>
        <v>317.05431655441618</v>
      </c>
      <c r="F43" s="102">
        <f>E43*R43</f>
        <v>305.48611851797125</v>
      </c>
      <c r="G43" s="102">
        <f>E43*R44</f>
        <v>221.50956980896373</v>
      </c>
      <c r="H43" s="102">
        <f>E43*R45</f>
        <v>209.94137177251883</v>
      </c>
      <c r="I43" s="127" t="s">
        <v>105</v>
      </c>
      <c r="L43" s="128">
        <v>2022</v>
      </c>
      <c r="M43" s="128">
        <v>640</v>
      </c>
      <c r="N43" s="128">
        <v>740</v>
      </c>
      <c r="P43" s="129" t="s">
        <v>48</v>
      </c>
      <c r="Q43" s="129">
        <v>0.94843750000000004</v>
      </c>
      <c r="R43" s="129">
        <v>0.96351351351351355</v>
      </c>
    </row>
    <row r="44" spans="2:18" ht="20.25" customHeight="1" x14ac:dyDescent="0.35">
      <c r="B44" s="177" t="s">
        <v>110</v>
      </c>
      <c r="C44" s="177"/>
      <c r="D44" s="183"/>
      <c r="E44" s="130">
        <v>10</v>
      </c>
      <c r="F44" s="118">
        <f>F42*F20*F24*F25/10^9 + F43*F20*(1-F24)*F26/10^9</f>
        <v>9.2311277309956132</v>
      </c>
      <c r="G44" s="131">
        <f>G42*G20*G24*G25/10^9 + G43*G20*(1-G24)*G26/10^9</f>
        <v>5.338535572437193</v>
      </c>
      <c r="H44" s="131">
        <f>H42*H20*H24*H25/10^9 + H43*H20*(1-H24)*H26/10^9</f>
        <v>2.6733551874641996</v>
      </c>
      <c r="I44" s="132"/>
      <c r="K44" s="133"/>
      <c r="L44" s="128">
        <v>2025</v>
      </c>
      <c r="M44" s="128">
        <v>530</v>
      </c>
      <c r="N44" s="128">
        <v>650</v>
      </c>
      <c r="P44" s="129" t="s">
        <v>49</v>
      </c>
      <c r="Q44" s="129">
        <v>0.67656249999999996</v>
      </c>
      <c r="R44" s="129">
        <v>0.69864864864864862</v>
      </c>
    </row>
    <row r="45" spans="2:18" ht="20.25" customHeight="1" x14ac:dyDescent="0.35">
      <c r="B45" s="184" t="s">
        <v>111</v>
      </c>
      <c r="C45" s="184"/>
      <c r="D45" s="184"/>
      <c r="E45" s="134"/>
      <c r="F45" s="135">
        <f>AVERAGE(F20,G20)*(AVERAGE(F24,G24)*AVERAGE(F25:G25)*E42*Q47 + (1-AVERAGE(F24,G24))*AVERAGE(F26:G26)*E43*R47)/(10^9*E44)-1</f>
        <v>-0.33616682190608038</v>
      </c>
      <c r="G45" s="136"/>
      <c r="H45" s="136"/>
      <c r="K45" s="137"/>
      <c r="L45" s="128">
        <v>2028</v>
      </c>
      <c r="M45" s="128">
        <v>475</v>
      </c>
      <c r="N45" s="128">
        <v>580</v>
      </c>
      <c r="P45" s="129" t="s">
        <v>50</v>
      </c>
      <c r="Q45" s="129">
        <v>0.6484375</v>
      </c>
      <c r="R45" s="129">
        <v>0.66216216216216217</v>
      </c>
    </row>
    <row r="46" spans="2:18" ht="20.25" customHeight="1" x14ac:dyDescent="0.35">
      <c r="B46" s="138"/>
      <c r="C46" s="139"/>
      <c r="D46" s="139"/>
      <c r="E46" s="134"/>
      <c r="F46" s="136"/>
      <c r="G46" s="136"/>
      <c r="H46" s="136"/>
      <c r="K46" s="137"/>
      <c r="L46" s="128">
        <v>2031</v>
      </c>
      <c r="M46" s="128">
        <v>415</v>
      </c>
      <c r="N46" s="128">
        <v>490</v>
      </c>
      <c r="P46" s="113"/>
      <c r="Q46" s="113"/>
      <c r="R46" s="113"/>
    </row>
    <row r="47" spans="2:18" ht="20.25" customHeight="1" x14ac:dyDescent="0.35">
      <c r="B47" s="176" t="s">
        <v>112</v>
      </c>
      <c r="C47" s="176"/>
      <c r="D47" s="176"/>
      <c r="E47" s="140">
        <v>5.28</v>
      </c>
      <c r="F47" s="140">
        <f>$E47*F34/$E34</f>
        <v>3.0717032827071673</v>
      </c>
      <c r="G47" s="140">
        <f>$E47*G34/$E34</f>
        <v>2.1228405270771238</v>
      </c>
      <c r="H47" s="140">
        <f>$E47*H34/$E34</f>
        <v>1.0494115923809046</v>
      </c>
      <c r="I47" s="132" t="s">
        <v>113</v>
      </c>
      <c r="K47" s="133"/>
      <c r="P47" s="129" t="s">
        <v>114</v>
      </c>
      <c r="Q47" s="129">
        <v>0.7421875</v>
      </c>
      <c r="R47" s="129">
        <v>0.78378378378378377</v>
      </c>
    </row>
    <row r="48" spans="2:18" ht="20.25" customHeight="1" x14ac:dyDescent="0.35"/>
    <row r="49" spans="2:8" ht="20.25" customHeight="1" x14ac:dyDescent="0.35">
      <c r="B49" s="177" t="s">
        <v>115</v>
      </c>
      <c r="C49" s="177"/>
      <c r="D49" s="177"/>
      <c r="E49" s="141">
        <f>E44+E47</f>
        <v>15.280000000000001</v>
      </c>
      <c r="F49" s="141">
        <f t="shared" ref="F49:H49" si="8">F44+F47</f>
        <v>12.302831013702781</v>
      </c>
      <c r="G49" s="141">
        <f t="shared" si="8"/>
        <v>7.4613760995143164</v>
      </c>
      <c r="H49" s="141">
        <f t="shared" si="8"/>
        <v>3.7227667798451041</v>
      </c>
    </row>
    <row r="54" spans="2:8" x14ac:dyDescent="0.35">
      <c r="E54" s="142"/>
    </row>
    <row r="55" spans="2:8" x14ac:dyDescent="0.35">
      <c r="E55" s="143"/>
    </row>
  </sheetData>
  <mergeCells count="45">
    <mergeCell ref="C2:I2"/>
    <mergeCell ref="B5:B11"/>
    <mergeCell ref="C5:D5"/>
    <mergeCell ref="C6:C7"/>
    <mergeCell ref="I6:I7"/>
    <mergeCell ref="C8:C9"/>
    <mergeCell ref="I8:I9"/>
    <mergeCell ref="C10:C11"/>
    <mergeCell ref="I10:I11"/>
    <mergeCell ref="B25:D25"/>
    <mergeCell ref="K10:L11"/>
    <mergeCell ref="B13:B18"/>
    <mergeCell ref="C13:D13"/>
    <mergeCell ref="C14:D14"/>
    <mergeCell ref="F14:H14"/>
    <mergeCell ref="C15:D15"/>
    <mergeCell ref="C16:D16"/>
    <mergeCell ref="C17:D17"/>
    <mergeCell ref="F17:H17"/>
    <mergeCell ref="C18:D18"/>
    <mergeCell ref="B20:D20"/>
    <mergeCell ref="K20:M20"/>
    <mergeCell ref="B21:D21"/>
    <mergeCell ref="B22:D22"/>
    <mergeCell ref="B24:D24"/>
    <mergeCell ref="B40:I40"/>
    <mergeCell ref="B26:D26"/>
    <mergeCell ref="B28:I28"/>
    <mergeCell ref="B30:D30"/>
    <mergeCell ref="K30:M30"/>
    <mergeCell ref="B31:D31"/>
    <mergeCell ref="B32:D32"/>
    <mergeCell ref="B34:D34"/>
    <mergeCell ref="B35:D35"/>
    <mergeCell ref="B36:D36"/>
    <mergeCell ref="B37:D37"/>
    <mergeCell ref="B38:D38"/>
    <mergeCell ref="B47:D47"/>
    <mergeCell ref="B49:D49"/>
    <mergeCell ref="L41:N41"/>
    <mergeCell ref="P41:R41"/>
    <mergeCell ref="B42:D42"/>
    <mergeCell ref="B43:D43"/>
    <mergeCell ref="B44:D44"/>
    <mergeCell ref="B45:D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56"/>
  <sheetViews>
    <sheetView topLeftCell="A7" zoomScale="115" zoomScaleNormal="115" workbookViewId="0">
      <selection activeCell="F21" sqref="F21"/>
    </sheetView>
  </sheetViews>
  <sheetFormatPr baseColWidth="10" defaultColWidth="9.1796875" defaultRowHeight="13" x14ac:dyDescent="0.35"/>
  <cols>
    <col min="1" max="1" width="2.81640625" style="66" customWidth="1"/>
    <col min="2" max="2" width="10.7265625" style="66" customWidth="1"/>
    <col min="3" max="3" width="31.54296875" style="66" customWidth="1"/>
    <col min="4" max="4" width="18.54296875" style="66" customWidth="1"/>
    <col min="5" max="8" width="11.81640625" style="66" customWidth="1"/>
    <col min="9" max="9" width="70.81640625" style="66" customWidth="1"/>
    <col min="10" max="10" width="3.453125" style="66" customWidth="1"/>
    <col min="11" max="11" width="21.453125" style="66" customWidth="1"/>
    <col min="12" max="12" width="9.7265625" style="66" bestFit="1" customWidth="1"/>
    <col min="13" max="14" width="16" style="66" customWidth="1"/>
    <col min="15" max="15" width="9.1796875" style="66"/>
    <col min="16" max="16" width="10.54296875" style="66" customWidth="1"/>
    <col min="17" max="17" width="20" style="66" customWidth="1"/>
    <col min="18" max="18" width="20.1796875" style="66" customWidth="1"/>
    <col min="19" max="16384" width="9.1796875" style="66"/>
  </cols>
  <sheetData>
    <row r="2" spans="2:18" ht="30" customHeight="1" x14ac:dyDescent="0.35">
      <c r="C2" s="206" t="s">
        <v>116</v>
      </c>
      <c r="D2" s="206"/>
      <c r="E2" s="206"/>
      <c r="F2" s="206"/>
      <c r="G2" s="206"/>
      <c r="H2" s="206"/>
      <c r="I2" s="206"/>
      <c r="J2" s="67"/>
      <c r="K2" s="68"/>
    </row>
    <row r="3" spans="2:18" ht="15.75" customHeight="1" x14ac:dyDescent="0.35">
      <c r="C3" s="67"/>
      <c r="D3" s="67"/>
      <c r="E3" s="67"/>
      <c r="F3" s="67"/>
      <c r="G3" s="67"/>
      <c r="H3" s="67"/>
      <c r="I3" s="67"/>
      <c r="J3" s="67"/>
      <c r="K3" s="67"/>
    </row>
    <row r="4" spans="2:18" ht="47" customHeight="1" x14ac:dyDescent="0.35">
      <c r="E4" s="69" t="s">
        <v>47</v>
      </c>
      <c r="F4" s="69" t="s">
        <v>48</v>
      </c>
      <c r="G4" s="69" t="s">
        <v>49</v>
      </c>
      <c r="H4" s="69" t="s">
        <v>50</v>
      </c>
      <c r="I4" s="70" t="s">
        <v>51</v>
      </c>
      <c r="J4" s="71"/>
      <c r="K4" s="72" t="s">
        <v>130</v>
      </c>
    </row>
    <row r="5" spans="2:18" ht="28.5" customHeight="1" x14ac:dyDescent="0.35">
      <c r="B5" s="195" t="s">
        <v>53</v>
      </c>
      <c r="C5" s="208" t="s">
        <v>54</v>
      </c>
      <c r="D5" s="208"/>
      <c r="E5" s="73">
        <v>239165</v>
      </c>
      <c r="F5" s="74">
        <v>156000</v>
      </c>
      <c r="G5" s="74">
        <v>108000</v>
      </c>
      <c r="H5" s="74">
        <v>10000</v>
      </c>
      <c r="I5" s="75" t="s">
        <v>117</v>
      </c>
      <c r="J5" s="76"/>
      <c r="K5" s="150" t="s">
        <v>126</v>
      </c>
      <c r="L5" s="78">
        <v>35</v>
      </c>
      <c r="M5" s="78"/>
    </row>
    <row r="6" spans="2:18" ht="12.75" customHeight="1" x14ac:dyDescent="0.35">
      <c r="B6" s="207"/>
      <c r="C6" s="209" t="s">
        <v>57</v>
      </c>
      <c r="D6" s="79" t="s">
        <v>58</v>
      </c>
      <c r="E6" s="80">
        <v>9.8000000000000004E-2</v>
      </c>
      <c r="F6" s="80">
        <f>E6+0.001</f>
        <v>9.9000000000000005E-2</v>
      </c>
      <c r="G6" s="80">
        <f t="shared" ref="G6:H6" si="0">F6</f>
        <v>9.9000000000000005E-2</v>
      </c>
      <c r="H6" s="80">
        <f t="shared" si="0"/>
        <v>9.9000000000000005E-2</v>
      </c>
      <c r="I6" s="211" t="s">
        <v>118</v>
      </c>
      <c r="J6" s="76"/>
      <c r="K6" s="81"/>
    </row>
    <row r="7" spans="2:18" ht="12.75" customHeight="1" x14ac:dyDescent="0.35">
      <c r="B7" s="207"/>
      <c r="C7" s="210"/>
      <c r="D7" s="82" t="s">
        <v>60</v>
      </c>
      <c r="E7" s="83">
        <v>44908</v>
      </c>
      <c r="F7" s="84">
        <f>(F6*F23-E6*E23)/10</f>
        <v>37318.352900000013</v>
      </c>
      <c r="G7" s="84">
        <f>(G6*G23-F6*F23)/10</f>
        <v>27405.836340299993</v>
      </c>
      <c r="H7" s="85">
        <f t="shared" ref="H7" si="1">(H6*H23-G6*G23)/10</f>
        <v>19807.929886615231</v>
      </c>
      <c r="I7" s="212"/>
      <c r="J7" s="76"/>
      <c r="K7" s="81"/>
    </row>
    <row r="8" spans="2:18" ht="12.75" customHeight="1" x14ac:dyDescent="0.35">
      <c r="B8" s="207"/>
      <c r="C8" s="213" t="s">
        <v>61</v>
      </c>
      <c r="D8" s="86" t="s">
        <v>58</v>
      </c>
      <c r="E8" s="87">
        <v>8.3000000000000004E-2</v>
      </c>
      <c r="F8" s="87">
        <f>E8+0.002</f>
        <v>8.5000000000000006E-2</v>
      </c>
      <c r="G8" s="87">
        <f>F8</f>
        <v>8.5000000000000006E-2</v>
      </c>
      <c r="H8" s="87">
        <f t="shared" ref="H8" si="2">G8</f>
        <v>8.5000000000000006E-2</v>
      </c>
      <c r="I8" s="211" t="s">
        <v>119</v>
      </c>
      <c r="J8" s="76"/>
      <c r="K8" s="214" t="s">
        <v>128</v>
      </c>
    </row>
    <row r="9" spans="2:18" ht="12.75" customHeight="1" x14ac:dyDescent="0.35">
      <c r="B9" s="207"/>
      <c r="C9" s="213"/>
      <c r="D9" s="88" t="s">
        <v>60</v>
      </c>
      <c r="E9" s="89">
        <v>59860</v>
      </c>
      <c r="F9" s="84">
        <f>(F8*F23-E8*E23)/10</f>
        <v>35772.276800000014</v>
      </c>
      <c r="G9" s="84">
        <f>(G8*G23-F8*F23)/10</f>
        <v>23530.263524499955</v>
      </c>
      <c r="H9" s="84">
        <f t="shared" ref="H9" si="3">(H8*H23-G8*G23)/10</f>
        <v>17006.808488508035</v>
      </c>
      <c r="I9" s="212"/>
      <c r="J9" s="76"/>
      <c r="K9" s="214"/>
      <c r="L9" s="66">
        <v>30</v>
      </c>
    </row>
    <row r="10" spans="2:18" ht="12.75" customHeight="1" x14ac:dyDescent="0.35">
      <c r="B10" s="207"/>
      <c r="C10" s="209" t="s">
        <v>63</v>
      </c>
      <c r="D10" s="90" t="s">
        <v>64</v>
      </c>
      <c r="E10" s="91">
        <v>7.5818620080312976E-4</v>
      </c>
      <c r="F10" s="92">
        <f>E10</f>
        <v>7.5818620080312976E-4</v>
      </c>
      <c r="G10" s="92">
        <f>E10</f>
        <v>7.5818620080312976E-4</v>
      </c>
      <c r="H10" s="92">
        <f>E10</f>
        <v>7.5818620080312976E-4</v>
      </c>
      <c r="I10" s="211" t="s">
        <v>65</v>
      </c>
      <c r="J10" s="93"/>
      <c r="K10" s="151"/>
      <c r="L10" s="151"/>
    </row>
    <row r="11" spans="2:18" ht="12.75" customHeight="1" x14ac:dyDescent="0.35">
      <c r="B11" s="207"/>
      <c r="C11" s="213"/>
      <c r="D11" s="88" t="s">
        <v>66</v>
      </c>
      <c r="E11" s="144">
        <v>24785</v>
      </c>
      <c r="F11" s="145">
        <f>F10*F23</f>
        <v>27392.652546008227</v>
      </c>
      <c r="G11" s="145">
        <f>G10*G23</f>
        <v>29491.513852542004</v>
      </c>
      <c r="H11" s="145">
        <f>H10*H23</f>
        <v>31008.493560270043</v>
      </c>
      <c r="I11" s="215"/>
      <c r="J11" s="93"/>
      <c r="K11" s="151"/>
      <c r="L11" s="151"/>
    </row>
    <row r="12" spans="2:18" ht="23.25" customHeight="1" x14ac:dyDescent="0.35">
      <c r="B12" s="207"/>
      <c r="C12" s="200" t="s">
        <v>120</v>
      </c>
      <c r="D12" s="200"/>
      <c r="E12" s="102"/>
      <c r="F12" s="102">
        <v>-5000</v>
      </c>
      <c r="G12" s="102">
        <v>-5000</v>
      </c>
      <c r="H12" s="102">
        <v>-5000</v>
      </c>
      <c r="I12" s="146" t="s">
        <v>121</v>
      </c>
      <c r="J12" s="93"/>
      <c r="K12" s="150" t="s">
        <v>129</v>
      </c>
      <c r="L12" s="66">
        <v>15</v>
      </c>
    </row>
    <row r="13" spans="2:18" ht="18" customHeight="1" x14ac:dyDescent="0.35">
      <c r="I13" s="96"/>
      <c r="J13" s="96"/>
      <c r="R13" s="97"/>
    </row>
    <row r="14" spans="2:18" ht="25.5" customHeight="1" x14ac:dyDescent="0.35">
      <c r="B14" s="195" t="s">
        <v>67</v>
      </c>
      <c r="C14" s="196" t="s">
        <v>68</v>
      </c>
      <c r="D14" s="196"/>
      <c r="E14" s="98"/>
      <c r="F14" s="99">
        <v>988800</v>
      </c>
      <c r="G14" s="99"/>
      <c r="H14" s="99"/>
      <c r="I14" s="75" t="s">
        <v>122</v>
      </c>
      <c r="J14" s="76"/>
      <c r="R14" s="97"/>
    </row>
    <row r="15" spans="2:18" ht="25.5" customHeight="1" x14ac:dyDescent="0.35">
      <c r="B15" s="195"/>
      <c r="C15" s="196" t="s">
        <v>70</v>
      </c>
      <c r="D15" s="196"/>
      <c r="E15" s="98"/>
      <c r="F15" s="197">
        <v>15</v>
      </c>
      <c r="G15" s="198"/>
      <c r="H15" s="199"/>
      <c r="I15" s="75" t="s">
        <v>71</v>
      </c>
      <c r="J15" s="76"/>
      <c r="K15" s="149" t="s">
        <v>127</v>
      </c>
      <c r="L15" s="66">
        <v>20</v>
      </c>
      <c r="R15" s="97"/>
    </row>
    <row r="16" spans="2:18" ht="25.5" customHeight="1" x14ac:dyDescent="0.35">
      <c r="B16" s="195"/>
      <c r="C16" s="200" t="s">
        <v>73</v>
      </c>
      <c r="D16" s="200"/>
      <c r="E16" s="98"/>
      <c r="F16" s="101">
        <f>$F14/$F15*MAX((MIN(2022+$F15,2030)-2022),0)/10</f>
        <v>52736</v>
      </c>
      <c r="G16" s="101">
        <f>($F14)/$F15*MAX((MIN(2022+$F15,2040)-2030),0)/10</f>
        <v>46144</v>
      </c>
      <c r="H16" s="101">
        <f>$F14/$F15*MAX((MIN(2022+$F15,2050)-2040),0)/10</f>
        <v>0</v>
      </c>
      <c r="I16" s="75"/>
      <c r="J16" s="76"/>
      <c r="K16" s="97"/>
      <c r="R16" s="97"/>
    </row>
    <row r="17" spans="2:18" ht="25.5" customHeight="1" x14ac:dyDescent="0.35">
      <c r="B17" s="195"/>
      <c r="C17" s="196" t="s">
        <v>74</v>
      </c>
      <c r="D17" s="196"/>
      <c r="E17" s="98"/>
      <c r="F17" s="99">
        <v>0</v>
      </c>
      <c r="G17" s="99"/>
      <c r="H17" s="99"/>
      <c r="I17" s="75" t="s">
        <v>123</v>
      </c>
      <c r="J17" s="76"/>
      <c r="K17" s="100"/>
      <c r="R17" s="97"/>
    </row>
    <row r="18" spans="2:18" ht="25.5" customHeight="1" x14ac:dyDescent="0.35">
      <c r="B18" s="195"/>
      <c r="C18" s="196" t="s">
        <v>76</v>
      </c>
      <c r="D18" s="196"/>
      <c r="E18" s="98"/>
      <c r="F18" s="197">
        <v>10</v>
      </c>
      <c r="G18" s="198"/>
      <c r="H18" s="199"/>
      <c r="I18" s="75" t="s">
        <v>77</v>
      </c>
      <c r="J18" s="76"/>
      <c r="K18" s="100"/>
      <c r="R18" s="97"/>
    </row>
    <row r="19" spans="2:18" ht="25.5" customHeight="1" x14ac:dyDescent="0.35">
      <c r="B19" s="195"/>
      <c r="C19" s="200" t="s">
        <v>78</v>
      </c>
      <c r="D19" s="200"/>
      <c r="E19" s="102">
        <v>0</v>
      </c>
      <c r="F19" s="102">
        <f>$F17/$F18*MAX((MIN(2022+$F18,2030)-2022),0)/10</f>
        <v>0</v>
      </c>
      <c r="G19" s="102">
        <f>$F17/$F18*MAX((MIN(2022+$F18,2040)-2030),0)/10</f>
        <v>0</v>
      </c>
      <c r="H19" s="102">
        <f>$F17/$F18*MAX((MIN(2022+$F18,2050)-2040),0)/10</f>
        <v>0</v>
      </c>
      <c r="I19" s="75" t="s">
        <v>124</v>
      </c>
      <c r="J19" s="76"/>
      <c r="K19" s="97"/>
      <c r="L19" s="97"/>
    </row>
    <row r="20" spans="2:18" ht="18" customHeight="1" x14ac:dyDescent="0.35">
      <c r="L20" s="66">
        <f>SUM(L5:L19)</f>
        <v>100</v>
      </c>
      <c r="R20" s="97"/>
    </row>
    <row r="21" spans="2:18" ht="31.5" customHeight="1" x14ac:dyDescent="0.35">
      <c r="B21" s="201" t="s">
        <v>79</v>
      </c>
      <c r="C21" s="201"/>
      <c r="D21" s="201"/>
      <c r="E21" s="103">
        <v>368718</v>
      </c>
      <c r="F21" s="103">
        <f>F5+F7+F9+F11+F12+F16+F19</f>
        <v>304219.28224600828</v>
      </c>
      <c r="G21" s="103">
        <f t="shared" ref="G21:H21" si="4">G5+G7+G9+G11+G12+G16+G19</f>
        <v>229571.61371734194</v>
      </c>
      <c r="H21" s="103">
        <f t="shared" si="4"/>
        <v>72823.231935393313</v>
      </c>
      <c r="I21" s="104"/>
      <c r="K21" s="191"/>
      <c r="L21" s="191"/>
      <c r="M21" s="191"/>
      <c r="N21" s="105"/>
    </row>
    <row r="22" spans="2:18" ht="18.75" customHeight="1" x14ac:dyDescent="0.35">
      <c r="B22" s="202" t="s">
        <v>80</v>
      </c>
      <c r="C22" s="203"/>
      <c r="D22" s="204"/>
      <c r="E22" s="106"/>
      <c r="F22" s="107">
        <f>F21/$E21-1</f>
        <v>-0.17492695706201411</v>
      </c>
      <c r="G22" s="107">
        <f t="shared" ref="G22:H22" si="5">G21/$E21-1</f>
        <v>-0.37737888110333118</v>
      </c>
      <c r="H22" s="107">
        <f t="shared" si="5"/>
        <v>-0.80249613000885955</v>
      </c>
      <c r="I22" s="104"/>
      <c r="K22" s="108"/>
      <c r="L22" s="108"/>
      <c r="M22" s="108"/>
      <c r="N22" s="105"/>
    </row>
    <row r="23" spans="2:18" ht="20.25" customHeight="1" x14ac:dyDescent="0.35">
      <c r="B23" s="205" t="s">
        <v>81</v>
      </c>
      <c r="C23" s="205"/>
      <c r="D23" s="205"/>
      <c r="E23" s="109">
        <v>32689859</v>
      </c>
      <c r="F23" s="109">
        <f>E23+10*(E21-E11)</f>
        <v>36129189</v>
      </c>
      <c r="G23" s="99">
        <f>F23+10*(F21-F11)</f>
        <v>38897455.296999998</v>
      </c>
      <c r="H23" s="99">
        <f>G23+10*(G21-G11)</f>
        <v>40898256.295648001</v>
      </c>
      <c r="I23" s="75"/>
    </row>
    <row r="24" spans="2:18" ht="20.25" customHeight="1" x14ac:dyDescent="0.35"/>
    <row r="25" spans="2:18" ht="20.25" customHeight="1" x14ac:dyDescent="0.35">
      <c r="B25" s="186" t="s">
        <v>82</v>
      </c>
      <c r="C25" s="186"/>
      <c r="D25" s="186"/>
      <c r="E25" s="110">
        <v>0.46</v>
      </c>
      <c r="F25" s="110">
        <v>0.43</v>
      </c>
      <c r="G25" s="110">
        <v>0.4</v>
      </c>
      <c r="H25" s="110">
        <v>0.4</v>
      </c>
      <c r="I25" s="111" t="s">
        <v>83</v>
      </c>
    </row>
    <row r="26" spans="2:18" ht="20.25" customHeight="1" x14ac:dyDescent="0.35">
      <c r="B26" s="186" t="s">
        <v>84</v>
      </c>
      <c r="C26" s="186"/>
      <c r="D26" s="186"/>
      <c r="E26" s="112">
        <v>120</v>
      </c>
      <c r="F26" s="112">
        <f>E26</f>
        <v>120</v>
      </c>
      <c r="G26" s="112">
        <f t="shared" ref="G26:H27" si="6">F26</f>
        <v>120</v>
      </c>
      <c r="H26" s="112">
        <f t="shared" si="6"/>
        <v>120</v>
      </c>
      <c r="I26" s="111" t="s">
        <v>85</v>
      </c>
    </row>
    <row r="27" spans="2:18" ht="20.25" customHeight="1" x14ac:dyDescent="0.35">
      <c r="B27" s="186" t="s">
        <v>86</v>
      </c>
      <c r="C27" s="186"/>
      <c r="D27" s="186"/>
      <c r="E27" s="98">
        <v>70</v>
      </c>
      <c r="F27" s="98">
        <f>E27</f>
        <v>70</v>
      </c>
      <c r="G27" s="98">
        <f t="shared" si="6"/>
        <v>70</v>
      </c>
      <c r="H27" s="98">
        <f t="shared" si="6"/>
        <v>70</v>
      </c>
      <c r="I27" s="111" t="s">
        <v>85</v>
      </c>
    </row>
    <row r="28" spans="2:18" ht="20.25" customHeight="1" x14ac:dyDescent="0.35"/>
    <row r="29" spans="2:18" ht="20.25" customHeight="1" x14ac:dyDescent="0.35">
      <c r="B29" s="187" t="s">
        <v>87</v>
      </c>
      <c r="C29" s="187"/>
      <c r="D29" s="187"/>
      <c r="E29" s="187"/>
      <c r="F29" s="187"/>
      <c r="G29" s="187"/>
      <c r="H29" s="187"/>
      <c r="I29" s="187"/>
      <c r="L29" s="113"/>
      <c r="M29" s="113"/>
      <c r="N29" s="113"/>
      <c r="O29" s="113"/>
    </row>
    <row r="30" spans="2:18" ht="20.25" customHeight="1" x14ac:dyDescent="0.35">
      <c r="N30" s="113"/>
      <c r="O30" s="113"/>
    </row>
    <row r="31" spans="2:18" ht="21.75" customHeight="1" x14ac:dyDescent="0.35">
      <c r="B31" s="188" t="s">
        <v>88</v>
      </c>
      <c r="C31" s="189"/>
      <c r="D31" s="190"/>
      <c r="E31" s="114">
        <v>0.45</v>
      </c>
      <c r="F31" s="114">
        <v>0.56999999999999995</v>
      </c>
      <c r="G31" s="114">
        <v>0.6</v>
      </c>
      <c r="H31" s="114">
        <v>0.6</v>
      </c>
      <c r="I31" s="111" t="s">
        <v>89</v>
      </c>
      <c r="K31" s="191" t="s">
        <v>90</v>
      </c>
      <c r="L31" s="191"/>
      <c r="M31" s="191"/>
      <c r="N31" s="115">
        <f>(F21*F31-E31*E21)/(E21*E31)</f>
        <v>4.5092521054782016E-2</v>
      </c>
      <c r="O31" s="113"/>
    </row>
    <row r="32" spans="2:18" ht="21.75" customHeight="1" x14ac:dyDescent="0.35">
      <c r="B32" s="188" t="s">
        <v>91</v>
      </c>
      <c r="C32" s="189"/>
      <c r="D32" s="190"/>
      <c r="E32" s="116">
        <v>7.7859323307492065</v>
      </c>
      <c r="F32" s="116">
        <f>E32*0.69</f>
        <v>5.3722933082169524</v>
      </c>
      <c r="G32" s="116">
        <f>F32*0.9</f>
        <v>4.8350639773952571</v>
      </c>
      <c r="H32" s="116">
        <f>G32*0.9</f>
        <v>4.3515575796557311</v>
      </c>
      <c r="I32" s="117" t="s">
        <v>92</v>
      </c>
      <c r="N32" s="113"/>
      <c r="O32" s="113"/>
    </row>
    <row r="33" spans="2:18" ht="21.75" customHeight="1" x14ac:dyDescent="0.35">
      <c r="B33" s="188" t="s">
        <v>93</v>
      </c>
      <c r="C33" s="189"/>
      <c r="D33" s="190"/>
      <c r="E33" s="116">
        <v>3.8929661653746033</v>
      </c>
      <c r="F33" s="116">
        <f>E33</f>
        <v>3.8929661653746033</v>
      </c>
      <c r="G33" s="116">
        <f>F33</f>
        <v>3.8929661653746033</v>
      </c>
      <c r="H33" s="116">
        <f>F33</f>
        <v>3.8929661653746033</v>
      </c>
      <c r="I33" s="117" t="s">
        <v>94</v>
      </c>
      <c r="K33" s="81"/>
      <c r="L33" s="113"/>
      <c r="M33" s="113"/>
      <c r="N33" s="113"/>
      <c r="O33" s="113"/>
    </row>
    <row r="34" spans="2:18" ht="18.75" customHeight="1" x14ac:dyDescent="0.35"/>
    <row r="35" spans="2:18" ht="21.75" customHeight="1" x14ac:dyDescent="0.35">
      <c r="B35" s="192" t="s">
        <v>95</v>
      </c>
      <c r="C35" s="192"/>
      <c r="D35" s="192"/>
      <c r="E35" s="118">
        <v>117</v>
      </c>
      <c r="F35" s="118">
        <f>F32*F21*F25*F26*(1-F31)/10^6 + F33*F21*(1-F25)*(1-F31)*F27/10^6</f>
        <v>56.582372341929329</v>
      </c>
      <c r="G35" s="118">
        <f t="shared" ref="G35:H35" si="7">G32*G21*G25*G26*(1-G31)/10^6 + G33*G21*(1-G25)*(1-G31)*G27/10^6</f>
        <v>36.326278058069221</v>
      </c>
      <c r="H35" s="118">
        <f t="shared" si="7"/>
        <v>10.847146898572557</v>
      </c>
      <c r="I35" s="111"/>
    </row>
    <row r="36" spans="2:18" ht="21.75" customHeight="1" x14ac:dyDescent="0.35">
      <c r="B36" s="193" t="s">
        <v>96</v>
      </c>
      <c r="C36" s="193"/>
      <c r="D36" s="193"/>
      <c r="E36" s="119">
        <v>126</v>
      </c>
      <c r="F36" s="102">
        <f>E36*0.5</f>
        <v>63</v>
      </c>
      <c r="G36" s="102">
        <f>F36*0.6</f>
        <v>37.799999999999997</v>
      </c>
      <c r="H36" s="102">
        <f>G36*0.6</f>
        <v>22.679999999999996</v>
      </c>
      <c r="I36" s="111" t="s">
        <v>97</v>
      </c>
    </row>
    <row r="37" spans="2:18" ht="21.75" customHeight="1" x14ac:dyDescent="0.35">
      <c r="B37" s="188" t="s">
        <v>98</v>
      </c>
      <c r="C37" s="189"/>
      <c r="D37" s="190"/>
      <c r="E37" s="119">
        <v>0</v>
      </c>
      <c r="F37" s="119">
        <v>10</v>
      </c>
      <c r="G37" s="119">
        <v>10</v>
      </c>
      <c r="H37" s="119">
        <v>10</v>
      </c>
      <c r="I37" s="111" t="s">
        <v>99</v>
      </c>
    </row>
    <row r="38" spans="2:18" ht="21.75" customHeight="1" x14ac:dyDescent="0.35">
      <c r="B38" s="192" t="s">
        <v>100</v>
      </c>
      <c r="C38" s="192"/>
      <c r="D38" s="192"/>
      <c r="E38" s="120">
        <f>E35+E36-E37</f>
        <v>243</v>
      </c>
      <c r="F38" s="120">
        <f>F35+F36-F37</f>
        <v>109.58237234192933</v>
      </c>
      <c r="G38" s="120">
        <f t="shared" ref="G38:H38" si="8">G35+G36-G37</f>
        <v>64.126278058069218</v>
      </c>
      <c r="H38" s="120">
        <f t="shared" si="8"/>
        <v>23.527146898572553</v>
      </c>
      <c r="I38" s="111"/>
    </row>
    <row r="39" spans="2:18" ht="21.75" customHeight="1" x14ac:dyDescent="0.35">
      <c r="B39" s="184" t="s">
        <v>80</v>
      </c>
      <c r="C39" s="184"/>
      <c r="D39" s="184"/>
      <c r="E39" s="121"/>
      <c r="F39" s="122">
        <f>F38/$E38-1</f>
        <v>-0.54904373521839789</v>
      </c>
      <c r="G39" s="122">
        <f t="shared" ref="G39:H39" si="9">G38/$E38-1</f>
        <v>-0.73610585161288389</v>
      </c>
      <c r="H39" s="122">
        <f t="shared" si="9"/>
        <v>-0.90318046543797303</v>
      </c>
      <c r="I39" s="123"/>
    </row>
    <row r="40" spans="2:18" ht="21.75" customHeight="1" x14ac:dyDescent="0.35">
      <c r="E40" s="124"/>
    </row>
    <row r="41" spans="2:18" ht="20.25" customHeight="1" x14ac:dyDescent="0.35">
      <c r="B41" s="185" t="s">
        <v>101</v>
      </c>
      <c r="C41" s="185"/>
      <c r="D41" s="185"/>
      <c r="E41" s="185"/>
      <c r="F41" s="185"/>
      <c r="G41" s="185"/>
      <c r="H41" s="185"/>
      <c r="I41" s="185"/>
    </row>
    <row r="42" spans="2:18" ht="20.25" customHeight="1" x14ac:dyDescent="0.35">
      <c r="H42" s="125"/>
      <c r="L42" s="178" t="s">
        <v>102</v>
      </c>
      <c r="M42" s="178"/>
      <c r="N42" s="178"/>
      <c r="P42" s="179" t="s">
        <v>103</v>
      </c>
      <c r="Q42" s="179"/>
      <c r="R42" s="179"/>
    </row>
    <row r="43" spans="2:18" ht="20.25" customHeight="1" x14ac:dyDescent="0.35">
      <c r="B43" s="180" t="s">
        <v>104</v>
      </c>
      <c r="C43" s="181"/>
      <c r="D43" s="182"/>
      <c r="E43" s="126">
        <f>E45*10^9/((1-E25)*E21*E27*(N44/M44) + E25*E21*E26)</f>
        <v>274.2091386416572</v>
      </c>
      <c r="F43" s="102">
        <f>E43*Q44</f>
        <v>260.07022993044677</v>
      </c>
      <c r="G43" s="102">
        <f>E43*Q45</f>
        <v>185.5196203622462</v>
      </c>
      <c r="H43" s="102">
        <f>E43*Q46</f>
        <v>177.80748833794959</v>
      </c>
      <c r="I43" s="127" t="s">
        <v>105</v>
      </c>
      <c r="L43" s="128" t="s">
        <v>106</v>
      </c>
      <c r="M43" s="128" t="s">
        <v>107</v>
      </c>
      <c r="N43" s="128" t="s">
        <v>108</v>
      </c>
      <c r="P43" s="129" t="s">
        <v>106</v>
      </c>
      <c r="Q43" s="129" t="s">
        <v>107</v>
      </c>
      <c r="R43" s="129" t="s">
        <v>108</v>
      </c>
    </row>
    <row r="44" spans="2:18" ht="20.25" customHeight="1" x14ac:dyDescent="0.35">
      <c r="B44" s="180" t="s">
        <v>109</v>
      </c>
      <c r="C44" s="181"/>
      <c r="D44" s="182"/>
      <c r="E44" s="126">
        <f>E45*10^9/((1-E25)*E21*E27 + E25*E21*E26/(N44/M44))</f>
        <v>317.05431655441618</v>
      </c>
      <c r="F44" s="102">
        <f>E44*R44</f>
        <v>305.48611851797125</v>
      </c>
      <c r="G44" s="102">
        <f>E44*R45</f>
        <v>221.50956980896373</v>
      </c>
      <c r="H44" s="102">
        <f>E44*R46</f>
        <v>209.94137177251883</v>
      </c>
      <c r="I44" s="127" t="s">
        <v>105</v>
      </c>
      <c r="L44" s="128">
        <v>2022</v>
      </c>
      <c r="M44" s="128">
        <v>640</v>
      </c>
      <c r="N44" s="128">
        <v>740</v>
      </c>
      <c r="P44" s="129" t="s">
        <v>48</v>
      </c>
      <c r="Q44" s="129">
        <v>0.94843750000000004</v>
      </c>
      <c r="R44" s="129">
        <v>0.96351351351351355</v>
      </c>
    </row>
    <row r="45" spans="2:18" ht="20.25" customHeight="1" x14ac:dyDescent="0.35">
      <c r="B45" s="177" t="s">
        <v>110</v>
      </c>
      <c r="C45" s="177"/>
      <c r="D45" s="183"/>
      <c r="E45" s="130">
        <v>10</v>
      </c>
      <c r="F45" s="131">
        <f>F43*F21*F25*F26/10^9 + F44*F21*(1-F25)*F27/10^9</f>
        <v>7.7906055717376193</v>
      </c>
      <c r="G45" s="131">
        <f>G43*G21*G25*G26/10^9 + G44*G21*(1-G25)*G27/10^9</f>
        <v>4.1801188484787728</v>
      </c>
      <c r="H45" s="131">
        <f>H43*H21*H25*H26/10^9 + H44*H21*(1-H25)*H27/10^9</f>
        <v>1.2636503530238843</v>
      </c>
      <c r="I45" s="132"/>
      <c r="K45" s="133"/>
      <c r="L45" s="128">
        <v>2025</v>
      </c>
      <c r="M45" s="128">
        <v>530</v>
      </c>
      <c r="N45" s="128">
        <v>650</v>
      </c>
      <c r="P45" s="129" t="s">
        <v>49</v>
      </c>
      <c r="Q45" s="129">
        <v>0.67656249999999996</v>
      </c>
      <c r="R45" s="129">
        <v>0.69864864864864862</v>
      </c>
    </row>
    <row r="46" spans="2:18" ht="20.25" customHeight="1" x14ac:dyDescent="0.35">
      <c r="B46" s="184" t="s">
        <v>111</v>
      </c>
      <c r="C46" s="184"/>
      <c r="D46" s="184"/>
      <c r="E46" s="134"/>
      <c r="F46" s="135">
        <f>AVERAGE(F21,G21)*(AVERAGE(F25,G25)*AVERAGE(F26:G26)*E43*Q48 + (1-AVERAGE(F25,G25))*AVERAGE(F27:G27)*E44*R48)/(10^9*E45)-1</f>
        <v>-0.45790371693575327</v>
      </c>
      <c r="G46" s="136"/>
      <c r="H46" s="136"/>
      <c r="K46" s="137"/>
      <c r="L46" s="128">
        <v>2028</v>
      </c>
      <c r="M46" s="128">
        <v>475</v>
      </c>
      <c r="N46" s="128">
        <v>580</v>
      </c>
      <c r="P46" s="129" t="s">
        <v>50</v>
      </c>
      <c r="Q46" s="129">
        <v>0.6484375</v>
      </c>
      <c r="R46" s="129">
        <v>0.66216216216216217</v>
      </c>
    </row>
    <row r="47" spans="2:18" ht="20.25" customHeight="1" x14ac:dyDescent="0.35">
      <c r="B47" s="138"/>
      <c r="C47" s="139"/>
      <c r="D47" s="139"/>
      <c r="E47" s="134"/>
      <c r="F47" s="136"/>
      <c r="G47" s="136"/>
      <c r="H47" s="136"/>
      <c r="K47" s="137"/>
      <c r="L47" s="128">
        <v>2031</v>
      </c>
      <c r="M47" s="128">
        <v>415</v>
      </c>
      <c r="N47" s="128">
        <v>490</v>
      </c>
      <c r="P47" s="113"/>
      <c r="Q47" s="113"/>
      <c r="R47" s="113"/>
    </row>
    <row r="48" spans="2:18" ht="20.25" customHeight="1" x14ac:dyDescent="0.35">
      <c r="B48" s="176" t="s">
        <v>112</v>
      </c>
      <c r="C48" s="176"/>
      <c r="D48" s="176"/>
      <c r="E48" s="140">
        <v>5.28</v>
      </c>
      <c r="F48" s="140">
        <f>$E48*F35/$E35</f>
        <v>2.553460905687067</v>
      </c>
      <c r="G48" s="140">
        <f>$E48*G35/$E35</f>
        <v>1.6393397277487649</v>
      </c>
      <c r="H48" s="140">
        <f>$E48*H35/$E35</f>
        <v>0.48951227029455641</v>
      </c>
      <c r="I48" s="132" t="s">
        <v>113</v>
      </c>
      <c r="K48" s="133"/>
      <c r="P48" s="129" t="s">
        <v>114</v>
      </c>
      <c r="Q48" s="129">
        <v>0.7421875</v>
      </c>
      <c r="R48" s="129">
        <v>0.78378378378378377</v>
      </c>
    </row>
    <row r="49" spans="2:8" ht="20.25" customHeight="1" x14ac:dyDescent="0.35"/>
    <row r="50" spans="2:8" ht="20.25" customHeight="1" x14ac:dyDescent="0.35">
      <c r="B50" s="177" t="s">
        <v>115</v>
      </c>
      <c r="C50" s="177"/>
      <c r="D50" s="177"/>
      <c r="E50" s="141">
        <f>E45+E48</f>
        <v>15.280000000000001</v>
      </c>
      <c r="F50" s="141">
        <f t="shared" ref="F50:H50" si="10">F45+F48</f>
        <v>10.344066477424686</v>
      </c>
      <c r="G50" s="141">
        <f t="shared" si="10"/>
        <v>5.8194585762275377</v>
      </c>
      <c r="H50" s="141">
        <f t="shared" si="10"/>
        <v>1.7531626233184407</v>
      </c>
    </row>
    <row r="55" spans="2:8" x14ac:dyDescent="0.35">
      <c r="E55" s="142"/>
    </row>
    <row r="56" spans="2:8" x14ac:dyDescent="0.35">
      <c r="E56" s="143"/>
    </row>
  </sheetData>
  <mergeCells count="46">
    <mergeCell ref="C2:I2"/>
    <mergeCell ref="B5:B12"/>
    <mergeCell ref="C5:D5"/>
    <mergeCell ref="C6:C7"/>
    <mergeCell ref="I6:I7"/>
    <mergeCell ref="C8:C9"/>
    <mergeCell ref="I8:I9"/>
    <mergeCell ref="C10:C11"/>
    <mergeCell ref="I10:I11"/>
    <mergeCell ref="C12:D12"/>
    <mergeCell ref="C16:D16"/>
    <mergeCell ref="C17:D17"/>
    <mergeCell ref="C18:D18"/>
    <mergeCell ref="F18:H18"/>
    <mergeCell ref="K8:K9"/>
    <mergeCell ref="B32:D32"/>
    <mergeCell ref="C19:D19"/>
    <mergeCell ref="B21:D21"/>
    <mergeCell ref="K21:M21"/>
    <mergeCell ref="B22:D22"/>
    <mergeCell ref="B23:D23"/>
    <mergeCell ref="B25:D25"/>
    <mergeCell ref="B26:D26"/>
    <mergeCell ref="B27:D27"/>
    <mergeCell ref="B29:I29"/>
    <mergeCell ref="B31:D31"/>
    <mergeCell ref="K31:M31"/>
    <mergeCell ref="B14:B19"/>
    <mergeCell ref="C14:D14"/>
    <mergeCell ref="C15:D15"/>
    <mergeCell ref="F15:H15"/>
    <mergeCell ref="P42:R42"/>
    <mergeCell ref="B43:D43"/>
    <mergeCell ref="B44:D44"/>
    <mergeCell ref="B45:D45"/>
    <mergeCell ref="B33:D33"/>
    <mergeCell ref="B35:D35"/>
    <mergeCell ref="B36:D36"/>
    <mergeCell ref="B37:D37"/>
    <mergeCell ref="B38:D38"/>
    <mergeCell ref="B39:D39"/>
    <mergeCell ref="B46:D46"/>
    <mergeCell ref="B48:D48"/>
    <mergeCell ref="B50:D50"/>
    <mergeCell ref="B41:I41"/>
    <mergeCell ref="L42:N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AME</vt:lpstr>
      <vt:lpstr>AMS</vt:lpstr>
      <vt:lpstr>AMP</vt:lpstr>
      <vt:lpstr>CCfort</vt:lpstr>
      <vt:lpstr>MDV+</vt:lpstr>
      <vt:lpstr>MVI-</vt:lpstr>
      <vt:lpstr>DHUP haut</vt:lpstr>
      <vt:lpstr>DHUP bas</vt:lpstr>
      <vt:lpstr>Fin_periode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2023-09-04T14:17:42Z</dcterms:modified>
</cp:coreProperties>
</file>